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W:\"/>
    </mc:Choice>
  </mc:AlternateContent>
  <xr:revisionPtr revIDLastSave="0" documentId="13_ncr:1_{4CE0DDA9-E132-4C19-921A-7755F9EA17EF}" xr6:coauthVersionLast="36" xr6:coauthVersionMax="36" xr10:uidLastSave="{00000000-0000-0000-0000-000000000000}"/>
  <bookViews>
    <workbookView xWindow="-120" yWindow="-120" windowWidth="2064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SEFA'!$B$1:$M$47</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5" i="183" l="1"/>
  <c r="D45" i="174"/>
  <c r="G39" i="174"/>
  <c r="G38" i="174"/>
  <c r="G13" i="183"/>
  <c r="D35" i="171"/>
  <c r="E15" i="183"/>
  <c r="G28" i="179"/>
  <c r="I28" i="179"/>
  <c r="L28" i="179"/>
  <c r="I27" i="179"/>
  <c r="G27" i="179"/>
  <c r="F5" i="11"/>
  <c r="M16" i="3"/>
  <c r="F8" i="11"/>
  <c r="M17" i="3"/>
  <c r="F10" i="11"/>
  <c r="M18" i="3"/>
  <c r="F12" i="11"/>
  <c r="F13" i="11"/>
  <c r="M19" i="3"/>
  <c r="M23" i="3"/>
  <c r="M40" i="3"/>
  <c r="N21" i="3"/>
  <c r="I33" i="8"/>
  <c r="J33" i="8"/>
  <c r="I35" i="8"/>
  <c r="J35" i="8"/>
  <c r="I32" i="8"/>
  <c r="J32" i="8"/>
  <c r="I31" i="8"/>
  <c r="J31" i="8"/>
  <c r="L27" i="183"/>
  <c r="L26" i="183"/>
  <c r="L25" i="183"/>
  <c r="L24" i="183"/>
  <c r="L23" i="183"/>
  <c r="L22" i="183"/>
  <c r="L21" i="183"/>
  <c r="L20" i="183"/>
  <c r="L19" i="183"/>
  <c r="L18" i="183"/>
  <c r="L17" i="183"/>
  <c r="L16" i="183"/>
  <c r="L15" i="183"/>
  <c r="L14" i="183"/>
  <c r="L13" i="183"/>
  <c r="L12" i="183"/>
  <c r="L11" i="183"/>
  <c r="B4" i="183"/>
  <c r="E7" i="169"/>
  <c r="B2" i="183" s="1"/>
  <c r="A7" i="169"/>
  <c r="B1" i="183"/>
  <c r="L246" i="29"/>
  <c r="L227" i="29"/>
  <c r="D276" i="29"/>
  <c r="C107" i="5"/>
  <c r="C79" i="5"/>
  <c r="C81" i="5"/>
  <c r="C74" i="5"/>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1" i="36"/>
  <c r="F149" i="34"/>
  <c r="F29" i="34"/>
  <c r="F18" i="34"/>
  <c r="F19" i="34"/>
  <c r="F20" i="34"/>
  <c r="F21" i="34"/>
  <c r="F22" i="34"/>
  <c r="F23" i="34"/>
  <c r="F24" i="34"/>
  <c r="F25" i="34"/>
  <c r="F26" i="34"/>
  <c r="F27" i="34"/>
  <c r="F28" i="34"/>
  <c r="F30" i="34"/>
  <c r="F31" i="34"/>
  <c r="F32" i="34"/>
  <c r="F33" i="34"/>
  <c r="K7" i="29"/>
  <c r="F34" i="34"/>
  <c r="K9" i="29"/>
  <c r="F35" i="34"/>
  <c r="K11" i="29"/>
  <c r="F36" i="34"/>
  <c r="K12" i="29"/>
  <c r="F37" i="34"/>
  <c r="K15" i="29"/>
  <c r="F38" i="34"/>
  <c r="K20" i="29"/>
  <c r="F39" i="34"/>
  <c r="K21" i="29"/>
  <c r="F40" i="34"/>
  <c r="K22" i="29"/>
  <c r="F41" i="34"/>
  <c r="K23" i="29"/>
  <c r="F42" i="34"/>
  <c r="K24" i="29"/>
  <c r="F43" i="34"/>
  <c r="K25" i="29"/>
  <c r="F44" i="34"/>
  <c r="K26" i="29"/>
  <c r="F45" i="34"/>
  <c r="K27" i="29"/>
  <c r="F46" i="34"/>
  <c r="K28" i="29"/>
  <c r="F47" i="34"/>
  <c r="K29" i="29"/>
  <c r="F48" i="34"/>
  <c r="K30" i="29"/>
  <c r="F49" i="34"/>
  <c r="K31" i="29"/>
  <c r="F50" i="34"/>
  <c r="K32" i="29"/>
  <c r="F51" i="34"/>
  <c r="K75" i="29"/>
  <c r="F52" i="34"/>
  <c r="K78" i="29"/>
  <c r="K79" i="29"/>
  <c r="K80" i="29"/>
  <c r="K81" i="29"/>
  <c r="K82" i="29"/>
  <c r="K83" i="29"/>
  <c r="K84" i="29"/>
  <c r="H92" i="29"/>
  <c r="K92" i="29"/>
  <c r="K93" i="29"/>
  <c r="K94" i="29"/>
  <c r="K95" i="29"/>
  <c r="K96" i="29"/>
  <c r="K97" i="29"/>
  <c r="K98" i="29"/>
  <c r="K99" i="29"/>
  <c r="K100" i="29"/>
  <c r="K101" i="29"/>
  <c r="K102" i="29"/>
  <c r="F53" i="34"/>
  <c r="G33" i="29"/>
  <c r="G42" i="29"/>
  <c r="G47" i="29"/>
  <c r="G53" i="29"/>
  <c r="G57" i="29"/>
  <c r="G65" i="29"/>
  <c r="G72" i="29"/>
  <c r="G74" i="29"/>
  <c r="G114" i="29"/>
  <c r="F54" i="34"/>
  <c r="I33" i="29"/>
  <c r="I42" i="29"/>
  <c r="I47" i="29"/>
  <c r="I53" i="29"/>
  <c r="I57" i="29"/>
  <c r="I65" i="29"/>
  <c r="I72" i="29"/>
  <c r="I74" i="29"/>
  <c r="I114" i="29"/>
  <c r="F55" i="34"/>
  <c r="K130" i="29"/>
  <c r="F56" i="34"/>
  <c r="K133" i="29"/>
  <c r="K134" i="29"/>
  <c r="K135" i="29"/>
  <c r="K136" i="29"/>
  <c r="K137" i="29"/>
  <c r="K138" i="29"/>
  <c r="K139" i="29"/>
  <c r="F57" i="34"/>
  <c r="G127" i="29"/>
  <c r="G129" i="29"/>
  <c r="G151" i="29"/>
  <c r="F58" i="34"/>
  <c r="I127" i="29"/>
  <c r="I129" i="29"/>
  <c r="I151" i="29"/>
  <c r="F59" i="34"/>
  <c r="K157" i="29"/>
  <c r="K158" i="29"/>
  <c r="K159" i="29"/>
  <c r="K160" i="29"/>
  <c r="F60" i="34"/>
  <c r="K170" i="29"/>
  <c r="F61" i="34"/>
  <c r="K185" i="29"/>
  <c r="F62" i="34"/>
  <c r="K188" i="29"/>
  <c r="K189" i="29"/>
  <c r="K190" i="29"/>
  <c r="K191" i="29"/>
  <c r="K192" i="29"/>
  <c r="K193" i="29"/>
  <c r="K194" i="29"/>
  <c r="K195" i="29"/>
  <c r="K196" i="29"/>
  <c r="F63" i="34"/>
  <c r="K206" i="29"/>
  <c r="F64" i="34"/>
  <c r="G184" i="29"/>
  <c r="G210" i="29"/>
  <c r="F65" i="34"/>
  <c r="I184" i="29"/>
  <c r="I210" i="29"/>
  <c r="F66" i="34"/>
  <c r="K216" i="29"/>
  <c r="F67" i="34"/>
  <c r="K218" i="29"/>
  <c r="F68" i="34"/>
  <c r="K220" i="29"/>
  <c r="F69" i="34"/>
  <c r="K221" i="29"/>
  <c r="F70" i="34"/>
  <c r="K224" i="29"/>
  <c r="F71" i="34"/>
  <c r="K280" i="29"/>
  <c r="F72" i="34"/>
  <c r="K282" i="29"/>
  <c r="K283" i="29"/>
  <c r="K284" i="29"/>
  <c r="K285" i="29"/>
  <c r="F73" i="34"/>
  <c r="K332" i="29"/>
  <c r="K333" i="29"/>
  <c r="K334" i="29"/>
  <c r="F74" i="34"/>
  <c r="F76" i="34"/>
  <c r="K5" i="29"/>
  <c r="K6" i="29"/>
  <c r="K8" i="29"/>
  <c r="K10" i="29"/>
  <c r="K13" i="29"/>
  <c r="K14" i="29"/>
  <c r="K16" i="29"/>
  <c r="K17" i="29"/>
  <c r="K18" i="29"/>
  <c r="K19" i="29"/>
  <c r="K33" i="29"/>
  <c r="K36" i="29"/>
  <c r="K37" i="29"/>
  <c r="K38" i="29"/>
  <c r="K39" i="29"/>
  <c r="K40" i="29"/>
  <c r="K41" i="29"/>
  <c r="K42" i="29"/>
  <c r="K44" i="29"/>
  <c r="K45" i="29"/>
  <c r="K46" i="29"/>
  <c r="K47" i="29"/>
  <c r="K49" i="29"/>
  <c r="K50" i="29"/>
  <c r="K51" i="29"/>
  <c r="K52" i="29"/>
  <c r="K53" i="29"/>
  <c r="K55" i="29"/>
  <c r="K56" i="29"/>
  <c r="K57" i="29"/>
  <c r="K59" i="29"/>
  <c r="K60" i="29"/>
  <c r="K61" i="29"/>
  <c r="K62" i="29"/>
  <c r="K63" i="29"/>
  <c r="K64" i="29"/>
  <c r="K65" i="29"/>
  <c r="K67" i="29"/>
  <c r="K68" i="29"/>
  <c r="K69" i="29"/>
  <c r="K70" i="29"/>
  <c r="K71" i="29"/>
  <c r="K72" i="29"/>
  <c r="K73" i="29"/>
  <c r="K74" i="29"/>
  <c r="K105" i="29"/>
  <c r="K106" i="29"/>
  <c r="K107" i="29"/>
  <c r="K108" i="29"/>
  <c r="K109" i="29"/>
  <c r="K110" i="29"/>
  <c r="K111" i="29"/>
  <c r="K112" i="29"/>
  <c r="K114" i="29"/>
  <c r="F8" i="34"/>
  <c r="K120" i="29"/>
  <c r="K122" i="29"/>
  <c r="K123" i="29"/>
  <c r="K124" i="29"/>
  <c r="K125" i="29"/>
  <c r="K126" i="29"/>
  <c r="K127" i="29"/>
  <c r="K128" i="29"/>
  <c r="K129" i="29"/>
  <c r="K142" i="29"/>
  <c r="K143" i="29"/>
  <c r="K144" i="29"/>
  <c r="K145" i="29"/>
  <c r="K146" i="29"/>
  <c r="K147" i="29"/>
  <c r="K148" i="29"/>
  <c r="K149" i="29"/>
  <c r="K151" i="29"/>
  <c r="F9" i="34"/>
  <c r="K163" i="29"/>
  <c r="K164" i="29"/>
  <c r="K165" i="29"/>
  <c r="K166" i="29"/>
  <c r="K167" i="29"/>
  <c r="K168" i="29"/>
  <c r="K169" i="29"/>
  <c r="K171" i="29"/>
  <c r="K172" i="29"/>
  <c r="K174" i="29"/>
  <c r="F10" i="34"/>
  <c r="K180" i="29"/>
  <c r="K182" i="29"/>
  <c r="K183" i="29"/>
  <c r="K184" i="29"/>
  <c r="K199" i="29"/>
  <c r="K200" i="29"/>
  <c r="K201" i="29"/>
  <c r="K202" i="29"/>
  <c r="K203" i="29"/>
  <c r="K204" i="29"/>
  <c r="K205" i="29"/>
  <c r="K207" i="29"/>
  <c r="K208" i="29"/>
  <c r="K210" i="29"/>
  <c r="F11" i="34"/>
  <c r="K215" i="29"/>
  <c r="K217" i="29"/>
  <c r="K219" i="29"/>
  <c r="K222" i="29"/>
  <c r="K223" i="29"/>
  <c r="K225" i="29"/>
  <c r="K226" i="29"/>
  <c r="K227" i="29"/>
  <c r="K228" i="29"/>
  <c r="K229" i="29"/>
  <c r="K232" i="29"/>
  <c r="K233" i="29"/>
  <c r="K234" i="29"/>
  <c r="K235" i="29"/>
  <c r="K236" i="29"/>
  <c r="K237" i="29"/>
  <c r="K238" i="29"/>
  <c r="K240" i="29"/>
  <c r="K241" i="29"/>
  <c r="K242" i="29"/>
  <c r="K243" i="29"/>
  <c r="K245" i="29"/>
  <c r="K246" i="29"/>
  <c r="K247" i="29"/>
  <c r="K248" i="29"/>
  <c r="K249" i="29"/>
  <c r="K250" i="29"/>
  <c r="K251" i="29"/>
  <c r="K252" i="29"/>
  <c r="K253" i="29"/>
  <c r="K254" i="29"/>
  <c r="K255" i="29"/>
  <c r="K256" i="29"/>
  <c r="K257" i="29"/>
  <c r="K259" i="29"/>
  <c r="K260" i="29"/>
  <c r="K261" i="29"/>
  <c r="K263" i="29"/>
  <c r="K264" i="29"/>
  <c r="K265" i="29"/>
  <c r="K266" i="29"/>
  <c r="K267" i="29"/>
  <c r="K268" i="29"/>
  <c r="K269" i="29"/>
  <c r="K270" i="29"/>
  <c r="K272" i="29"/>
  <c r="K273" i="29"/>
  <c r="K274" i="29"/>
  <c r="K275" i="29"/>
  <c r="K276" i="29"/>
  <c r="K277" i="29"/>
  <c r="K278" i="29"/>
  <c r="K279" i="29"/>
  <c r="K288" i="29"/>
  <c r="K289" i="29"/>
  <c r="K290" i="29"/>
  <c r="K291" i="29"/>
  <c r="K292" i="29"/>
  <c r="K293" i="29"/>
  <c r="K295" i="29"/>
  <c r="F12" i="34"/>
  <c r="K319" i="29"/>
  <c r="K320" i="29"/>
  <c r="K321" i="29"/>
  <c r="K322" i="29"/>
  <c r="K323" i="29"/>
  <c r="K324" i="29"/>
  <c r="K325" i="29"/>
  <c r="K326" i="29"/>
  <c r="K327" i="29"/>
  <c r="K328" i="29"/>
  <c r="K329" i="29"/>
  <c r="K330" i="29"/>
  <c r="K337" i="29"/>
  <c r="K338" i="29"/>
  <c r="K339" i="29"/>
  <c r="K340" i="29"/>
  <c r="K342" i="29"/>
  <c r="F13" i="34"/>
  <c r="F14" i="34"/>
  <c r="F77" i="34"/>
  <c r="F79" i="34"/>
  <c r="K356" i="29"/>
  <c r="K355" i="29"/>
  <c r="B7794" i="106"/>
  <c r="K354" i="29"/>
  <c r="H357" i="29"/>
  <c r="L334" i="29"/>
  <c r="B7788" i="106"/>
  <c r="H334" i="29"/>
  <c r="B7789" i="106"/>
  <c r="B7784" i="106"/>
  <c r="H160" i="29"/>
  <c r="B7782" i="106"/>
  <c r="B7780" i="106"/>
  <c r="B7795" i="106"/>
  <c r="B7776" i="106"/>
  <c r="B7793" i="106"/>
  <c r="B7791" i="106"/>
  <c r="B7787" i="106"/>
  <c r="B7786" i="106"/>
  <c r="B7785" i="106"/>
  <c r="B7783" i="106"/>
  <c r="B7781" i="106"/>
  <c r="B7779" i="106"/>
  <c r="B7778" i="106"/>
  <c r="B7777" i="106"/>
  <c r="B7775" i="106"/>
  <c r="B7774" i="106"/>
  <c r="K357" i="29"/>
  <c r="B7792" i="106"/>
  <c r="K15" i="4"/>
  <c r="B7790" i="106"/>
  <c r="J15" i="4"/>
  <c r="B7796" i="106"/>
  <c r="L357" i="29"/>
  <c r="L285" i="29"/>
  <c r="D285" i="29"/>
  <c r="L160" i="29"/>
  <c r="L137" i="29"/>
  <c r="H137" i="29"/>
  <c r="E137" i="29"/>
  <c r="E139" i="29"/>
  <c r="E15" i="4"/>
  <c r="F139" i="181"/>
  <c r="G139" i="181"/>
  <c r="E139" i="181"/>
  <c r="F138" i="181"/>
  <c r="G138" i="181"/>
  <c r="E138" i="181"/>
  <c r="F137" i="181"/>
  <c r="G137" i="181"/>
  <c r="E137" i="181"/>
  <c r="F136" i="181"/>
  <c r="G136" i="181"/>
  <c r="E136" i="181"/>
  <c r="F135" i="181"/>
  <c r="G135" i="181"/>
  <c r="E135" i="181"/>
  <c r="F134" i="181"/>
  <c r="G134" i="181"/>
  <c r="E134" i="181"/>
  <c r="F133" i="181"/>
  <c r="G133" i="181"/>
  <c r="E133" i="181"/>
  <c r="E132" i="181"/>
  <c r="F132" i="181"/>
  <c r="G132" i="181"/>
  <c r="F131" i="181"/>
  <c r="G131" i="181"/>
  <c r="E131" i="181"/>
  <c r="F130" i="181"/>
  <c r="G130" i="181"/>
  <c r="E130" i="181"/>
  <c r="F129" i="181"/>
  <c r="G129" i="181"/>
  <c r="E129" i="181"/>
  <c r="F128" i="181"/>
  <c r="G128" i="181"/>
  <c r="E128" i="181"/>
  <c r="E127" i="181"/>
  <c r="F127" i="181"/>
  <c r="G127" i="181"/>
  <c r="F126" i="181"/>
  <c r="G126" i="181"/>
  <c r="E126" i="181"/>
  <c r="F125" i="181"/>
  <c r="G125" i="181"/>
  <c r="E125" i="181"/>
  <c r="F124" i="181"/>
  <c r="G124" i="181"/>
  <c r="E124" i="181"/>
  <c r="E123" i="181"/>
  <c r="F123" i="181"/>
  <c r="G123" i="181"/>
  <c r="F122" i="181"/>
  <c r="G122" i="181"/>
  <c r="E122" i="181"/>
  <c r="F121" i="181"/>
  <c r="G121" i="181"/>
  <c r="E121" i="181"/>
  <c r="F120" i="181"/>
  <c r="G120" i="181"/>
  <c r="E120" i="181"/>
  <c r="F119" i="181"/>
  <c r="G119" i="181"/>
  <c r="E119" i="181"/>
  <c r="F118" i="181"/>
  <c r="G118" i="181"/>
  <c r="E118" i="181"/>
  <c r="F117" i="181"/>
  <c r="G117" i="181"/>
  <c r="E117" i="181"/>
  <c r="F116" i="181"/>
  <c r="G116" i="181"/>
  <c r="E116" i="181"/>
  <c r="F115" i="181"/>
  <c r="G115" i="181"/>
  <c r="E115" i="181"/>
  <c r="E114" i="181"/>
  <c r="F114" i="181"/>
  <c r="G114" i="181"/>
  <c r="F113" i="181"/>
  <c r="G113" i="181"/>
  <c r="E113" i="181"/>
  <c r="F112" i="181"/>
  <c r="G112" i="181"/>
  <c r="E112" i="181"/>
  <c r="F111" i="181"/>
  <c r="G111" i="181"/>
  <c r="E111" i="181"/>
  <c r="E110" i="181"/>
  <c r="F110" i="181"/>
  <c r="G110" i="181"/>
  <c r="F109" i="181"/>
  <c r="G109" i="181"/>
  <c r="E109" i="181"/>
  <c r="F108" i="181"/>
  <c r="G108" i="181"/>
  <c r="E108" i="181"/>
  <c r="F107" i="181"/>
  <c r="G107" i="181"/>
  <c r="E107" i="181"/>
  <c r="F106" i="181"/>
  <c r="G106" i="181"/>
  <c r="E106" i="181"/>
  <c r="F105" i="181"/>
  <c r="G105" i="181"/>
  <c r="E105" i="181"/>
  <c r="F104" i="181"/>
  <c r="G104" i="181"/>
  <c r="E104" i="181"/>
  <c r="F99" i="181"/>
  <c r="G99" i="181"/>
  <c r="E99" i="181"/>
  <c r="F103" i="181"/>
  <c r="G103" i="181"/>
  <c r="E103" i="181"/>
  <c r="E102" i="181"/>
  <c r="F102" i="181"/>
  <c r="G102" i="181"/>
  <c r="F101" i="181"/>
  <c r="G101" i="181"/>
  <c r="E101" i="181"/>
  <c r="E100" i="181"/>
  <c r="F100" i="181"/>
  <c r="G100" i="181"/>
  <c r="F98" i="181"/>
  <c r="G98" i="181"/>
  <c r="E98" i="181"/>
  <c r="E97" i="181"/>
  <c r="F97" i="181"/>
  <c r="G97" i="181"/>
  <c r="F96" i="181"/>
  <c r="G96" i="181"/>
  <c r="E96" i="181"/>
  <c r="E95" i="181"/>
  <c r="F95" i="181"/>
  <c r="G95" i="181"/>
  <c r="F93" i="181"/>
  <c r="G93" i="181"/>
  <c r="E93" i="181"/>
  <c r="F92" i="181"/>
  <c r="G92" i="181"/>
  <c r="E92" i="181"/>
  <c r="E91" i="181"/>
  <c r="F91" i="181"/>
  <c r="G91" i="181"/>
  <c r="F90" i="181"/>
  <c r="G90" i="181"/>
  <c r="E90" i="181"/>
  <c r="F89" i="181"/>
  <c r="G89" i="181"/>
  <c r="E89" i="181"/>
  <c r="E88" i="181"/>
  <c r="F88" i="181"/>
  <c r="G88" i="181"/>
  <c r="F87" i="181"/>
  <c r="G87" i="181"/>
  <c r="E87" i="181"/>
  <c r="E86" i="181"/>
  <c r="F86" i="181"/>
  <c r="G86" i="181"/>
  <c r="F84" i="181"/>
  <c r="G84" i="181"/>
  <c r="E84" i="181"/>
  <c r="F83" i="181"/>
  <c r="G83" i="181"/>
  <c r="E83" i="181"/>
  <c r="F82" i="181"/>
  <c r="G82" i="181"/>
  <c r="E82" i="181"/>
  <c r="F81" i="181"/>
  <c r="G81" i="181"/>
  <c r="E81" i="181"/>
  <c r="F80" i="181"/>
  <c r="G80" i="181"/>
  <c r="E80" i="181"/>
  <c r="F79" i="181"/>
  <c r="G79" i="181"/>
  <c r="E79" i="181"/>
  <c r="F78" i="181"/>
  <c r="G78" i="181"/>
  <c r="E78" i="181"/>
  <c r="F77" i="181"/>
  <c r="G77" i="181"/>
  <c r="E77" i="181"/>
  <c r="F76" i="181"/>
  <c r="G76" i="181"/>
  <c r="E76" i="181"/>
  <c r="E75" i="181"/>
  <c r="F75" i="181"/>
  <c r="G75" i="181"/>
  <c r="F74" i="181"/>
  <c r="G74" i="181"/>
  <c r="E74" i="181"/>
  <c r="F73" i="181"/>
  <c r="G73" i="181"/>
  <c r="E73" i="181"/>
  <c r="F140" i="181"/>
  <c r="G140" i="181"/>
  <c r="E140" i="181"/>
  <c r="F94" i="181"/>
  <c r="G94" i="181"/>
  <c r="E94" i="181"/>
  <c r="F85" i="181"/>
  <c r="G85" i="181"/>
  <c r="E85" i="181"/>
  <c r="E72" i="181"/>
  <c r="F72" i="181"/>
  <c r="G72" i="181"/>
  <c r="F71" i="181"/>
  <c r="G71" i="181"/>
  <c r="E71" i="181"/>
  <c r="F70" i="181"/>
  <c r="G70" i="181"/>
  <c r="E70" i="181"/>
  <c r="F69" i="181"/>
  <c r="G69" i="181"/>
  <c r="E69" i="181"/>
  <c r="F68" i="181"/>
  <c r="G68" i="181"/>
  <c r="E68" i="181"/>
  <c r="F67" i="181"/>
  <c r="G67" i="181"/>
  <c r="E67" i="181"/>
  <c r="F66" i="181"/>
  <c r="G66" i="181"/>
  <c r="E66" i="181"/>
  <c r="E65" i="181"/>
  <c r="F65" i="181"/>
  <c r="G65" i="181"/>
  <c r="E64" i="181"/>
  <c r="F64" i="181"/>
  <c r="G64" i="181"/>
  <c r="F63" i="181"/>
  <c r="G63" i="181"/>
  <c r="E63" i="181"/>
  <c r="F62" i="181"/>
  <c r="G62" i="181"/>
  <c r="E62" i="181"/>
  <c r="F61" i="181"/>
  <c r="G61" i="181"/>
  <c r="E61" i="181"/>
  <c r="E60" i="181"/>
  <c r="F60" i="181"/>
  <c r="G60" i="181"/>
  <c r="F59" i="181"/>
  <c r="G59" i="181"/>
  <c r="E59" i="181"/>
  <c r="E58" i="181"/>
  <c r="F58" i="181"/>
  <c r="G58" i="181"/>
  <c r="F57" i="181"/>
  <c r="G57" i="181"/>
  <c r="E57" i="181"/>
  <c r="E56" i="181"/>
  <c r="F56" i="181"/>
  <c r="G56" i="181"/>
  <c r="F55" i="181"/>
  <c r="G55" i="181"/>
  <c r="E55" i="181"/>
  <c r="E54" i="181"/>
  <c r="F54" i="181"/>
  <c r="G54" i="181"/>
  <c r="F53" i="181"/>
  <c r="G53" i="181"/>
  <c r="E53" i="181"/>
  <c r="F52" i="181"/>
  <c r="G52" i="181"/>
  <c r="E52" i="181"/>
  <c r="F51" i="181"/>
  <c r="G51" i="181"/>
  <c r="E51" i="181"/>
  <c r="F50" i="181"/>
  <c r="G50" i="181"/>
  <c r="E50" i="181"/>
  <c r="F49" i="181"/>
  <c r="G49" i="181"/>
  <c r="E49" i="181"/>
  <c r="E48" i="181"/>
  <c r="F48" i="181"/>
  <c r="G48" i="181"/>
  <c r="F47" i="181"/>
  <c r="G47" i="181"/>
  <c r="E47" i="181"/>
  <c r="F46" i="181"/>
  <c r="G46" i="181"/>
  <c r="E46" i="181"/>
  <c r="F45" i="181"/>
  <c r="G45" i="181"/>
  <c r="E45" i="181"/>
  <c r="F44" i="181"/>
  <c r="G44" i="181"/>
  <c r="E44" i="181"/>
  <c r="E43" i="181"/>
  <c r="F43" i="181"/>
  <c r="G43" i="181"/>
  <c r="E42" i="181"/>
  <c r="F42" i="181"/>
  <c r="G42" i="181"/>
  <c r="F41" i="181"/>
  <c r="G41" i="181"/>
  <c r="E41" i="181"/>
  <c r="F40" i="181"/>
  <c r="G40" i="181"/>
  <c r="E40" i="181"/>
  <c r="F39" i="181"/>
  <c r="G39" i="181"/>
  <c r="E39" i="181"/>
  <c r="F38" i="181"/>
  <c r="G38" i="181"/>
  <c r="E38" i="181"/>
  <c r="F37" i="181"/>
  <c r="G37" i="181"/>
  <c r="E37" i="181"/>
  <c r="F36" i="181"/>
  <c r="G36" i="181"/>
  <c r="E36" i="181"/>
  <c r="F35" i="181"/>
  <c r="G35" i="181"/>
  <c r="E35" i="181"/>
  <c r="F34" i="181"/>
  <c r="G34" i="181"/>
  <c r="E34" i="181"/>
  <c r="E33" i="181"/>
  <c r="F33" i="181"/>
  <c r="G33" i="181"/>
  <c r="F32" i="181"/>
  <c r="G32" i="181"/>
  <c r="E32" i="181"/>
  <c r="F31" i="181"/>
  <c r="G31" i="181"/>
  <c r="E31" i="181"/>
  <c r="F30" i="181"/>
  <c r="G30" i="181"/>
  <c r="E30" i="181"/>
  <c r="E29" i="181"/>
  <c r="F29" i="181"/>
  <c r="G29" i="181"/>
  <c r="F28" i="181"/>
  <c r="G28" i="181" s="1"/>
  <c r="E28" i="181"/>
  <c r="E27" i="181"/>
  <c r="F27" i="181"/>
  <c r="G27" i="181" s="1"/>
  <c r="F26" i="181"/>
  <c r="G26" i="181" s="1"/>
  <c r="E26" i="181"/>
  <c r="E25" i="181"/>
  <c r="F25" i="181"/>
  <c r="G25" i="181" s="1"/>
  <c r="F24" i="181"/>
  <c r="G24" i="181" s="1"/>
  <c r="E24" i="181"/>
  <c r="F23" i="181"/>
  <c r="G23" i="181" s="1"/>
  <c r="E23" i="181"/>
  <c r="F22" i="181"/>
  <c r="G22" i="181" s="1"/>
  <c r="E22" i="181"/>
  <c r="F21" i="181"/>
  <c r="G21" i="181" s="1"/>
  <c r="E21" i="181"/>
  <c r="F20" i="181"/>
  <c r="G20" i="181" s="1"/>
  <c r="E20" i="181"/>
  <c r="E19" i="181"/>
  <c r="F19" i="181"/>
  <c r="G19" i="181" s="1"/>
  <c r="F18" i="181"/>
  <c r="G18" i="181" s="1"/>
  <c r="E18" i="181"/>
  <c r="D141" i="181"/>
  <c r="D80" i="36"/>
  <c r="B7797" i="106"/>
  <c r="E141" i="181"/>
  <c r="E17" i="181"/>
  <c r="E16" i="181"/>
  <c r="F16" i="181"/>
  <c r="G16" i="181"/>
  <c r="F17" i="181"/>
  <c r="G17" i="18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B2" i="179"/>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A2" i="170"/>
  <c r="B2" i="174"/>
  <c r="A2" i="173"/>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3" i="34"/>
  <c r="B7769" i="106"/>
  <c r="B7768" i="106"/>
  <c r="D7768" i="106"/>
  <c r="B7766" i="106"/>
  <c r="D7766" i="106"/>
  <c r="B7765" i="106"/>
  <c r="B7764" i="106"/>
  <c r="J85" i="28"/>
  <c r="B7758" i="106"/>
  <c r="D7758" i="106"/>
  <c r="J88" i="28"/>
  <c r="B7763" i="106"/>
  <c r="B7762" i="106"/>
  <c r="K12" i="12"/>
  <c r="K23" i="12"/>
  <c r="K24" i="12"/>
  <c r="B7733" i="106"/>
  <c r="J12" i="12"/>
  <c r="J21" i="12"/>
  <c r="J23" i="12"/>
  <c r="B7729" i="106"/>
  <c r="B7734" i="106"/>
  <c r="B7726" i="106"/>
  <c r="D76" i="36"/>
  <c r="F162" i="34"/>
  <c r="B30" i="36"/>
  <c r="B33" i="36"/>
  <c r="B43" i="36"/>
  <c r="B56" i="36"/>
  <c r="B66" i="36"/>
  <c r="B70" i="36"/>
  <c r="B74" i="36"/>
  <c r="D73" i="36"/>
  <c r="C191" i="5"/>
  <c r="C201" i="5"/>
  <c r="B5246" i="106"/>
  <c r="D5246" i="106"/>
  <c r="C211" i="5"/>
  <c r="C216" i="5"/>
  <c r="C224" i="5"/>
  <c r="C228" i="5"/>
  <c r="B5304" i="106"/>
  <c r="D5304" i="106"/>
  <c r="C259" i="5"/>
  <c r="B7761" i="106"/>
  <c r="L127" i="29"/>
  <c r="L129" i="29"/>
  <c r="L139" i="29"/>
  <c r="L149" i="29"/>
  <c r="I7" i="145"/>
  <c r="I6" i="145"/>
  <c r="D78" i="36"/>
  <c r="B2836" i="106"/>
  <c r="D2836" i="106"/>
  <c r="F15" i="145"/>
  <c r="F19" i="145"/>
  <c r="E15" i="145"/>
  <c r="G15" i="145"/>
  <c r="E14" i="145"/>
  <c r="G14" i="145"/>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B959" i="106"/>
  <c r="D959" i="106"/>
  <c r="B960" i="106"/>
  <c r="D960" i="106"/>
  <c r="B961" i="106"/>
  <c r="D961" i="106"/>
  <c r="B962" i="106"/>
  <c r="D962" i="106"/>
  <c r="B963" i="106"/>
  <c r="D963" i="106"/>
  <c r="B964" i="106"/>
  <c r="D964" i="106"/>
  <c r="B965" i="106"/>
  <c r="D965" i="106"/>
  <c r="B966" i="106"/>
  <c r="D966" i="106"/>
  <c r="B967" i="106"/>
  <c r="D967" i="106"/>
  <c r="B968" i="106"/>
  <c r="D968" i="106"/>
  <c r="B969" i="106"/>
  <c r="D969" i="106"/>
  <c r="B970" i="106"/>
  <c r="D970" i="106"/>
  <c r="B971" i="106"/>
  <c r="D971" i="106"/>
  <c r="B972" i="106"/>
  <c r="D972" i="106"/>
  <c r="B973" i="106"/>
  <c r="D973" i="106"/>
  <c r="B974" i="106"/>
  <c r="D974" i="106"/>
  <c r="B975" i="106"/>
  <c r="D975" i="106"/>
  <c r="D976" i="106"/>
  <c r="B977" i="106"/>
  <c r="D977" i="106"/>
  <c r="B978" i="106"/>
  <c r="D978" i="106"/>
  <c r="B979" i="106"/>
  <c r="D979" i="106"/>
  <c r="B980" i="106"/>
  <c r="D980" i="106"/>
  <c r="B981" i="106"/>
  <c r="D981" i="106"/>
  <c r="D982" i="106"/>
  <c r="B983" i="106"/>
  <c r="D983" i="106"/>
  <c r="D984" i="106"/>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1" i="106"/>
  <c r="D2081" i="106"/>
  <c r="B2089" i="106"/>
  <c r="D2089" i="106"/>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c r="D1095" i="106"/>
  <c r="D1096" i="106"/>
  <c r="D1097" i="106"/>
  <c r="D1098" i="106"/>
  <c r="D1099" i="106"/>
  <c r="B1100" i="106"/>
  <c r="D1100" i="106"/>
  <c r="D1101" i="106"/>
  <c r="D1102" i="106"/>
  <c r="D1103" i="106"/>
  <c r="B1104" i="106"/>
  <c r="D1104" i="106"/>
  <c r="B1106" i="106"/>
  <c r="D1106" i="106"/>
  <c r="B1107" i="106"/>
  <c r="D1107" i="106"/>
  <c r="B1110" i="106"/>
  <c r="D1110" i="106"/>
  <c r="B1111" i="106"/>
  <c r="D1111" i="106"/>
  <c r="B1112" i="106"/>
  <c r="D1112" i="106"/>
  <c r="B1113" i="106"/>
  <c r="D1113" i="106"/>
  <c r="B1114" i="106"/>
  <c r="D1114" i="106"/>
  <c r="B1118" i="106"/>
  <c r="D1118" i="106"/>
  <c r="B1120" i="106"/>
  <c r="D1120" i="106"/>
  <c r="B1124" i="106"/>
  <c r="D1124" i="106"/>
  <c r="D27" i="108"/>
  <c r="B1128" i="106"/>
  <c r="D1128" i="106"/>
  <c r="B1129" i="106"/>
  <c r="D1129" i="106"/>
  <c r="B1130" i="106"/>
  <c r="D1130" i="106"/>
  <c r="D1132" i="106"/>
  <c r="B1136" i="106"/>
  <c r="D1136" i="106"/>
  <c r="B1137" i="106"/>
  <c r="D1137" i="106"/>
  <c r="D1138" i="106"/>
  <c r="B1139" i="106"/>
  <c r="D1139" i="106"/>
  <c r="D1140" i="106"/>
  <c r="B1142" i="106"/>
  <c r="D1142" i="106"/>
  <c r="B6999" i="106"/>
  <c r="D6999" i="106"/>
  <c r="B7001" i="106"/>
  <c r="D7001" i="106"/>
  <c r="B7007" i="106"/>
  <c r="D7007" i="106"/>
  <c r="B1147" i="106"/>
  <c r="D1147" i="106"/>
  <c r="D1148" i="106"/>
  <c r="B1149" i="106"/>
  <c r="D1149" i="106"/>
  <c r="D1150" i="106"/>
  <c r="B2795" i="106"/>
  <c r="D2795" i="106"/>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C129" i="29"/>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B1276" i="106"/>
  <c r="D1276" i="106"/>
  <c r="B1277" i="106"/>
  <c r="D1277" i="106"/>
  <c r="D1278" i="106"/>
  <c r="B1280" i="106"/>
  <c r="D1280" i="106"/>
  <c r="B4080" i="106"/>
  <c r="D4080" i="106"/>
  <c r="B2987" i="106"/>
  <c r="D2987" i="106"/>
  <c r="B2988" i="106"/>
  <c r="D2988" i="106"/>
  <c r="B2094" i="106"/>
  <c r="D2094" i="106"/>
  <c r="B1284" i="106"/>
  <c r="D1284" i="106"/>
  <c r="B1285" i="106"/>
  <c r="D1285" i="106"/>
  <c r="D1286" i="106"/>
  <c r="B2811" i="106"/>
  <c r="D2811" i="106"/>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B1324" i="106"/>
  <c r="D1324" i="106"/>
  <c r="B1325" i="106"/>
  <c r="D1325" i="106"/>
  <c r="B1326" i="106"/>
  <c r="D1326" i="106"/>
  <c r="B1327" i="106"/>
  <c r="D1327" i="106"/>
  <c r="B2818" i="106"/>
  <c r="D2818" i="106"/>
  <c r="B2819" i="106"/>
  <c r="D2819" i="106"/>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B1377" i="106"/>
  <c r="D1377" i="106"/>
  <c r="D1378" i="106"/>
  <c r="D1379" i="106"/>
  <c r="B1380" i="106"/>
  <c r="D1380" i="106"/>
  <c r="B3007" i="106"/>
  <c r="D3007" i="106"/>
  <c r="B3008" i="106"/>
  <c r="D3008" i="106"/>
  <c r="B3012" i="106"/>
  <c r="D3012" i="106"/>
  <c r="B2839" i="106"/>
  <c r="B1383" i="106"/>
  <c r="D1383" i="106"/>
  <c r="B1384" i="106"/>
  <c r="D1384" i="106"/>
  <c r="B1385" i="106"/>
  <c r="D1385" i="106"/>
  <c r="D1386" i="106"/>
  <c r="B2841" i="106"/>
  <c r="D2841" i="106"/>
  <c r="B7068" i="106"/>
  <c r="D7068"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B1460" i="106"/>
  <c r="D1460" i="106"/>
  <c r="D1461" i="106"/>
  <c r="D1462" i="106"/>
  <c r="D1463" i="106"/>
  <c r="D1464" i="106"/>
  <c r="D1465" i="106"/>
  <c r="B1466" i="106"/>
  <c r="D1466" i="106"/>
  <c r="D1467" i="106"/>
  <c r="D1468" i="106"/>
  <c r="D1469" i="106"/>
  <c r="B1470" i="106"/>
  <c r="D1470" i="106"/>
  <c r="B1471" i="106"/>
  <c r="D1471" i="106"/>
  <c r="B1472" i="106"/>
  <c r="D1472" i="106"/>
  <c r="B1473" i="106"/>
  <c r="D1473" i="106"/>
  <c r="B3390" i="106"/>
  <c r="D3390" i="106"/>
  <c r="B3391" i="106"/>
  <c r="D3391" i="106"/>
  <c r="B3065" i="106"/>
  <c r="D3065" i="106"/>
  <c r="B1476" i="106"/>
  <c r="D1476" i="106"/>
  <c r="B1477" i="106"/>
  <c r="D1477" i="106"/>
  <c r="B1478" i="106"/>
  <c r="D1478" i="106"/>
  <c r="B1479" i="106"/>
  <c r="D1479" i="106"/>
  <c r="B1480" i="106"/>
  <c r="D1480" i="106"/>
  <c r="B1482" i="106"/>
  <c r="D1482" i="106"/>
  <c r="B1483" i="106"/>
  <c r="D1483" i="106"/>
  <c r="B1484" i="106"/>
  <c r="D1484" i="106"/>
  <c r="B1486" i="106"/>
  <c r="D1486" i="106"/>
  <c r="B1487" i="106"/>
  <c r="D1487" i="106"/>
  <c r="B2726" i="106"/>
  <c r="D2726" i="106"/>
  <c r="B7088" i="106"/>
  <c r="D7088" i="106"/>
  <c r="B7096" i="106"/>
  <c r="D7096" i="106"/>
  <c r="B1489" i="106"/>
  <c r="D1489" i="106"/>
  <c r="B1490" i="106"/>
  <c r="D1490" i="106"/>
  <c r="B1493" i="106"/>
  <c r="D1493" i="106"/>
  <c r="B1494" i="106"/>
  <c r="D1494" i="106"/>
  <c r="B1495" i="106"/>
  <c r="D1495" i="106"/>
  <c r="B1496" i="106"/>
  <c r="D1496" i="106"/>
  <c r="B1497" i="106"/>
  <c r="D1497" i="106"/>
  <c r="B1498" i="106"/>
  <c r="D1498" i="106"/>
  <c r="D1499" i="106"/>
  <c r="B1501" i="106"/>
  <c r="D1501" i="106"/>
  <c r="B1502" i="106"/>
  <c r="D1502" i="106"/>
  <c r="B1503" i="106"/>
  <c r="D1503" i="106"/>
  <c r="B1504" i="106"/>
  <c r="D1504" i="106"/>
  <c r="D1505" i="106"/>
  <c r="B1506" i="106"/>
  <c r="D1506" i="106"/>
  <c r="D1507" i="106"/>
  <c r="B1509" i="106"/>
  <c r="D1509" i="106"/>
  <c r="B1511" i="106"/>
  <c r="D1511" i="106"/>
  <c r="B1513" i="106"/>
  <c r="D1513" i="106"/>
  <c r="B1514" i="106"/>
  <c r="D1514" i="106"/>
  <c r="B2845" i="106"/>
  <c r="D2845" i="106"/>
  <c r="B2846" i="106"/>
  <c r="D2846" i="106"/>
  <c r="D1516" i="106"/>
  <c r="B4166" i="106"/>
  <c r="D416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7114" i="106"/>
  <c r="D7114" i="106"/>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B7115" i="106"/>
  <c r="D7115" i="106"/>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1" i="8"/>
  <c r="B1879" i="106"/>
  <c r="D187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I24" i="12"/>
  <c r="B1996" i="106"/>
  <c r="D1996"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B2027" i="106"/>
  <c r="D2027" i="106"/>
  <c r="B2028" i="106"/>
  <c r="D2028" i="106"/>
  <c r="B2029" i="106"/>
  <c r="D2029" i="106"/>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L13" i="11"/>
  <c r="B2060" i="106"/>
  <c r="D206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D2838" i="106"/>
  <c r="D2839"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4" i="106"/>
  <c r="D2974" i="106"/>
  <c r="B2975" i="106"/>
  <c r="D2975" i="106"/>
  <c r="B2976" i="106"/>
  <c r="D2976" i="106"/>
  <c r="B2977" i="106"/>
  <c r="D2977" i="106"/>
  <c r="B2978" i="106"/>
  <c r="D2978"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0" i="106"/>
  <c r="D3010"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4" i="106"/>
  <c r="D3254"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E38" i="4"/>
  <c r="E39" i="4"/>
  <c r="B6287" i="106"/>
  <c r="D6287" i="106"/>
  <c r="E40" i="4"/>
  <c r="B6288" i="106"/>
  <c r="D6288" i="106"/>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B3380" i="106"/>
  <c r="D3380" i="106"/>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L15" i="11"/>
  <c r="B3459" i="106"/>
  <c r="D3459"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D3583" i="106"/>
  <c r="K44" i="4"/>
  <c r="B3584" i="106"/>
  <c r="D3584" i="106"/>
  <c r="B3585" i="106"/>
  <c r="D3585" i="106"/>
  <c r="K52" i="4"/>
  <c r="B3702" i="106"/>
  <c r="D3702" i="106"/>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C352" i="29"/>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D3677" i="106"/>
  <c r="K363" i="29"/>
  <c r="K364" i="29"/>
  <c r="B7746" i="106"/>
  <c r="D7746" i="106"/>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D4167" i="106"/>
  <c r="D4168" i="106"/>
  <c r="D4169" i="106"/>
  <c r="D4170" i="106"/>
  <c r="I34"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B5313"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J41" i="3"/>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85" i="106"/>
  <c r="D6285" i="106"/>
  <c r="B6286" i="106"/>
  <c r="D6286"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B6848" i="106"/>
  <c r="D6848" i="106"/>
  <c r="B6849" i="106"/>
  <c r="D6849" i="106"/>
  <c r="B6850" i="106"/>
  <c r="D6850" i="106"/>
  <c r="B6851" i="106"/>
  <c r="D6851" i="106"/>
  <c r="B6852" i="106"/>
  <c r="D6852" i="106"/>
  <c r="B6853" i="106"/>
  <c r="D6853" i="106"/>
  <c r="B6854" i="106"/>
  <c r="D6854" i="106"/>
  <c r="B6855" i="106"/>
  <c r="D6855" i="106"/>
  <c r="B6856" i="106"/>
  <c r="D6856" i="106"/>
  <c r="B6857" i="106"/>
  <c r="D6857" i="106"/>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B6871" i="106"/>
  <c r="D6871" i="106"/>
  <c r="B6872" i="106"/>
  <c r="D6872" i="106"/>
  <c r="B6873" i="106"/>
  <c r="D6873" i="106"/>
  <c r="B6874" i="106"/>
  <c r="D6874" i="106"/>
  <c r="B6875" i="106"/>
  <c r="D6875" i="106"/>
  <c r="B6876" i="106"/>
  <c r="D6876" i="106"/>
  <c r="B6878" i="106"/>
  <c r="D6878" i="106"/>
  <c r="B6879" i="106"/>
  <c r="D6879" i="106"/>
  <c r="B6880" i="106"/>
  <c r="D6880" i="106"/>
  <c r="B6881" i="106"/>
  <c r="D6881" i="106"/>
  <c r="B6882" i="106"/>
  <c r="D6882" i="106"/>
  <c r="B6883" i="106"/>
  <c r="D6883" i="106"/>
  <c r="B6884" i="106"/>
  <c r="D6884" i="106"/>
  <c r="B6886" i="106"/>
  <c r="D6886" i="106"/>
  <c r="B6887" i="106"/>
  <c r="D6887" i="106"/>
  <c r="B6888" i="106"/>
  <c r="D6888" i="106"/>
  <c r="B6889" i="106"/>
  <c r="D6889" i="106"/>
  <c r="B6890" i="106"/>
  <c r="D6890" i="106"/>
  <c r="B6891" i="106"/>
  <c r="D6891" i="106"/>
  <c r="B6892" i="106"/>
  <c r="D6892" i="106"/>
  <c r="B6894" i="106"/>
  <c r="D6894" i="106"/>
  <c r="B6895" i="106"/>
  <c r="D6895" i="106"/>
  <c r="B6896" i="106"/>
  <c r="D6896" i="106"/>
  <c r="B6897" i="106"/>
  <c r="D6897" i="106"/>
  <c r="B6898" i="106"/>
  <c r="D6898" i="106"/>
  <c r="B6899" i="106"/>
  <c r="D6899" i="106"/>
  <c r="B6900" i="106"/>
  <c r="D6900" i="106"/>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J42" i="29"/>
  <c r="B6918" i="106"/>
  <c r="D6918" i="106"/>
  <c r="B6919" i="106"/>
  <c r="D6919" i="106"/>
  <c r="B6920" i="106"/>
  <c r="D6920" i="106"/>
  <c r="B6921" i="106"/>
  <c r="D6921" i="106"/>
  <c r="B6922" i="106"/>
  <c r="D6922" i="106"/>
  <c r="B6923" i="106"/>
  <c r="D6923" i="106"/>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B6940" i="106"/>
  <c r="D6940" i="106"/>
  <c r="B6941" i="106"/>
  <c r="D6941" i="106"/>
  <c r="B6942" i="106"/>
  <c r="D6942" i="106"/>
  <c r="J53" i="29"/>
  <c r="B6943" i="106"/>
  <c r="D6943" i="106"/>
  <c r="B6944" i="106"/>
  <c r="D6944" i="106"/>
  <c r="B6945" i="106"/>
  <c r="D6945" i="106"/>
  <c r="B6946" i="106"/>
  <c r="D6946" i="106"/>
  <c r="B6947" i="106"/>
  <c r="D6947" i="106"/>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6" i="106"/>
  <c r="D6996" i="106"/>
  <c r="B6997" i="106"/>
  <c r="D6997" i="106"/>
  <c r="B6998" i="106"/>
  <c r="D6998" i="106"/>
  <c r="B7000" i="106"/>
  <c r="D7000" i="106"/>
  <c r="B7002" i="106"/>
  <c r="D7002" i="106"/>
  <c r="B7003" i="106"/>
  <c r="D7003" i="106"/>
  <c r="B7004" i="106"/>
  <c r="D7004" i="106"/>
  <c r="B7005" i="106"/>
  <c r="D7005" i="106"/>
  <c r="B7006" i="106"/>
  <c r="D7006" i="106"/>
  <c r="B7008" i="106"/>
  <c r="D7008" i="106"/>
  <c r="B7009" i="106"/>
  <c r="D7009" i="106"/>
  <c r="B7010" i="106"/>
  <c r="D7010" i="106"/>
  <c r="B7011" i="106"/>
  <c r="D7011" i="106"/>
  <c r="B7012" i="106"/>
  <c r="D7012" i="106"/>
  <c r="B7014" i="106"/>
  <c r="D7014" i="106"/>
  <c r="B7015" i="106"/>
  <c r="D7015" i="106"/>
  <c r="B7016" i="106"/>
  <c r="D7016" i="106"/>
  <c r="B7017" i="106"/>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B7033" i="106"/>
  <c r="D7033" i="106"/>
  <c r="J127" i="29"/>
  <c r="B7034" i="106"/>
  <c r="D7034" i="106"/>
  <c r="B7035" i="106"/>
  <c r="D7035" i="106"/>
  <c r="B7036" i="106"/>
  <c r="D7036" i="106"/>
  <c r="B7037" i="106"/>
  <c r="D7037" i="106"/>
  <c r="J129" i="29"/>
  <c r="B7038" i="106"/>
  <c r="D7038" i="106"/>
  <c r="B7039" i="106"/>
  <c r="D7039" i="106"/>
  <c r="B7040" i="106"/>
  <c r="D7040" i="106"/>
  <c r="B7043" i="106"/>
  <c r="D7043" i="106"/>
  <c r="B7044" i="106"/>
  <c r="D7044" i="106"/>
  <c r="B7045" i="106"/>
  <c r="D7045" i="106"/>
  <c r="B7046" i="106"/>
  <c r="D7046" i="106"/>
  <c r="B7049" i="106"/>
  <c r="D7049" i="106"/>
  <c r="B7053" i="106"/>
  <c r="D7053" i="106"/>
  <c r="D7056" i="106"/>
  <c r="B7057" i="106"/>
  <c r="D7057" i="106"/>
  <c r="B7058" i="106"/>
  <c r="D7058" i="106"/>
  <c r="B7059" i="106"/>
  <c r="D7059" i="106"/>
  <c r="B7060" i="106"/>
  <c r="D7060" i="106"/>
  <c r="B7061" i="106"/>
  <c r="D7061" i="106"/>
  <c r="B7062" i="106"/>
  <c r="D7062" i="106"/>
  <c r="B7063" i="106"/>
  <c r="D7063" i="106"/>
  <c r="J184" i="29"/>
  <c r="B7064" i="106"/>
  <c r="D7064" i="106"/>
  <c r="B7065" i="106"/>
  <c r="D7065" i="106"/>
  <c r="B7066" i="106"/>
  <c r="D7066" i="106"/>
  <c r="B7067" i="106"/>
  <c r="D7067" i="106"/>
  <c r="B7069" i="106"/>
  <c r="D7069" i="106"/>
  <c r="B7070" i="106"/>
  <c r="D7070" i="106"/>
  <c r="B7073" i="106"/>
  <c r="D7073" i="106"/>
  <c r="B7074" i="106"/>
  <c r="D7074" i="106"/>
  <c r="B7075" i="106"/>
  <c r="D7075" i="106"/>
  <c r="B7076" i="106"/>
  <c r="D7076" i="106"/>
  <c r="B7077" i="106"/>
  <c r="D7077" i="106"/>
  <c r="B7078" i="106"/>
  <c r="D7078" i="106"/>
  <c r="B7079" i="106"/>
  <c r="D7079" i="106"/>
  <c r="B7080" i="106"/>
  <c r="D7080" i="106"/>
  <c r="B7081" i="106"/>
  <c r="D7081" i="106"/>
  <c r="B7082" i="106"/>
  <c r="D7082" i="106"/>
  <c r="B7083" i="106"/>
  <c r="D7083" i="106"/>
  <c r="B7084" i="106"/>
  <c r="D7084" i="106"/>
  <c r="B7085" i="106"/>
  <c r="D7085" i="106"/>
  <c r="B7086" i="106"/>
  <c r="D7086" i="106"/>
  <c r="B7087" i="106"/>
  <c r="D7087" i="106"/>
  <c r="B7089" i="106"/>
  <c r="D7089" i="106"/>
  <c r="B7090" i="106"/>
  <c r="D7090" i="106"/>
  <c r="B7091" i="106"/>
  <c r="D7091" i="106"/>
  <c r="B7092" i="106"/>
  <c r="D7092" i="106"/>
  <c r="B7093" i="106"/>
  <c r="D7093" i="106"/>
  <c r="B7094" i="106"/>
  <c r="D7094" i="106"/>
  <c r="B7095" i="106"/>
  <c r="D7095" i="106"/>
  <c r="B7097" i="106"/>
  <c r="D7097" i="106"/>
  <c r="B7098" i="106"/>
  <c r="D7098"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8" i="106"/>
  <c r="D7118" i="106"/>
  <c r="B7119" i="106"/>
  <c r="D7119" i="106"/>
  <c r="B7120" i="106"/>
  <c r="D7120" i="106"/>
  <c r="B7121" i="106"/>
  <c r="D7121" i="106"/>
  <c r="B7122" i="106"/>
  <c r="D7122" i="106"/>
  <c r="B7123" i="106"/>
  <c r="D7123" i="106"/>
  <c r="B7124" i="106"/>
  <c r="D7124" i="106"/>
  <c r="B7125" i="106"/>
  <c r="D7125" i="106"/>
  <c r="B7126" i="106"/>
  <c r="D7126" i="106"/>
  <c r="B7127" i="106"/>
  <c r="D7127" i="106"/>
  <c r="B7128" i="106"/>
  <c r="D7128" i="106"/>
  <c r="B7129" i="106"/>
  <c r="D7129" i="106"/>
  <c r="B7130" i="106"/>
  <c r="D7130" i="106"/>
  <c r="B7131" i="106"/>
  <c r="D7131" i="106"/>
  <c r="B7132" i="106"/>
  <c r="D7132" i="106"/>
  <c r="B7133" i="106"/>
  <c r="D7133" i="106"/>
  <c r="B7134" i="106"/>
  <c r="D7134" i="106"/>
  <c r="B7135" i="106"/>
  <c r="D7135" i="106"/>
  <c r="B7136" i="106"/>
  <c r="D7136" i="106"/>
  <c r="B7137" i="106"/>
  <c r="D7137" i="106"/>
  <c r="B7138" i="106"/>
  <c r="D7138" i="106"/>
  <c r="B7139" i="106"/>
  <c r="D7139" i="106"/>
  <c r="B7140" i="106"/>
  <c r="D7140" i="106"/>
  <c r="B7141" i="106"/>
  <c r="D7141" i="106"/>
  <c r="B7142" i="106"/>
  <c r="D7142" i="106"/>
  <c r="B7143" i="106"/>
  <c r="D7143" i="106"/>
  <c r="B7145" i="106"/>
  <c r="D7145" i="106"/>
  <c r="B7146" i="106"/>
  <c r="D7146" i="106"/>
  <c r="B7147" i="106"/>
  <c r="D7147" i="106"/>
  <c r="B7148" i="106"/>
  <c r="D7148" i="106"/>
  <c r="B7149" i="106"/>
  <c r="D7149" i="106"/>
  <c r="B7150" i="106"/>
  <c r="D7150" i="106"/>
  <c r="B7151" i="106"/>
  <c r="D7151" i="106"/>
  <c r="B7152" i="106"/>
  <c r="D7152" i="106"/>
  <c r="B7153" i="106"/>
  <c r="D7153" i="106"/>
  <c r="B7154" i="106"/>
  <c r="D7154" i="106"/>
  <c r="B7155" i="106"/>
  <c r="D7155" i="106"/>
  <c r="B7156" i="106"/>
  <c r="D7156" i="106"/>
  <c r="B7157" i="106"/>
  <c r="D7157" i="106"/>
  <c r="B7158" i="106"/>
  <c r="D7158" i="106"/>
  <c r="B7159" i="106"/>
  <c r="D7159" i="106"/>
  <c r="B7160" i="106"/>
  <c r="D7160" i="106"/>
  <c r="B7161" i="106"/>
  <c r="D7161" i="106"/>
  <c r="B7162" i="106"/>
  <c r="D7162" i="106"/>
  <c r="B7163" i="106"/>
  <c r="D7163" i="106"/>
  <c r="B7164" i="106"/>
  <c r="D7164" i="106"/>
  <c r="B7165" i="106"/>
  <c r="D7165" i="106"/>
  <c r="B7166" i="106"/>
  <c r="D7166" i="106"/>
  <c r="B7167" i="106"/>
  <c r="D7167" i="106"/>
  <c r="B7168" i="106"/>
  <c r="D7168" i="106"/>
  <c r="B7169" i="106"/>
  <c r="D7169" i="106"/>
  <c r="B7170" i="106"/>
  <c r="D7170" i="106"/>
  <c r="B7171" i="106"/>
  <c r="D7171" i="106"/>
  <c r="B7172" i="106"/>
  <c r="D7172" i="106"/>
  <c r="B7173" i="106"/>
  <c r="D7173" i="106"/>
  <c r="B7174" i="106"/>
  <c r="D7174" i="106"/>
  <c r="B7175" i="106"/>
  <c r="D7175" i="106"/>
  <c r="B7176" i="106"/>
  <c r="D7176" i="106"/>
  <c r="B7177" i="106"/>
  <c r="D7177" i="106"/>
  <c r="B7178" i="106"/>
  <c r="D7178" i="106"/>
  <c r="B7179" i="106"/>
  <c r="D7179" i="106"/>
  <c r="B7180" i="106"/>
  <c r="D7180" i="106"/>
  <c r="B7181" i="106"/>
  <c r="D7181" i="106"/>
  <c r="B7182" i="106"/>
  <c r="D7182" i="106"/>
  <c r="B7183" i="106"/>
  <c r="D7183" i="106"/>
  <c r="B7184" i="106"/>
  <c r="D7184" i="106"/>
  <c r="B7185" i="106"/>
  <c r="D7185" i="106"/>
  <c r="B7186" i="106"/>
  <c r="D7186" i="106"/>
  <c r="B7187" i="106"/>
  <c r="D7187" i="106"/>
  <c r="B7188" i="106"/>
  <c r="D7188" i="106"/>
  <c r="B7189" i="106"/>
  <c r="D7189" i="106"/>
  <c r="B7190" i="106"/>
  <c r="D7190" i="106"/>
  <c r="B7191" i="106"/>
  <c r="D7191" i="106"/>
  <c r="B7192" i="106"/>
  <c r="D7192" i="106"/>
  <c r="B7193" i="106"/>
  <c r="D7193" i="106"/>
  <c r="B7194" i="106"/>
  <c r="D7194" i="106"/>
  <c r="B7195" i="106"/>
  <c r="D7195" i="106"/>
  <c r="B7196" i="106"/>
  <c r="D7196" i="106"/>
  <c r="B7197" i="106"/>
  <c r="D7197" i="106"/>
  <c r="B7198" i="106"/>
  <c r="D7198" i="106"/>
  <c r="C330" i="29"/>
  <c r="B7199" i="106"/>
  <c r="D7199" i="106"/>
  <c r="D330" i="29"/>
  <c r="E330" i="29"/>
  <c r="F330" i="29"/>
  <c r="G330" i="29"/>
  <c r="B7203" i="106"/>
  <c r="D7203" i="106"/>
  <c r="H330" i="29"/>
  <c r="B7204" i="106"/>
  <c r="D7204" i="106"/>
  <c r="I330" i="29"/>
  <c r="B7205" i="106"/>
  <c r="D7205" i="106"/>
  <c r="J330" i="29"/>
  <c r="B7206" i="106"/>
  <c r="D7206" i="106"/>
  <c r="B7696" i="106"/>
  <c r="D7696" i="106"/>
  <c r="B7705" i="106"/>
  <c r="D7705" i="106"/>
  <c r="B7208" i="106"/>
  <c r="D7208" i="106"/>
  <c r="B7209" i="106"/>
  <c r="D7209" i="106"/>
  <c r="B7210" i="106"/>
  <c r="D7210" i="106"/>
  <c r="B7212" i="106"/>
  <c r="D7212" i="106"/>
  <c r="B7213" i="106"/>
  <c r="D7213" i="106"/>
  <c r="H340" i="29"/>
  <c r="B7226" i="106"/>
  <c r="D7226" i="106"/>
  <c r="B7227" i="106"/>
  <c r="D7227" i="106"/>
  <c r="B7228" i="106"/>
  <c r="D7228" i="106"/>
  <c r="B7229" i="106"/>
  <c r="D7229" i="106"/>
  <c r="I350" i="29"/>
  <c r="J350" i="29"/>
  <c r="B7231" i="106"/>
  <c r="D7231" i="106"/>
  <c r="B7232" i="106"/>
  <c r="D7232" i="106"/>
  <c r="B7233" i="106"/>
  <c r="D7233" i="106"/>
  <c r="B7236" i="106"/>
  <c r="D7236" i="106"/>
  <c r="B7237" i="106"/>
  <c r="D7237" i="106"/>
  <c r="B7238" i="106"/>
  <c r="D7238" i="106"/>
  <c r="B7239" i="106"/>
  <c r="D7239" i="106"/>
  <c r="B7240" i="106"/>
  <c r="D7240" i="106"/>
  <c r="B7241" i="106"/>
  <c r="D7241"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c r="D7729" i="106"/>
  <c r="B7731" i="106"/>
  <c r="D7731" i="106"/>
  <c r="D7733" i="106"/>
  <c r="D7734" i="106"/>
  <c r="B7735" i="106"/>
  <c r="D7735" i="106"/>
  <c r="B7736" i="106"/>
  <c r="D7736" i="106"/>
  <c r="B7737" i="106"/>
  <c r="D7737" i="106"/>
  <c r="B7738" i="106"/>
  <c r="D7738" i="106"/>
  <c r="I26" i="12"/>
  <c r="B7741" i="106"/>
  <c r="D7741" i="106"/>
  <c r="K26" i="12"/>
  <c r="B7743" i="106"/>
  <c r="D7743" i="106"/>
  <c r="D7744" i="106"/>
  <c r="B7745" i="106"/>
  <c r="D7745"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800" i="106"/>
  <c r="B6" i="36"/>
  <c r="B7" i="36"/>
  <c r="B9" i="36"/>
  <c r="B10" i="36"/>
  <c r="B11" i="36"/>
  <c r="B12" i="36"/>
  <c r="B13" i="36"/>
  <c r="D23" i="36"/>
  <c r="B9" i="106"/>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1" i="108"/>
  <c r="F37" i="108"/>
  <c r="G28" i="108"/>
  <c r="E29" i="108"/>
  <c r="D31" i="108"/>
  <c r="D36" i="108"/>
  <c r="D37" i="108"/>
  <c r="E31" i="108"/>
  <c r="G31" i="108"/>
  <c r="E33" i="108"/>
  <c r="G33" i="108"/>
  <c r="E34" i="108"/>
  <c r="G34" i="108"/>
  <c r="E35" i="108"/>
  <c r="G35"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5" i="7"/>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c r="B3062" i="106"/>
  <c r="D3062" i="106"/>
  <c r="B1105" i="106"/>
  <c r="D1105" i="106"/>
  <c r="C33" i="29"/>
  <c r="D33" i="29"/>
  <c r="B778" i="106"/>
  <c r="D778" i="106"/>
  <c r="F33" i="29"/>
  <c r="B894" i="106"/>
  <c r="D894" i="106"/>
  <c r="B952" i="106"/>
  <c r="D952" i="106"/>
  <c r="H33" i="29"/>
  <c r="B1010" i="106"/>
  <c r="D1010" i="106"/>
  <c r="B6902" i="106"/>
  <c r="D6902" i="106"/>
  <c r="J33" i="29"/>
  <c r="B6903" i="106"/>
  <c r="D6903" i="106"/>
  <c r="L33" i="29"/>
  <c r="L42" i="29"/>
  <c r="B1117" i="106"/>
  <c r="D1117" i="106"/>
  <c r="C47" i="29"/>
  <c r="L47"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B5066" i="106"/>
  <c r="D5066" i="106"/>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1" i="5"/>
  <c r="B5132" i="106"/>
  <c r="D5132" i="106"/>
  <c r="D121" i="5"/>
  <c r="B5367" i="106"/>
  <c r="D5367" i="106"/>
  <c r="E121" i="5"/>
  <c r="B5534" i="106"/>
  <c r="D5534" i="106"/>
  <c r="F121" i="5"/>
  <c r="B5599" i="106"/>
  <c r="D5599" i="106"/>
  <c r="F131" i="5"/>
  <c r="B5614" i="106"/>
  <c r="D5614" i="106"/>
  <c r="F154" i="5"/>
  <c r="G121" i="5"/>
  <c r="B5748" i="106"/>
  <c r="D5748" i="106"/>
  <c r="H121" i="5"/>
  <c r="B5893" i="106"/>
  <c r="D5893" i="106"/>
  <c r="J121" i="5"/>
  <c r="B6357" i="106"/>
  <c r="D6357" i="106"/>
  <c r="K121" i="5"/>
  <c r="B6006" i="106"/>
  <c r="D6006" i="106"/>
  <c r="C131" i="5"/>
  <c r="B5147" i="106"/>
  <c r="D5147" i="106"/>
  <c r="D131" i="5"/>
  <c r="B5369" i="106"/>
  <c r="D5369" i="106"/>
  <c r="C140" i="5"/>
  <c r="B5161" i="106"/>
  <c r="D5161" i="106"/>
  <c r="D140" i="5"/>
  <c r="B5383" i="106"/>
  <c r="D5383" i="106"/>
  <c r="G140" i="5"/>
  <c r="B5752" i="106"/>
  <c r="D5752" i="106"/>
  <c r="G144" i="5"/>
  <c r="B5756" i="106"/>
  <c r="D5756" i="106"/>
  <c r="G154" i="5"/>
  <c r="B4357" i="106"/>
  <c r="D4357" i="106"/>
  <c r="C144" i="5"/>
  <c r="B5165" i="106"/>
  <c r="D5165" i="106"/>
  <c r="C154" i="5"/>
  <c r="B5178" i="106"/>
  <c r="D5178" i="106"/>
  <c r="D154" i="5"/>
  <c r="B5394" i="106"/>
  <c r="D5394" i="106"/>
  <c r="E172" i="5"/>
  <c r="H172" i="5"/>
  <c r="B5899" i="106"/>
  <c r="D5899" i="106"/>
  <c r="I172" i="5"/>
  <c r="B4363" i="106"/>
  <c r="D4363" i="106"/>
  <c r="J172" i="5"/>
  <c r="B6396" i="106"/>
  <c r="D6396" i="106"/>
  <c r="K172" i="5"/>
  <c r="B5000" i="106"/>
  <c r="D5000" i="106"/>
  <c r="C178" i="5"/>
  <c r="B5225" i="106"/>
  <c r="D5225" i="106"/>
  <c r="D178" i="5"/>
  <c r="B5423" i="106"/>
  <c r="D5423" i="106"/>
  <c r="E178" i="5"/>
  <c r="B4372" i="106"/>
  <c r="D4372" i="106"/>
  <c r="F178" i="5"/>
  <c r="B5655" i="106"/>
  <c r="D5655" i="106"/>
  <c r="G178" i="5"/>
  <c r="B5780" i="106"/>
  <c r="D5780" i="106"/>
  <c r="H178" i="5"/>
  <c r="I178" i="5"/>
  <c r="I274" i="5"/>
  <c r="J178" i="5"/>
  <c r="B6400" i="106"/>
  <c r="D6400" i="106"/>
  <c r="K178" i="5"/>
  <c r="B4951" i="106"/>
  <c r="D4951" i="106"/>
  <c r="C184" i="5"/>
  <c r="B5232" i="106"/>
  <c r="D5232" i="106"/>
  <c r="D184" i="5"/>
  <c r="B5425" i="106"/>
  <c r="D5425" i="106"/>
  <c r="F184" i="5"/>
  <c r="B5658" i="106"/>
  <c r="D5658" i="106"/>
  <c r="G184" i="5"/>
  <c r="B5784" i="106"/>
  <c r="D5784" i="106"/>
  <c r="H184" i="5"/>
  <c r="B5908" i="106"/>
  <c r="D5908" i="106"/>
  <c r="K184" i="5"/>
  <c r="B6016" i="106"/>
  <c r="D6016" i="106"/>
  <c r="B4395" i="106"/>
  <c r="D4395" i="106"/>
  <c r="D191" i="5"/>
  <c r="B4396" i="106"/>
  <c r="D4396" i="106"/>
  <c r="F191" i="5"/>
  <c r="G191" i="5"/>
  <c r="G201" i="5"/>
  <c r="B6409" i="106"/>
  <c r="D6409" i="106"/>
  <c r="B5260" i="106"/>
  <c r="D5260" i="106"/>
  <c r="D211" i="5"/>
  <c r="B5444" i="106"/>
  <c r="D5444" i="106"/>
  <c r="F211" i="5"/>
  <c r="B5677" i="106"/>
  <c r="D5677" i="106"/>
  <c r="G211" i="5"/>
  <c r="B5803" i="106"/>
  <c r="D5803" i="106"/>
  <c r="B4411" i="106"/>
  <c r="D4411" i="106"/>
  <c r="D216" i="5"/>
  <c r="B4412" i="106"/>
  <c r="D4412" i="106"/>
  <c r="F216" i="5"/>
  <c r="B4413" i="106"/>
  <c r="D4413" i="106"/>
  <c r="G216" i="5"/>
  <c r="B4414" i="106"/>
  <c r="D4414" i="106"/>
  <c r="B5286" i="106"/>
  <c r="D5286" i="106"/>
  <c r="D224" i="5"/>
  <c r="B5470" i="106"/>
  <c r="D5470" i="106"/>
  <c r="F224" i="5"/>
  <c r="B5703" i="106"/>
  <c r="D5703" i="106"/>
  <c r="G224" i="5"/>
  <c r="B5829" i="106"/>
  <c r="D5829" i="106"/>
  <c r="D228" i="5"/>
  <c r="B5488" i="106"/>
  <c r="D5488" i="106"/>
  <c r="G228" i="5"/>
  <c r="B5847" i="106"/>
  <c r="D5847" i="106"/>
  <c r="G259" i="5"/>
  <c r="B6837" i="106"/>
  <c r="D6837" i="106"/>
  <c r="B6833" i="106"/>
  <c r="D6833" i="106"/>
  <c r="D259" i="5"/>
  <c r="B6834" i="106"/>
  <c r="D6834" i="106"/>
  <c r="E259" i="5"/>
  <c r="F259" i="5"/>
  <c r="B6836" i="106"/>
  <c r="D6836" i="106"/>
  <c r="H259" i="5"/>
  <c r="H273" i="5"/>
  <c r="B4441" i="106"/>
  <c r="D4441" i="106"/>
  <c r="J259" i="5"/>
  <c r="J273" i="5"/>
  <c r="B7041" i="106"/>
  <c r="D7041" i="106"/>
  <c r="K259" i="5"/>
  <c r="K273" i="5"/>
  <c r="B4442" i="106"/>
  <c r="D4442" i="106"/>
  <c r="C14" i="4"/>
  <c r="B2558" i="106"/>
  <c r="D2558" i="106"/>
  <c r="D14" i="4"/>
  <c r="B2570" i="106"/>
  <c r="D2570" i="106"/>
  <c r="F14" i="4"/>
  <c r="B2597" i="106"/>
  <c r="D2597" i="106"/>
  <c r="B2633" i="106"/>
  <c r="D2633" i="106"/>
  <c r="N22" i="3"/>
  <c r="B283" i="106"/>
  <c r="D283" i="106"/>
  <c r="D7" i="118"/>
  <c r="D8" i="118"/>
  <c r="D9" i="118"/>
  <c r="H14" i="118"/>
  <c r="H19" i="118"/>
  <c r="H24" i="118"/>
  <c r="H28" i="118"/>
  <c r="D11" i="37"/>
  <c r="D22" i="37"/>
  <c r="H22" i="37"/>
  <c r="J22" i="37"/>
  <c r="L22" i="37"/>
  <c r="D24" i="37"/>
  <c r="B4270" i="106"/>
  <c r="D4270" i="106"/>
  <c r="L5" i="11"/>
  <c r="B2056" i="106"/>
  <c r="D2056" i="106"/>
  <c r="D5" i="7"/>
  <c r="B1761" i="106"/>
  <c r="D1761" i="106"/>
  <c r="D13" i="7"/>
  <c r="B3726" i="106"/>
  <c r="D3726" i="106"/>
  <c r="D9" i="7"/>
  <c r="B1767" i="106"/>
  <c r="D1767" i="106"/>
  <c r="D17" i="7"/>
  <c r="B4104" i="106"/>
  <c r="D4104" i="106"/>
  <c r="B6289" i="106"/>
  <c r="D6289" i="106"/>
  <c r="H76" i="4"/>
  <c r="B3298" i="106"/>
  <c r="D3298" i="106"/>
  <c r="F13" i="4"/>
  <c r="B2596" i="106"/>
  <c r="D2596" i="106"/>
  <c r="G38" i="108"/>
  <c r="F28" i="108"/>
  <c r="E38" i="108"/>
  <c r="G30" i="108"/>
  <c r="E30" i="108"/>
  <c r="F36" i="108"/>
  <c r="D5" i="4"/>
  <c r="B3406" i="106"/>
  <c r="D3406" i="106"/>
  <c r="D7" i="7"/>
  <c r="B1763" i="106"/>
  <c r="D1763" i="106"/>
  <c r="B5096" i="106"/>
  <c r="D5096" i="106"/>
  <c r="J210" i="29"/>
  <c r="B7072" i="106"/>
  <c r="D7072" i="106"/>
  <c r="J77" i="4"/>
  <c r="B6262" i="106"/>
  <c r="D6262" i="106"/>
  <c r="E109" i="5"/>
  <c r="E4" i="4"/>
  <c r="B2630" i="106"/>
  <c r="D2630" i="106"/>
  <c r="F127" i="34"/>
  <c r="G29" i="108"/>
  <c r="H112" i="29"/>
  <c r="B7018" i="106"/>
  <c r="D7018" i="106"/>
  <c r="B4373" i="106"/>
  <c r="D4373" i="106"/>
  <c r="G14" i="4"/>
  <c r="B2609" i="106"/>
  <c r="D2609" i="106"/>
  <c r="H342" i="29"/>
  <c r="B7221" i="106"/>
  <c r="D7221" i="106"/>
  <c r="B7047" i="106"/>
  <c r="D7047" i="106"/>
  <c r="L342" i="29"/>
  <c r="G39" i="108"/>
  <c r="B6995" i="106"/>
  <c r="D6995" i="106"/>
  <c r="B3647" i="106"/>
  <c r="D3647" i="106"/>
  <c r="B1329" i="106"/>
  <c r="D1329" i="106"/>
  <c r="E28" i="108"/>
  <c r="B1223" i="106"/>
  <c r="D1223" i="106"/>
  <c r="F136" i="34"/>
  <c r="H109" i="5"/>
  <c r="B6025" i="106"/>
  <c r="D6025" i="106"/>
  <c r="F131" i="34"/>
  <c r="D12" i="7"/>
  <c r="B1769" i="106"/>
  <c r="D1769" i="106"/>
  <c r="G5" i="4"/>
  <c r="B3409" i="106"/>
  <c r="D3409" i="106"/>
  <c r="D109" i="5"/>
  <c r="D4" i="4"/>
  <c r="B2564" i="106"/>
  <c r="D2564" i="106"/>
  <c r="F77" i="4"/>
  <c r="B3255" i="106"/>
  <c r="D3255" i="106"/>
  <c r="I342" i="29"/>
  <c r="B7222" i="106"/>
  <c r="D7222" i="106"/>
  <c r="J352" i="29"/>
  <c r="J367" i="29"/>
  <c r="B7245" i="106"/>
  <c r="D7245" i="106"/>
  <c r="B3619" i="106"/>
  <c r="D3619" i="106"/>
  <c r="C342" i="29"/>
  <c r="B7216" i="106"/>
  <c r="D7216" i="106"/>
  <c r="F106" i="34"/>
  <c r="C172" i="5"/>
  <c r="B5214" i="106"/>
  <c r="D5214" i="106"/>
  <c r="D4" i="7"/>
  <c r="B1760" i="106"/>
  <c r="D1760" i="106"/>
  <c r="F128" i="34"/>
  <c r="H173" i="5"/>
  <c r="D15" i="7"/>
  <c r="B1772" i="106"/>
  <c r="D1772" i="106"/>
  <c r="B1746" i="106"/>
  <c r="D1746" i="106"/>
  <c r="K274" i="5"/>
  <c r="K7" i="4"/>
  <c r="B3718" i="106"/>
  <c r="D3718" i="106"/>
  <c r="F130" i="34"/>
  <c r="J274" i="5"/>
  <c r="B7054" i="106"/>
  <c r="D7054" i="106"/>
  <c r="F172" i="5"/>
  <c r="B5644" i="106"/>
  <c r="D5644" i="106"/>
  <c r="G172" i="5"/>
  <c r="D11" i="7"/>
  <c r="B1768" i="106"/>
  <c r="D1768" i="106"/>
  <c r="F111" i="34"/>
  <c r="C109" i="5"/>
  <c r="B5121" i="106"/>
  <c r="D5121" i="106"/>
  <c r="F27" i="108"/>
  <c r="F26" i="108"/>
  <c r="D26" i="108"/>
  <c r="D41" i="108"/>
  <c r="E43" i="108"/>
  <c r="B1126" i="106"/>
  <c r="D1126" i="106"/>
  <c r="H365" i="29"/>
  <c r="B7242" i="106"/>
  <c r="D7242" i="106"/>
  <c r="E174" i="29"/>
  <c r="B1309" i="106"/>
  <c r="D1309" i="106"/>
  <c r="L312" i="29"/>
  <c r="K41" i="3"/>
  <c r="B3568" i="106"/>
  <c r="D3568" i="106"/>
  <c r="D54" i="36"/>
  <c r="F19" i="7"/>
  <c r="B1807" i="106"/>
  <c r="D1807" i="106"/>
  <c r="B3621" i="106"/>
  <c r="D3621" i="106"/>
  <c r="C367" i="29"/>
  <c r="B3622" i="106"/>
  <c r="D3622" i="106"/>
  <c r="L367" i="29"/>
  <c r="B1410" i="106"/>
  <c r="D1410" i="106"/>
  <c r="B3649" i="106"/>
  <c r="D3649" i="106"/>
  <c r="G367" i="29"/>
  <c r="K350" i="29"/>
  <c r="I173" i="5"/>
  <c r="B4216" i="106"/>
  <c r="D4216" i="106"/>
  <c r="G109" i="5"/>
  <c r="K173" i="5"/>
  <c r="K6" i="4"/>
  <c r="B3570" i="106"/>
  <c r="D3570" i="106"/>
  <c r="K76" i="4"/>
  <c r="B3586" i="106"/>
  <c r="D3586" i="106"/>
  <c r="H29" i="118"/>
  <c r="K28" i="118"/>
  <c r="O27" i="118"/>
  <c r="O29" i="118"/>
  <c r="D31" i="36"/>
  <c r="H33" i="118"/>
  <c r="C41" i="3"/>
  <c r="B93" i="106"/>
  <c r="D93" i="106"/>
  <c r="H295" i="29"/>
  <c r="B1454" i="106"/>
  <c r="D1454" i="106"/>
  <c r="B4156" i="106"/>
  <c r="D4156" i="106"/>
  <c r="H172" i="29"/>
  <c r="H174" i="29"/>
  <c r="B2823" i="106"/>
  <c r="D2823" i="106"/>
  <c r="J90" i="28"/>
  <c r="H352" i="29"/>
  <c r="B3656" i="106"/>
  <c r="D3656" i="106"/>
  <c r="B3724" i="106"/>
  <c r="D3724" i="106"/>
  <c r="E102" i="29"/>
  <c r="B2790" i="106"/>
  <c r="D2790" i="106"/>
  <c r="J342" i="29"/>
  <c r="B7223" i="106"/>
  <c r="D7223" i="106"/>
  <c r="G342" i="29"/>
  <c r="B7220" i="106"/>
  <c r="D7220" i="106"/>
  <c r="B2088" i="106"/>
  <c r="D2088" i="106"/>
  <c r="B79" i="36"/>
  <c r="B77" i="36"/>
  <c r="D18" i="7"/>
  <c r="B4105" i="106"/>
  <c r="D4105" i="106"/>
  <c r="F105" i="34"/>
  <c r="F107" i="34"/>
  <c r="F109" i="5"/>
  <c r="J109" i="5"/>
  <c r="J173" i="5"/>
  <c r="F95" i="34"/>
  <c r="F129" i="34"/>
  <c r="D14" i="7"/>
  <c r="B1770" i="106"/>
  <c r="D1770" i="106"/>
  <c r="N23" i="3"/>
  <c r="B284" i="106"/>
  <c r="D284" i="106"/>
  <c r="F5" i="4"/>
  <c r="B3408" i="106"/>
  <c r="D3408" i="106"/>
  <c r="C5" i="4"/>
  <c r="B3405" i="106"/>
  <c r="D3405" i="106"/>
  <c r="B6840" i="106"/>
  <c r="D6840" i="106"/>
  <c r="B6839" i="106"/>
  <c r="D6839" i="106"/>
  <c r="B6838" i="106"/>
  <c r="D6838" i="106"/>
  <c r="D172" i="5"/>
  <c r="B5412" i="106"/>
  <c r="D5412" i="106"/>
  <c r="B5618" i="106"/>
  <c r="D5618" i="106"/>
  <c r="K109" i="5"/>
  <c r="F16" i="11"/>
  <c r="B7200" i="106"/>
  <c r="D7200" i="106"/>
  <c r="D342" i="29"/>
  <c r="B7217" i="106"/>
  <c r="D7217" i="106"/>
  <c r="B7144" i="106"/>
  <c r="D7144" i="106"/>
  <c r="B6901" i="106"/>
  <c r="D6901" i="106"/>
  <c r="B6885" i="106"/>
  <c r="D6885" i="106"/>
  <c r="B7211" i="106"/>
  <c r="D7211" i="106"/>
  <c r="B6893" i="106"/>
  <c r="D6893" i="106"/>
  <c r="B6877" i="106"/>
  <c r="D6877" i="106"/>
  <c r="B6216" i="106"/>
  <c r="D6216" i="106"/>
  <c r="D51" i="36"/>
  <c r="B3703" i="106"/>
  <c r="D3703" i="106"/>
  <c r="K362" i="29"/>
  <c r="B3676" i="106"/>
  <c r="D3676" i="106"/>
  <c r="B3650" i="106"/>
  <c r="D3650" i="106"/>
  <c r="D352" i="29"/>
  <c r="D367" i="29"/>
  <c r="B3629" i="106"/>
  <c r="D3629" i="106"/>
  <c r="I76" i="4"/>
  <c r="L41" i="3"/>
  <c r="I41" i="3"/>
  <c r="K16" i="11"/>
  <c r="B2055" i="106"/>
  <c r="D2055" i="106"/>
  <c r="H312" i="29"/>
  <c r="B1554" i="106"/>
  <c r="D1554" i="106"/>
  <c r="E312" i="29"/>
  <c r="B1536" i="106"/>
  <c r="D1536" i="106"/>
  <c r="D312" i="29"/>
  <c r="B1530" i="106"/>
  <c r="D1530" i="106"/>
  <c r="B1512" i="106"/>
  <c r="D1512" i="106"/>
  <c r="B1352" i="106"/>
  <c r="D1352" i="106"/>
  <c r="E210" i="29"/>
  <c r="B1353" i="106"/>
  <c r="D1353" i="106"/>
  <c r="B1264" i="106"/>
  <c r="D1264" i="106"/>
  <c r="H129" i="29"/>
  <c r="B1239" i="106"/>
  <c r="D1239" i="106"/>
  <c r="E129" i="29"/>
  <c r="B1146" i="106"/>
  <c r="D1146" i="106"/>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3447" i="106"/>
  <c r="D3447" i="106"/>
  <c r="B19" i="7"/>
  <c r="B1759" i="106"/>
  <c r="D1759" i="106"/>
  <c r="D8" i="7"/>
  <c r="B1764" i="106"/>
  <c r="D1764" i="106"/>
  <c r="B4435" i="106"/>
  <c r="D4435" i="106"/>
  <c r="I7" i="4"/>
  <c r="B4444" i="106"/>
  <c r="D4444" i="106"/>
  <c r="F273" i="5"/>
  <c r="B5713" i="106"/>
  <c r="D5713" i="106"/>
  <c r="B4397" i="106"/>
  <c r="D4397" i="106"/>
  <c r="B4950" i="106"/>
  <c r="D4950" i="106"/>
  <c r="H274" i="5"/>
  <c r="H7" i="4"/>
  <c r="B2657" i="106"/>
  <c r="D2657" i="106"/>
  <c r="L210" i="29"/>
  <c r="L102" i="29"/>
  <c r="B1121" i="106"/>
  <c r="D1121" i="106"/>
  <c r="E12" i="145"/>
  <c r="B731" i="106"/>
  <c r="D731" i="106"/>
  <c r="C74" i="29"/>
  <c r="B755" i="106"/>
  <c r="D755" i="106"/>
  <c r="B1116" i="106"/>
  <c r="D1116" i="106"/>
  <c r="F161" i="34"/>
  <c r="B7600" i="106"/>
  <c r="L6" i="11"/>
  <c r="B7605" i="106"/>
  <c r="A7250" i="106"/>
  <c r="A7251" i="106"/>
  <c r="A7252" i="106"/>
  <c r="A7253" i="106"/>
  <c r="A7254" i="106"/>
  <c r="A7255" i="106"/>
  <c r="A7256" i="106"/>
  <c r="A7257" i="106"/>
  <c r="D7249" i="106"/>
  <c r="E273" i="5"/>
  <c r="B6835" i="106"/>
  <c r="D6835" i="106"/>
  <c r="G273" i="5"/>
  <c r="B4398" i="106"/>
  <c r="D4398" i="106"/>
  <c r="B5537" i="106"/>
  <c r="D5537" i="106"/>
  <c r="E173" i="5"/>
  <c r="I109" i="5"/>
  <c r="B5527" i="106"/>
  <c r="D5527" i="106"/>
  <c r="L279" i="29"/>
  <c r="L295" i="29"/>
  <c r="L74" i="29"/>
  <c r="B720" i="106"/>
  <c r="D720" i="106"/>
  <c r="B2031" i="106"/>
  <c r="D2031" i="106"/>
  <c r="L16" i="11"/>
  <c r="B2061" i="106"/>
  <c r="D2061" i="106"/>
  <c r="B7618" i="106"/>
  <c r="L14" i="11"/>
  <c r="B7623" i="106"/>
  <c r="D7252" i="106"/>
  <c r="D7250" i="106"/>
  <c r="B7230" i="106"/>
  <c r="D7230" i="106"/>
  <c r="I352" i="29"/>
  <c r="I367" i="29"/>
  <c r="B7215" i="106"/>
  <c r="D7215" i="106"/>
  <c r="J16" i="4"/>
  <c r="B6226" i="106"/>
  <c r="D6226" i="106"/>
  <c r="B7202" i="106"/>
  <c r="D7202" i="106"/>
  <c r="F342" i="29"/>
  <c r="B7219" i="106"/>
  <c r="D7219" i="106"/>
  <c r="B7503" i="106"/>
  <c r="B7531" i="106"/>
  <c r="D7253" i="106"/>
  <c r="D7251" i="106"/>
  <c r="B7214" i="106"/>
  <c r="D7214" i="106"/>
  <c r="B7201" i="106"/>
  <c r="D7201" i="106"/>
  <c r="E342" i="29"/>
  <c r="B7218" i="106"/>
  <c r="D7218" i="106"/>
  <c r="B6917" i="106"/>
  <c r="D6917" i="106"/>
  <c r="J74" i="29"/>
  <c r="D273" i="5"/>
  <c r="B5501" i="106"/>
  <c r="D5501" i="106"/>
  <c r="D7256" i="106"/>
  <c r="D7255" i="106"/>
  <c r="D7254" i="106"/>
  <c r="D7248" i="106"/>
  <c r="D7247" i="106"/>
  <c r="D7246" i="106"/>
  <c r="J312" i="29"/>
  <c r="B7117" i="106"/>
  <c r="D7117" i="106"/>
  <c r="I312" i="29"/>
  <c r="B7116" i="106"/>
  <c r="D7116" i="106"/>
  <c r="J151" i="29"/>
  <c r="B7052" i="106"/>
  <c r="D7052" i="106"/>
  <c r="B6916" i="106"/>
  <c r="D6916" i="106"/>
  <c r="I49" i="8"/>
  <c r="B3633" i="106"/>
  <c r="D3633" i="106"/>
  <c r="E352" i="29"/>
  <c r="E367" i="29"/>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B1508" i="106"/>
  <c r="D1508" i="106"/>
  <c r="B1491" i="106"/>
  <c r="D1491" i="106"/>
  <c r="B1485" i="106"/>
  <c r="D1485" i="106"/>
  <c r="B1475" i="106"/>
  <c r="D1475" i="106"/>
  <c r="B2842" i="106"/>
  <c r="D2842" i="106"/>
  <c r="B1381" i="106"/>
  <c r="D1381" i="106"/>
  <c r="B1317" i="106"/>
  <c r="D1317" i="106"/>
  <c r="B1318" i="106"/>
  <c r="D1318" i="106"/>
  <c r="B1127" i="106"/>
  <c r="D1127" i="106"/>
  <c r="B1133" i="106"/>
  <c r="D1133" i="106"/>
  <c r="B1123" i="106"/>
  <c r="D1123" i="106"/>
  <c r="B3640" i="106"/>
  <c r="D3640" i="106"/>
  <c r="F352" i="29"/>
  <c r="F367" i="29"/>
  <c r="B3296" i="106"/>
  <c r="D3296" i="106"/>
  <c r="H77" i="4"/>
  <c r="B3299" i="106"/>
  <c r="D3299" i="106"/>
  <c r="G77" i="4"/>
  <c r="B3261" i="106"/>
  <c r="D3261" i="106"/>
  <c r="L12" i="11"/>
  <c r="B2059" i="106"/>
  <c r="D2059" i="106"/>
  <c r="L8" i="11"/>
  <c r="B2057" i="106"/>
  <c r="D2057" i="106"/>
  <c r="G24" i="12"/>
  <c r="B1492" i="106"/>
  <c r="D1492" i="106"/>
  <c r="B1500" i="106"/>
  <c r="D1500" i="106"/>
  <c r="B1488" i="106"/>
  <c r="D1488" i="106"/>
  <c r="B1417" i="106"/>
  <c r="D1417" i="106"/>
  <c r="D279" i="29"/>
  <c r="D295" i="29"/>
  <c r="H196" i="29"/>
  <c r="B2828" i="106"/>
  <c r="D2828" i="106"/>
  <c r="B2986" i="106"/>
  <c r="D2986" i="106"/>
  <c r="B1256" i="106"/>
  <c r="D1256" i="106"/>
  <c r="B7013" i="106"/>
  <c r="D7013" i="106"/>
  <c r="B1135" i="106"/>
  <c r="D1135" i="106"/>
  <c r="B1141" i="106"/>
  <c r="D1141" i="106"/>
  <c r="B1021" i="106"/>
  <c r="D1021" i="106"/>
  <c r="H74" i="29"/>
  <c r="B847" i="106"/>
  <c r="D847" i="106"/>
  <c r="E74" i="29"/>
  <c r="E39" i="108"/>
  <c r="B1144" i="106"/>
  <c r="D1144" i="106"/>
  <c r="B1358" i="106"/>
  <c r="D1358" i="106"/>
  <c r="F210" i="29"/>
  <c r="B1359" i="106"/>
  <c r="D1359" i="106"/>
  <c r="B1345" i="106"/>
  <c r="D1345" i="106"/>
  <c r="D210" i="29"/>
  <c r="B1346" i="106"/>
  <c r="D1346" i="106"/>
  <c r="B1283" i="106"/>
  <c r="D1283" i="106"/>
  <c r="B1275" i="106"/>
  <c r="D1275" i="106"/>
  <c r="B1279" i="106"/>
  <c r="D1279" i="106"/>
  <c r="B1266" i="106"/>
  <c r="D1266" i="106"/>
  <c r="H151" i="29"/>
  <c r="B1273" i="106"/>
  <c r="D1273" i="106"/>
  <c r="B1247" i="106"/>
  <c r="D1247" i="106"/>
  <c r="F129" i="29"/>
  <c r="B1231" i="106"/>
  <c r="D1231" i="106"/>
  <c r="D129" i="29"/>
  <c r="B1109" i="106"/>
  <c r="D1109" i="106"/>
  <c r="H102" i="29"/>
  <c r="B1047" i="106"/>
  <c r="D1047" i="106"/>
  <c r="B905" i="106"/>
  <c r="D905" i="106"/>
  <c r="F74" i="29"/>
  <c r="D74" i="29"/>
  <c r="B211" i="106"/>
  <c r="D211" i="106"/>
  <c r="H41" i="3"/>
  <c r="B188" i="106"/>
  <c r="D188" i="106"/>
  <c r="G41" i="3"/>
  <c r="B139" i="106"/>
  <c r="D139" i="106"/>
  <c r="E41" i="3"/>
  <c r="J19" i="145"/>
  <c r="D82" i="36"/>
  <c r="L151" i="29"/>
  <c r="C273" i="5"/>
  <c r="J24" i="12"/>
  <c r="B7730" i="106"/>
  <c r="D7730" i="106"/>
  <c r="J7" i="4"/>
  <c r="B7270" i="106"/>
  <c r="D44" i="36"/>
  <c r="D52" i="36"/>
  <c r="F41" i="108"/>
  <c r="G43" i="108"/>
  <c r="L114" i="29"/>
  <c r="B7071" i="106"/>
  <c r="D7071" i="106"/>
  <c r="B6014" i="106"/>
  <c r="D6014" i="106"/>
  <c r="F173" i="5"/>
  <c r="B5653" i="106"/>
  <c r="D5653" i="106"/>
  <c r="C173" i="5"/>
  <c r="B5223" i="106"/>
  <c r="D5223" i="106"/>
  <c r="K77" i="4"/>
  <c r="B3587" i="106"/>
  <c r="D3587" i="106"/>
  <c r="I6" i="4"/>
  <c r="B5011" i="106"/>
  <c r="D5011" i="106"/>
  <c r="H4" i="4"/>
  <c r="B2655" i="106"/>
  <c r="D2655" i="106"/>
  <c r="B3628" i="106"/>
  <c r="D3628" i="106"/>
  <c r="G15" i="4"/>
  <c r="B6032" i="106"/>
  <c r="D6032" i="106"/>
  <c r="B1365" i="106"/>
  <c r="D1365" i="106"/>
  <c r="B1328" i="106"/>
  <c r="D1328" i="106"/>
  <c r="B7235" i="106"/>
  <c r="D7235" i="106"/>
  <c r="B5914" i="106"/>
  <c r="D5914" i="106"/>
  <c r="F6" i="4"/>
  <c r="B2593" i="106"/>
  <c r="D2593" i="106"/>
  <c r="D274" i="5"/>
  <c r="B5507" i="106"/>
  <c r="D5507" i="106"/>
  <c r="H275" i="5"/>
  <c r="B5915" i="106"/>
  <c r="D5915" i="106"/>
  <c r="K365" i="29"/>
  <c r="B7243" i="106"/>
  <c r="D7243" i="106"/>
  <c r="B5356" i="106"/>
  <c r="D5356" i="106"/>
  <c r="B6022" i="106"/>
  <c r="D6022" i="106"/>
  <c r="C114" i="29"/>
  <c r="B757" i="106"/>
  <c r="D757" i="106"/>
  <c r="C6" i="4"/>
  <c r="B2553" i="106"/>
  <c r="D2553" i="106"/>
  <c r="C4" i="4"/>
  <c r="B2551" i="106"/>
  <c r="D2551" i="106"/>
  <c r="B6024" i="106"/>
  <c r="D6024" i="106"/>
  <c r="G4" i="4"/>
  <c r="B2603" i="106"/>
  <c r="D2603" i="106"/>
  <c r="G173" i="5"/>
  <c r="B5770" i="106"/>
  <c r="D5770" i="106"/>
  <c r="B5906" i="106"/>
  <c r="D5906" i="106"/>
  <c r="H6" i="4"/>
  <c r="H367" i="29"/>
  <c r="B3660" i="106"/>
  <c r="D3660" i="106"/>
  <c r="D19" i="7"/>
  <c r="B1775" i="106"/>
  <c r="D1775" i="106"/>
  <c r="B3670" i="106"/>
  <c r="D3670" i="106"/>
  <c r="K352" i="29"/>
  <c r="F274" i="5"/>
  <c r="B7760" i="106"/>
  <c r="D7760" i="106"/>
  <c r="D24" i="36"/>
  <c r="F178"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3" i="5"/>
  <c r="F4" i="4"/>
  <c r="B2591" i="106"/>
  <c r="D2591" i="106"/>
  <c r="B5588" i="106"/>
  <c r="D5588" i="106"/>
  <c r="B124" i="106"/>
  <c r="D124" i="106"/>
  <c r="D45" i="36"/>
  <c r="B1151" i="106"/>
  <c r="D1151" i="106"/>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75" i="5"/>
  <c r="K275" i="5"/>
  <c r="B6023" i="106"/>
  <c r="D6023" i="106"/>
  <c r="B5320" i="106"/>
  <c r="D5320" i="106"/>
  <c r="C274" i="5"/>
  <c r="B929" i="106"/>
  <c r="D929" i="106"/>
  <c r="F114" i="29"/>
  <c r="B931" i="106"/>
  <c r="D931" i="106"/>
  <c r="B987" i="106"/>
  <c r="D987" i="106"/>
  <c r="B1115" i="106"/>
  <c r="D1115" i="106"/>
  <c r="G21" i="108"/>
  <c r="E21" i="108"/>
  <c r="D151" i="29"/>
  <c r="B1234" i="106"/>
  <c r="D1234" i="106"/>
  <c r="B1233" i="106"/>
  <c r="D1233" i="106"/>
  <c r="F151" i="29"/>
  <c r="B1250" i="106"/>
  <c r="D1250" i="106"/>
  <c r="B1249" i="106"/>
  <c r="D1249" i="106"/>
  <c r="B7048" i="106"/>
  <c r="D7048" i="106"/>
  <c r="B2837" i="106"/>
  <c r="D2837" i="106"/>
  <c r="B1145" i="106"/>
  <c r="D1145" i="106"/>
  <c r="B1258" i="106"/>
  <c r="D1258" i="106"/>
  <c r="B1331" i="106"/>
  <c r="D1331" i="106"/>
  <c r="E16" i="4"/>
  <c r="B1446" i="106"/>
  <c r="D1446" i="106"/>
  <c r="B1448" i="106"/>
  <c r="D1448" i="106"/>
  <c r="B1125" i="106"/>
  <c r="D1125" i="106"/>
  <c r="G24" i="108"/>
  <c r="E24" i="108"/>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B7051" i="106"/>
  <c r="D7051" i="106"/>
  <c r="B6026" i="106"/>
  <c r="D6026" i="106"/>
  <c r="I4" i="4"/>
  <c r="I275" i="5"/>
  <c r="B5946" i="106"/>
  <c r="D5946" i="106"/>
  <c r="G274" i="5"/>
  <c r="B5863" i="106"/>
  <c r="D5863" i="106"/>
  <c r="B7747" i="106"/>
  <c r="D7747" i="106"/>
  <c r="E274"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B2093" i="106"/>
  <c r="D2093" i="106"/>
  <c r="H210" i="29"/>
  <c r="B1376" i="106"/>
  <c r="D1376" i="106"/>
  <c r="B2830" i="106"/>
  <c r="D2830" i="106"/>
  <c r="B1958" i="106"/>
  <c r="D1958" i="106"/>
  <c r="G26" i="12"/>
  <c r="B7739" i="106"/>
  <c r="D7739" i="106"/>
  <c r="B3642" i="106"/>
  <c r="D3642" i="106"/>
  <c r="B3643" i="106"/>
  <c r="D3643" i="106"/>
  <c r="B1481" i="106"/>
  <c r="D1481" i="106"/>
  <c r="B2102" i="106"/>
  <c r="D2102" i="106"/>
  <c r="H15" i="4"/>
  <c r="B2660" i="106"/>
  <c r="D2660" i="106"/>
  <c r="B3636" i="106"/>
  <c r="D3636" i="106"/>
  <c r="B3635" i="106"/>
  <c r="D3635" i="106"/>
  <c r="B4171" i="106"/>
  <c r="D4171" i="106"/>
  <c r="N36" i="3"/>
  <c r="J114" i="29"/>
  <c r="B7021" i="106"/>
  <c r="D7021" i="106"/>
  <c r="B6978" i="106"/>
  <c r="D6978" i="106"/>
  <c r="B7244" i="106"/>
  <c r="D7244" i="106"/>
  <c r="B7234" i="106"/>
  <c r="D7234" i="106"/>
  <c r="B1108" i="106"/>
  <c r="D1108" i="106"/>
  <c r="E19" i="108"/>
  <c r="C12" i="4"/>
  <c r="G19" i="108"/>
  <c r="B5544" i="106"/>
  <c r="D5544" i="106"/>
  <c r="E6" i="4"/>
  <c r="B5719" i="106"/>
  <c r="D5719" i="106"/>
  <c r="G22" i="108"/>
  <c r="B1119" i="106"/>
  <c r="D1119" i="106"/>
  <c r="E22" i="108"/>
  <c r="G12" i="145"/>
  <c r="G19" i="145"/>
  <c r="J20" i="145"/>
  <c r="E19" i="145"/>
  <c r="B6222" i="106"/>
  <c r="D6222" i="106"/>
  <c r="D275" i="5"/>
  <c r="B7298" i="106"/>
  <c r="B7299" i="106"/>
  <c r="K367" i="29"/>
  <c r="K16" i="4"/>
  <c r="F275" i="5"/>
  <c r="B5720" i="106"/>
  <c r="D5720" i="106"/>
  <c r="B7224" i="106"/>
  <c r="D7224" i="106"/>
  <c r="D7" i="4"/>
  <c r="B2567" i="106"/>
  <c r="D2567" i="106"/>
  <c r="J8" i="4"/>
  <c r="B6223" i="106"/>
  <c r="D6223" i="106"/>
  <c r="F7" i="4"/>
  <c r="B2594" i="106"/>
  <c r="D2594" i="106"/>
  <c r="B5778" i="106"/>
  <c r="D5778" i="106"/>
  <c r="G6" i="4"/>
  <c r="B2604" i="106"/>
  <c r="D2604" i="106"/>
  <c r="B2656" i="106"/>
  <c r="D2656" i="106"/>
  <c r="H8" i="4"/>
  <c r="K13" i="4"/>
  <c r="B3572" i="106"/>
  <c r="D3572" i="106"/>
  <c r="B3672" i="106"/>
  <c r="D3672" i="106"/>
  <c r="J17" i="4"/>
  <c r="B6227" i="106"/>
  <c r="D6227" i="106"/>
  <c r="K313" i="29"/>
  <c r="B1561" i="106"/>
  <c r="D1561" i="106"/>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75" i="5"/>
  <c r="B1281" i="106"/>
  <c r="D1281" i="106"/>
  <c r="D13" i="4"/>
  <c r="B2634" i="106"/>
  <c r="D2634" i="106"/>
  <c r="E17" i="4"/>
  <c r="B1332" i="106"/>
  <c r="D1332" i="106"/>
  <c r="B1259" i="106"/>
  <c r="D1259" i="106"/>
  <c r="B989" i="106"/>
  <c r="D989" i="106"/>
  <c r="C275" i="5"/>
  <c r="B5326" i="106"/>
  <c r="D5326" i="106"/>
  <c r="C7" i="4"/>
  <c r="H37" i="37"/>
  <c r="B285" i="106"/>
  <c r="D285" i="106"/>
  <c r="N37" i="3"/>
  <c r="B3678" i="106"/>
  <c r="D3678" i="106"/>
  <c r="K368" i="29"/>
  <c r="B3681" i="106"/>
  <c r="D3681" i="106"/>
  <c r="B1510" i="106"/>
  <c r="D1510" i="106"/>
  <c r="G13" i="4"/>
  <c r="B3574" i="106"/>
  <c r="D3574" i="106"/>
  <c r="B1282" i="106"/>
  <c r="D1282" i="106"/>
  <c r="D15" i="4"/>
  <c r="B2571" i="106"/>
  <c r="D2571" i="106"/>
  <c r="J19" i="4"/>
  <c r="B6229" i="106"/>
  <c r="D6229" i="106"/>
  <c r="B5869" i="106"/>
  <c r="D5869" i="106"/>
  <c r="G275" i="5"/>
  <c r="G7" i="4"/>
  <c r="B3225" i="106"/>
  <c r="D3225" i="106"/>
  <c r="I8" i="4"/>
  <c r="B7020" i="106"/>
  <c r="D7020" i="106"/>
  <c r="F17" i="11"/>
  <c r="B2659" i="106"/>
  <c r="D2659" i="106"/>
  <c r="H17" i="4"/>
  <c r="B1387" i="106"/>
  <c r="D1387" i="106"/>
  <c r="F16" i="4"/>
  <c r="B2599" i="106"/>
  <c r="D2599" i="106"/>
  <c r="B1382" i="106"/>
  <c r="D1382" i="106"/>
  <c r="F15" i="4"/>
  <c r="B1287" i="106"/>
  <c r="D1287" i="106"/>
  <c r="D16" i="4"/>
  <c r="B2572" i="106"/>
  <c r="D2572" i="106"/>
  <c r="B1143" i="106"/>
  <c r="D1143" i="106"/>
  <c r="C13" i="4"/>
  <c r="B2557" i="106"/>
  <c r="D2557" i="106"/>
  <c r="B5508" i="106"/>
  <c r="D5508" i="106"/>
  <c r="K17" i="4"/>
  <c r="J10" i="4"/>
  <c r="B6225" i="106"/>
  <c r="D6225" i="106"/>
  <c r="F8" i="4"/>
  <c r="D8" i="146"/>
  <c r="J20" i="4"/>
  <c r="J78" i="4"/>
  <c r="D8" i="4"/>
  <c r="C8" i="146"/>
  <c r="B2658" i="106"/>
  <c r="D2658" i="106"/>
  <c r="H10" i="4"/>
  <c r="B4127" i="106"/>
  <c r="D4127" i="106"/>
  <c r="D10" i="171"/>
  <c r="D19" i="171"/>
  <c r="D32" i="171"/>
  <c r="D49" i="171"/>
  <c r="K152" i="29"/>
  <c r="B1289" i="106"/>
  <c r="D1289" i="106"/>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B6230" i="106"/>
  <c r="D6230" i="106"/>
  <c r="H13" i="118"/>
  <c r="F10" i="4"/>
  <c r="B4125" i="106"/>
  <c r="D4125" i="106"/>
  <c r="B2595" i="106"/>
  <c r="D2595" i="106"/>
  <c r="B2568" i="106"/>
  <c r="D2568" i="106"/>
  <c r="D10" i="4"/>
  <c r="B4123" i="106"/>
  <c r="D4123" i="106"/>
  <c r="D20" i="4"/>
  <c r="D78" i="4"/>
  <c r="F179" i="34"/>
  <c r="H18" i="118"/>
  <c r="C10" i="4"/>
  <c r="B4122" i="106"/>
  <c r="D4122" i="106"/>
  <c r="B8" i="146"/>
  <c r="F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K78" i="4"/>
  <c r="B3576" i="106"/>
  <c r="D3576" i="106"/>
  <c r="J81" i="4"/>
  <c r="B6263" i="106"/>
  <c r="D6263" i="106"/>
  <c r="B2574" i="106"/>
  <c r="D2574" i="106"/>
  <c r="B3588" i="106"/>
  <c r="D3588" i="106"/>
  <c r="K81" i="4"/>
  <c r="F78" i="4"/>
  <c r="B2601" i="106"/>
  <c r="D2601" i="106"/>
  <c r="B3320" i="106"/>
  <c r="D3320" i="106"/>
  <c r="I81" i="4"/>
  <c r="K17" i="118"/>
  <c r="B3300" i="106"/>
  <c r="D3300" i="106"/>
  <c r="H81" i="4"/>
  <c r="B7631" i="106"/>
  <c r="F180" i="34"/>
  <c r="F181" i="34"/>
  <c r="F183" i="34"/>
  <c r="A7262" i="106"/>
  <c r="D7261" i="106"/>
  <c r="H16" i="37"/>
  <c r="G78" i="4"/>
  <c r="B2613" i="106"/>
  <c r="D2613" i="106"/>
  <c r="B2562" i="106"/>
  <c r="D2562" i="106"/>
  <c r="C78" i="4"/>
  <c r="B10" i="146"/>
  <c r="F9" i="146"/>
  <c r="F10" i="146"/>
  <c r="E78" i="4"/>
  <c r="B2636" i="106"/>
  <c r="D2636" i="106"/>
  <c r="D64" i="36"/>
  <c r="J82" i="4"/>
  <c r="B6266" i="106"/>
  <c r="D6266" i="106"/>
  <c r="D81" i="4"/>
  <c r="B3239" i="106"/>
  <c r="D3239" i="106"/>
  <c r="B3278" i="106"/>
  <c r="D3278" i="106"/>
  <c r="E81" i="4"/>
  <c r="B3233" i="106"/>
  <c r="D3233" i="106"/>
  <c r="C81" i="4"/>
  <c r="A7263" i="106"/>
  <c r="D7262" i="106"/>
  <c r="B1700" i="106"/>
  <c r="D1700" i="106"/>
  <c r="H82" i="4"/>
  <c r="D62" i="36"/>
  <c r="O16"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J16" i="37"/>
  <c r="B4269" i="106"/>
  <c r="D4269" i="106"/>
  <c r="H12" i="118"/>
  <c r="K12"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11" i="118"/>
  <c r="O13" i="118"/>
  <c r="J20"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K20" i="118"/>
  <c r="O17" i="118"/>
  <c r="O20" i="118"/>
  <c r="O35" i="118"/>
  <c r="O37" i="118"/>
  <c r="D29" i="36"/>
  <c r="J24" i="24"/>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G141" i="181" l="1"/>
  <c r="G40" i="108" s="1"/>
  <c r="G41" i="108" s="1"/>
  <c r="G44" i="108" s="1"/>
  <c r="G45" i="108" s="1"/>
  <c r="F141" i="181"/>
  <c r="B7798" i="106" s="1"/>
  <c r="D7798" i="106" s="1"/>
  <c r="B7799" i="106"/>
  <c r="D7799" i="106" s="1"/>
  <c r="E40" i="108" l="1"/>
  <c r="E41" i="108" s="1"/>
  <c r="E44" i="108" s="1"/>
  <c r="E45" i="10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<sst xmlns="http://schemas.openxmlformats.org/spreadsheetml/2006/main" count="5238" uniqueCount="2159">
  <si>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</si>
  <si>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</si>
  <si>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</si>
  <si>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</si>
  <si>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</si>
  <si>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</si>
  <si>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</si>
  <si>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</si>
  <si>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</si>
  <si>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</si>
  <si>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</si>
  <si>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</si>
  <si>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</si>
  <si>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</si>
  <si>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</si>
  <si>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</si>
  <si>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</si>
  <si>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</si>
  <si>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</si>
  <si>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</si>
  <si>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</si>
  <si>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</si>
  <si>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</si>
  <si>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</si>
  <si>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</si>
  <si>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</si>
  <si>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</si>
  <si>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</si>
  <si>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</si>
  <si>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</si>
  <si>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</si>
  <si>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</si>
  <si>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</si>
  <si>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</si>
  <si>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</si>
  <si>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</si>
  <si>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</si>
  <si>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</si>
  <si>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</si>
  <si>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</si>
  <si>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</si>
  <si>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</si>
  <si>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</si>
  <si>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</si>
  <si>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</si>
  <si>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</si>
  <si>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</si>
  <si>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</si>
  <si>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</si>
  <si>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</si>
  <si>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</si>
  <si>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</si>
  <si>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</si>
  <si>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</si>
  <si>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</si>
  <si>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</si>
  <si>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</si>
  <si>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</si>
  <si>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</si>
  <si>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</si>
  <si>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</si>
  <si>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</si>
  <si>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</si>
  <si>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</si>
  <si>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</si>
  <si>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</si>
  <si>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</si>
  <si>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</si>
  <si>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</si>
  <si>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</si>
  <si>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</si>
  <si>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</si>
  <si>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</si>
  <si>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</si>
  <si>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</si>
  <si>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</si>
  <si>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</si>
  <si>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</si>
  <si>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</si>
  <si>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</si>
  <si>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</si>
  <si>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</si>
  <si>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</si>
  <si>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</si>
  <si>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</si>
  <si>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</si>
  <si>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</si>
  <si>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</si>
  <si>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</si>
  <si>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</si>
  <si>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</si>
  <si>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</si>
  <si>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</si>
  <si>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</si>
  <si>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</si>
  <si>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</si>
  <si>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</si>
  <si>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</si>
  <si>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</si>
  <si>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</si>
  <si>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</si>
  <si>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</si>
  <si>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</si>
  <si>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</si>
  <si>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</si>
  <si>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</si>
  <si>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</si>
  <si>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</si>
  <si>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</si>
  <si>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</si>
  <si>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</si>
  <si>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</si>
  <si>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</si>
  <si>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</si>
  <si>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</si>
  <si>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</si>
  <si>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</si>
  <si>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</si>
  <si>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</si>
  <si>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</si>
  <si>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</si>
  <si>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</si>
  <si>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</si>
  <si>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</si>
  <si>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</si>
  <si>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</si>
  <si>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</si>
  <si>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</si>
  <si>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</si>
  <si>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</si>
  <si>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</si>
  <si>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</si>
  <si>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</si>
  <si>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</si>
  <si>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</si>
  <si>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</si>
  <si>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</si>
  <si>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</si>
  <si>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</si>
  <si>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</si>
  <si>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</si>
  <si>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</si>
  <si>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</si>
  <si>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</si>
  <si>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</si>
  <si>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</si>
  <si>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</si>
  <si>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</si>
  <si>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</si>
  <si>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</si>
  <si>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</si>
  <si>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</si>
  <si>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</si>
  <si>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</si>
  <si>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</si>
  <si>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</si>
  <si>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</si>
  <si>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</si>
  <si>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</si>
  <si>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</si>
  <si>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</si>
  <si>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</si>
  <si>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</si>
  <si>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</si>
  <si>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</si>
  <si>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</si>
  <si>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</si>
  <si>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</si>
  <si>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</si>
  <si>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</si>
  <si>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</si>
  <si>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</si>
  <si>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</si>
  <si>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</si>
  <si>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</si>
  <si>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</si>
  <si>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</si>
  <si>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</si>
  <si>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</si>
  <si>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</si>
  <si>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</si>
  <si>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</si>
  <si>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</si>
  <si>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</si>
  <si>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</si>
  <si>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</si>
  <si>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</si>
  <si>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</si>
  <si>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</si>
  <si>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</si>
  <si>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</si>
  <si>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</si>
  <si>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</si>
  <si>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</si>
  <si>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</si>
  <si>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</si>
  <si>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</si>
  <si>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</si>
  <si>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</si>
  <si>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</si>
  <si>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</si>
  <si>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</si>
  <si>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</si>
  <si>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</si>
  <si>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</si>
  <si>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</si>
  <si>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</si>
  <si>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</si>
  <si>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</si>
  <si>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</si>
  <si>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</si>
  <si>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</si>
  <si>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</si>
  <si>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</si>
  <si>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</si>
  <si>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</si>
  <si>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</si>
  <si>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</si>
  <si>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</si>
  <si>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</si>
  <si>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</si>
  <si>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</si>
  <si>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</si>
  <si>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</si>
  <si>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</si>
  <si>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</si>
  <si>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</si>
  <si>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</si>
  <si>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</si>
  <si>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</si>
  <si>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</si>
  <si>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</si>
  <si>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</si>
  <si>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</si>
  <si>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</si>
  <si>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</si>
  <si>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</si>
  <si>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</si>
  <si>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</si>
  <si>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</si>
  <si>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</si>
  <si>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</si>
  <si>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</si>
  <si>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</si>
  <si>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</si>
  <si>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</si>
  <si>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</si>
  <si>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</si>
  <si>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</si>
  <si>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</si>
  <si>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</si>
  <si>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</si>
  <si>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</si>
  <si>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</si>
  <si>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</si>
  <si>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</si>
  <si>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</si>
  <si>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</si>
  <si>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</si>
  <si>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</si>
  <si>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</si>
  <si>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</si>
  <si>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</si>
  <si>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</si>
  <si>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</si>
  <si>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</si>
  <si>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</si>
  <si>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</si>
  <si>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</si>
  <si>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</si>
  <si>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</si>
  <si>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</si>
  <si>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</si>
  <si>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</si>
  <si>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</si>
  <si>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</si>
  <si>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</si>
  <si>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</si>
  <si>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</si>
  <si>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</si>
  <si>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</si>
  <si>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</si>
  <si>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</si>
  <si>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</si>
  <si>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</si>
  <si>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</si>
  <si>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</si>
  <si>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</si>
  <si>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</si>
  <si>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</si>
  <si>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</si>
  <si>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</si>
  <si>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</si>
  <si>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</si>
  <si>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</si>
  <si>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</si>
  <si>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</si>
  <si>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</si>
  <si>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</si>
  <si>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</si>
  <si>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</si>
  <si>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</si>
  <si>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</si>
  <si>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</si>
  <si>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</si>
  <si>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</si>
  <si>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</si>
  <si>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</si>
  <si>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</si>
  <si>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</si>
  <si>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</si>
  <si>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</si>
  <si>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</si>
  <si>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</si>
  <si>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</si>
  <si>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</si>
  <si>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</si>
  <si>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</si>
  <si>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</si>
  <si>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</si>
  <si>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</si>
  <si>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</si>
  <si>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</si>
  <si>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</si>
  <si>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</si>
  <si>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</si>
  <si>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</si>
  <si>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</si>
  <si>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</si>
  <si>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</si>
  <si>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</si>
  <si>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</si>
  <si>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</si>
  <si>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</si>
  <si>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</si>
  <si>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</si>
  <si>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</si>
  <si>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</si>
  <si>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</si>
  <si>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</si>
  <si>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</si>
  <si>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</si>
  <si>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</si>
  <si>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</si>
  <si>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</si>
  <si>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</si>
  <si>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</si>
  <si>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</si>
  <si>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</si>
  <si>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</si>
  <si>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</si>
  <si>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</si>
  <si>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</si>
  <si>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</si>
  <si>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</si>
  <si>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</si>
  <si>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</si>
  <si>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</si>
  <si>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</si>
  <si>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</si>
  <si>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</si>
  <si>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</si>
  <si>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</si>
  <si>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</si>
  <si>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</si>
  <si>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</si>
  <si>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</si>
  <si>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</si>
  <si>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</si>
  <si>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</si>
  <si>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</si>
  <si>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</si>
  <si>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</si>
  <si>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</si>
  <si>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</si>
  <si>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</si>
  <si>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</si>
  <si>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</si>
  <si>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</si>
  <si>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</si>
  <si>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</si>
  <si>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</si>
  <si>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</si>
  <si>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</si>
  <si>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</si>
  <si>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</si>
  <si>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</si>
  <si>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</si>
  <si>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</si>
  <si>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</si>
  <si>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</si>
  <si>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</si>
  <si>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</si>
  <si>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</si>
  <si>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</si>
  <si>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</si>
  <si>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</si>
  <si>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</si>
  <si>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</si>
  <si>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</si>
  <si>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</si>
  <si>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</si>
  <si>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</si>
  <si>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</si>
  <si>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</si>
  <si>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</si>
  <si>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</si>
  <si>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</si>
  <si>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</si>
  <si>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</si>
  <si>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</si>
  <si>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</si>
  <si>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</si>
  <si>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</si>
  <si>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</si>
  <si>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</si>
  <si>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</si>
  <si>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</si>
  <si>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</si>
  <si>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</si>
  <si>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</si>
  <si>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</si>
  <si>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</si>
  <si>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</si>
  <si>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</si>
  <si>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</si>
  <si>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</si>
  <si>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</si>
  <si>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</si>
  <si>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</si>
  <si>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</si>
  <si>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</si>
  <si>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</si>
  <si>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</si>
  <si>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</si>
  <si>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</si>
  <si>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</si>
  <si>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</si>
  <si>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</si>
  <si>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</si>
  <si>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</si>
  <si>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</si>
  <si>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</si>
  <si>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</si>
  <si>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</si>
  <si>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</si>
  <si>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</si>
  <si>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</si>
  <si>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</si>
  <si>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</si>
  <si>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</si>
  <si>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</si>
  <si>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</si>
  <si>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</si>
  <si>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</si>
  <si>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</si>
  <si>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</si>
  <si>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</si>
  <si>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</si>
  <si>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</si>
  <si>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</si>
  <si>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</si>
  <si>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</si>
  <si>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</si>
  <si>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</si>
  <si>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</si>
  <si>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</si>
  <si>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</si>
  <si>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</si>
  <si>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</si>
  <si>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</si>
  <si>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</si>
  <si>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</si>
  <si>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</si>
  <si>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</si>
  <si>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</si>
  <si>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</si>
  <si>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</si>
  <si>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</si>
  <si>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</si>
  <si>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</si>
  <si>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</si>
  <si>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</si>
  <si>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</si>
  <si>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</si>
  <si>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</si>
  <si>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</si>
  <si>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</si>
  <si>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</si>
  <si>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</si>
  <si>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</si>
  <si>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</si>
  <si>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</si>
  <si>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</si>
  <si>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</si>
  <si>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</si>
  <si>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</si>
  <si>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</si>
  <si>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</si>
  <si>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</si>
  <si>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</si>
  <si>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</si>
  <si>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</si>
  <si>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</si>
  <si>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</si>
  <si>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</si>
  <si>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</si>
  <si>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</si>
  <si>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</si>
  <si>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</si>
  <si>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</si>
  <si>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</si>
  <si>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</si>
  <si>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</si>
  <si>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</si>
  <si>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</si>
  <si>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</si>
  <si>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</si>
  <si>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</si>
  <si>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</si>
  <si>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</si>
  <si>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</si>
  <si>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</si>
  <si>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</si>
  <si>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</si>
  <si>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</si>
  <si>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</si>
  <si>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</si>
  <si>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</si>
  <si>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</si>
  <si>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</si>
  <si>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</si>
  <si>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</si>
  <si>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</si>
  <si>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</si>
  <si>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</si>
  <si>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</si>
  <si>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</si>
  <si>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</si>
  <si>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</si>
  <si>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</si>
  <si>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</si>
  <si>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</si>
  <si>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</si>
  <si>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</si>
  <si>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</si>
  <si>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</si>
  <si>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</si>
  <si>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</si>
  <si>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</si>
  <si>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</si>
  <si>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</si>
  <si>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</si>
  <si>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</si>
  <si>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</si>
  <si>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</si>
  <si>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</si>
  <si>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</si>
  <si>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</si>
  <si>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</si>
  <si>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</si>
  <si>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</si>
  <si>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</si>
  <si>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</si>
  <si>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</si>
  <si>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</si>
  <si>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</si>
  <si>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</si>
  <si>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</si>
  <si>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</si>
  <si>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</si>
  <si>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</si>
  <si>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</si>
  <si>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</si>
  <si>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</si>
  <si>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</si>
  <si>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</si>
  <si>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</si>
  <si>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</si>
  <si>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</si>
  <si>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</si>
  <si>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</si>
  <si>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</si>
  <si>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</si>
  <si>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</si>
  <si>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</si>
  <si>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</si>
  <si>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</si>
  <si>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</si>
  <si>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</si>
  <si>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</si>
  <si>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</si>
  <si>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</si>
  <si>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</si>
  <si>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</si>
  <si>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</si>
  <si>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</si>
  <si>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</si>
  <si>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</si>
  <si>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</si>
  <si>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</si>
  <si>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</si>
  <si>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</si>
  <si>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</si>
  <si>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</si>
  <si>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</si>
  <si>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</si>
  <si>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</si>
  <si>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</si>
  <si>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</si>
  <si>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</si>
  <si>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</si>
  <si>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</si>
  <si>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</si>
  <si>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</si>
  <si>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</si>
  <si>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</si>
  <si>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</si>
  <si>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</si>
  <si>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</si>
  <si>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</si>
  <si>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</si>
  <si>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</si>
  <si>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</si>
  <si>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</si>
  <si>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</si>
  <si>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</si>
  <si>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</si>
  <si>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</si>
  <si>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</si>
  <si>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</si>
  <si>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</si>
  <si>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</si>
  <si>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</si>
  <si>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</si>
  <si>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</si>
  <si>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</si>
  <si>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</si>
  <si>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</si>
  <si>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</si>
  <si>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</si>
  <si>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</si>
  <si>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</si>
  <si>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</si>
  <si>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</si>
  <si>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</si>
  <si>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</si>
  <si>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</si>
  <si>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</si>
  <si>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</si>
  <si>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</si>
  <si>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</si>
  <si>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</si>
  <si>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</si>
  <si>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</si>
  <si>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</si>
  <si>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</si>
  <si>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</si>
  <si>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</si>
  <si>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</si>
  <si>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</si>
  <si>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</si>
  <si>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</si>
  <si>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</si>
  <si>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</si>
  <si>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</si>
  <si>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</si>
  <si>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</si>
  <si>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</si>
  <si>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</si>
  <si>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</si>
  <si>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</si>
  <si>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</si>
  <si>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</si>
  <si>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</si>
  <si>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</si>
  <si>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</si>
  <si>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</si>
  <si>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</si>
  <si>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</si>
  <si>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</si>
  <si>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</si>
  <si>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</si>
  <si>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</si>
  <si>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</si>
  <si>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</si>
  <si>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</si>
  <si>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</si>
  <si>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</si>
  <si>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</si>
  <si>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</si>
  <si>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</si>
  <si>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</si>
  <si>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</si>
  <si>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</si>
  <si>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</si>
  <si>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</si>
  <si>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</si>
  <si>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</si>
  <si>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</si>
  <si>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</si>
  <si>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</si>
  <si>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</si>
  <si>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</si>
  <si>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</si>
  <si>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</si>
  <si>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</si>
  <si>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</si>
  <si>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</si>
  <si>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</si>
  <si>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</si>
  <si>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</si>
  <si>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</si>
  <si>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</si>
  <si>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</si>
  <si>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</si>
  <si>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</si>
  <si>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</si>
  <si>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</si>
  <si>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</si>
  <si>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</si>
  <si>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</si>
  <si>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</si>
  <si>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</si>
  <si>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</si>
  <si>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</si>
  <si>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</si>
  <si>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</si>
  <si>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</si>
  <si>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</si>
  <si>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</si>
  <si>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</si>
  <si>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</si>
  <si>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</si>
  <si>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</si>
  <si>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</si>
  <si>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</si>
  <si>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</si>
  <si>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</si>
  <si>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</si>
  <si>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</si>
  <si>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</si>
  <si>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</si>
  <si>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</si>
  <si>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</si>
  <si>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</si>
  <si>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</si>
  <si>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</si>
  <si>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</si>
  <si>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</si>
  <si>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</si>
  <si>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</si>
  <si>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</si>
  <si>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</si>
  <si>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</si>
  <si>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</si>
  <si>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</si>
  <si>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</si>
  <si>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</si>
  <si>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</si>
  <si>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</si>
  <si>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</si>
  <si>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</si>
  <si>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</si>
  <si>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</si>
  <si>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</si>
  <si>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</si>
  <si>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</si>
  <si>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</si>
  <si>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</si>
  <si>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</si>
  <si>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</si>
  <si>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</si>
  <si>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</si>
  <si>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</si>
  <si>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</si>
  <si>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</si>
  <si>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</si>
  <si>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</si>
  <si>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</si>
  <si>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</si>
  <si>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</si>
  <si>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</si>
  <si>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</si>
  <si>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</si>
  <si>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</si>
  <si>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</si>
  <si>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</si>
  <si>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</si>
  <si>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</si>
  <si>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</si>
  <si>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</si>
  <si>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</si>
  <si>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</si>
  <si>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</si>
  <si>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</si>
  <si>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</si>
  <si>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</si>
  <si>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</si>
  <si>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</si>
  <si>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</si>
  <si>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</si>
  <si>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</si>
  <si>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</si>
  <si>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</si>
  <si>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</si>
  <si>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</si>
  <si>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</si>
  <si>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</si>
  <si>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</si>
  <si>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</si>
  <si>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</si>
  <si>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</si>
  <si>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</si>
  <si>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</si>
  <si>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</si>
  <si>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</si>
  <si>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</si>
  <si>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</si>
  <si>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</si>
  <si>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</si>
  <si>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</si>
  <si>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</si>
  <si>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</si>
  <si>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</si>
  <si>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</si>
  <si>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</si>
  <si>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</si>
  <si>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</si>
  <si>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</si>
  <si>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</si>
  <si>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</si>
  <si>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</si>
  <si>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</si>
  <si>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</si>
  <si>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</si>
  <si>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</si>
  <si>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</si>
  <si>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</si>
  <si>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</si>
  <si>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</si>
  <si>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</si>
  <si>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</si>
  <si>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</si>
  <si>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</si>
  <si>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</si>
  <si>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</si>
  <si>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</si>
  <si>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</si>
  <si>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</si>
  <si>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</si>
  <si>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</si>
  <si>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</si>
  <si>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</si>
  <si>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</si>
  <si>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</si>
  <si>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</si>
  <si>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</si>
  <si>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</si>
  <si>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</si>
  <si>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</si>
  <si>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</si>
  <si>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</si>
  <si>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</si>
  <si>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</si>
  <si>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</si>
  <si>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</si>
  <si>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</si>
  <si>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</si>
  <si>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</si>
  <si>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</si>
  <si>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</si>
  <si>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</si>
  <si>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</si>
  <si>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</si>
  <si>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</si>
  <si>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</si>
  <si>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</si>
  <si>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</si>
  <si>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</si>
  <si>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</si>
  <si>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</si>
  <si>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</si>
  <si>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</si>
  <si>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</si>
  <si>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</si>
  <si>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</si>
  <si>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</si>
  <si>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</si>
  <si>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</si>
  <si>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</si>
  <si>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</si>
  <si>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</si>
  <si>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</si>
  <si>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</si>
  <si>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</si>
  <si>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</si>
  <si>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</si>
  <si>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</si>
  <si>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</si>
  <si>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</si>
  <si>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</si>
  <si>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</si>
  <si>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</si>
  <si>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</si>
  <si>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</si>
  <si>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</si>
  <si>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</si>
  <si>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</si>
  <si>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</si>
  <si>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</si>
  <si>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</si>
  <si>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</si>
  <si>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</si>
  <si>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</si>
  <si>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</si>
  <si>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</si>
  <si>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</si>
  <si>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</si>
  <si>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</si>
  <si>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</si>
  <si>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</si>
  <si>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</si>
  <si>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</si>
  <si>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</si>
  <si>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</si>
  <si>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</si>
  <si>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</si>
  <si>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</si>
  <si>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</si>
  <si>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</si>
  <si>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</si>
  <si>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</si>
  <si>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</si>
  <si>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</si>
  <si>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</si>
  <si>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</si>
  <si>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</si>
  <si>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</si>
  <si>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</si>
  <si>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</si>
  <si>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</si>
  <si>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</si>
  <si>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</si>
  <si>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</si>
  <si>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</si>
  <si>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</si>
  <si>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</si>
  <si>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</si>
  <si>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</si>
  <si>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</si>
  <si>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</si>
  <si>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</si>
  <si>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</si>
  <si>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</si>
  <si>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</si>
  <si>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</si>
  <si>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</si>
  <si>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</si>
  <si>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</si>
  <si>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</si>
  <si>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</si>
  <si>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</si>
  <si>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</si>
  <si>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</si>
  <si>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</si>
  <si>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</si>
  <si>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</si>
  <si>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</si>
  <si>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</si>
  <si>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</si>
  <si>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</si>
  <si>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</si>
  <si>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</si>
  <si>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</si>
  <si>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</si>
  <si>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</si>
  <si>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</si>
  <si>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</si>
  <si>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</si>
  <si>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</si>
  <si>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</si>
  <si>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</si>
  <si>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</si>
  <si>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</si>
  <si>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</si>
  <si>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</si>
  <si>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</si>
  <si>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</si>
  <si>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</si>
  <si>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</si>
  <si>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</si>
  <si>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</si>
  <si>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</si>
  <si>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</si>
  <si>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</si>
  <si>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</si>
  <si>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</si>
  <si>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</si>
  <si>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</si>
  <si>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</si>
  <si>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</si>
  <si>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</si>
  <si>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</si>
  <si>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</si>
  <si>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</si>
  <si>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</si>
  <si>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</si>
  <si>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</si>
  <si>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</si>
  <si>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</si>
  <si>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</si>
  <si>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</si>
  <si>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</si>
  <si>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</si>
  <si>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</si>
  <si>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</si>
  <si>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</si>
  <si>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</si>
  <si>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</si>
  <si>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</si>
  <si>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</si>
  <si>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</si>
  <si>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</si>
  <si>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</si>
  <si>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</si>
  <si>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</si>
  <si>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</si>
  <si>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</si>
  <si>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</si>
  <si>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</si>
  <si>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</si>
  <si>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</si>
  <si>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</si>
  <si>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</si>
  <si>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</si>
  <si>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</si>
  <si>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</si>
  <si>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</si>
  <si>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</si>
  <si>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</si>
  <si>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</si>
  <si>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</si>
  <si>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</si>
  <si>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</si>
  <si>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</si>
  <si>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</si>
  <si>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</si>
  <si>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</si>
  <si>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</si>
  <si>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</si>
  <si>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</si>
  <si>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</si>
  <si>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</si>
  <si>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</si>
  <si>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</si>
  <si>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</si>
  <si>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</si>
  <si>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</si>
  <si>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</si>
  <si>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</si>
  <si>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</si>
  <si>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</si>
  <si>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</si>
  <si>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</si>
  <si>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</si>
  <si>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</si>
  <si>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</si>
  <si>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</si>
  <si>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</si>
  <si>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</si>
  <si>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</si>
  <si>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</si>
  <si>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</si>
  <si>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</si>
  <si>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</si>
  <si>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</si>
  <si>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</si>
  <si>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</si>
  <si>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</si>
  <si>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</si>
  <si>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</si>
  <si>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</si>
  <si>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</si>
  <si>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</si>
  <si>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</si>
  <si>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</si>
  <si>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</si>
  <si>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</si>
  <si>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</si>
  <si>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</si>
  <si>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</si>
  <si>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</si>
  <si>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</si>
  <si>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</si>
  <si>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</si>
  <si>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</si>
  <si>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</si>
  <si>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</si>
  <si>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</si>
  <si>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</si>
  <si>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</si>
  <si>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</si>
  <si>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</si>
  <si>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</si>
  <si>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</si>
  <si>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</si>
  <si>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</si>
  <si>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</si>
  <si>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</si>
  <si>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</si>
  <si>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</si>
  <si>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</si>
  <si>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</si>
  <si>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</si>
  <si>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</si>
  <si>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</si>
  <si>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</si>
  <si>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</si>
  <si>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</si>
  <si>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</si>
  <si>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</si>
  <si>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</si>
  <si>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</si>
  <si>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</si>
  <si>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</si>
  <si>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</si>
  <si>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</si>
  <si>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</si>
  <si>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</si>
  <si>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</si>
  <si>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</si>
  <si>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</si>
  <si>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</si>
  <si>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</si>
  <si>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</si>
  <si>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</si>
  <si>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</si>
  <si>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</si>
  <si>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</si>
  <si>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</si>
  <si>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</si>
  <si>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</si>
  <si>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</si>
  <si>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</si>
  <si>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</si>
  <si>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</si>
  <si>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</si>
  <si>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</si>
  <si>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</si>
  <si>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</si>
  <si>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</si>
  <si>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</si>
  <si>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</si>
  <si>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</si>
  <si>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</si>
  <si>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</si>
  <si>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</si>
  <si>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</si>
  <si>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</si>
  <si>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</si>
  <si>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</si>
  <si>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</si>
  <si>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</si>
  <si>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</si>
  <si>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</si>
  <si>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</si>
  <si>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</si>
  <si>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</si>
  <si>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</si>
  <si>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</si>
  <si>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</si>
  <si>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</si>
  <si>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</si>
  <si>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</si>
  <si>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</si>
  <si>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</si>
  <si>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</si>
  <si>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</si>
  <si>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</si>
  <si>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</si>
  <si>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</si>
  <si>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</si>
  <si>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</si>
  <si>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</si>
  <si>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</si>
  <si>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</si>
  <si>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</si>
  <si>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</si>
  <si>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</si>
  <si>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</si>
  <si>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</si>
  <si>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</si>
  <si>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</si>
  <si>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</si>
  <si>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</si>
  <si>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</si>
  <si>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</si>
  <si>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</si>
  <si>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</si>
  <si>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</si>
  <si>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</si>
  <si>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</si>
  <si>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</si>
  <si>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</si>
  <si>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</si>
  <si>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</si>
  <si>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</si>
  <si>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</si>
  <si>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</si>
  <si>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</si>
  <si>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</si>
  <si>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</si>
  <si>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</si>
  <si>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</si>
  <si>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</si>
  <si>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</si>
  <si>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</si>
  <si>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</si>
  <si>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</si>
  <si>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</si>
  <si>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</si>
  <si>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</si>
  <si>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</si>
  <si>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</si>
  <si>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</si>
  <si>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</si>
  <si>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</si>
  <si>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</si>
  <si>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</si>
  <si>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</si>
  <si>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</si>
  <si>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</si>
  <si>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</si>
  <si>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</si>
  <si>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</si>
  <si>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</si>
  <si>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</si>
  <si>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</si>
  <si>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</si>
  <si>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</si>
  <si>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</si>
  <si>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</si>
  <si>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</si>
  <si>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</si>
  <si>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</si>
  <si>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</si>
  <si>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</si>
  <si>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</si>
  <si>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</si>
  <si>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</si>
  <si>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</si>
  <si>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</si>
  <si>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</si>
  <si>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</si>
  <si>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</si>
  <si>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</si>
  <si>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</si>
  <si>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</si>
  <si>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</si>
  <si>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</si>
  <si>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</si>
  <si>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</si>
  <si>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</si>
  <si>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</si>
  <si>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</si>
  <si>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</si>
  <si>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</si>
  <si>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</si>
  <si>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</si>
  <si>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</si>
  <si>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</si>
  <si>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</si>
  <si>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</si>
  <si>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</si>
  <si>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</si>
  <si>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</si>
  <si>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</si>
  <si>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</si>
  <si>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</si>
  <si>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</si>
  <si>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</si>
  <si>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</si>
  <si>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</si>
  <si>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</si>
  <si>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</si>
  <si>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</si>
  <si>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</si>
  <si>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</si>
  <si>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</si>
  <si>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</si>
  <si>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</si>
  <si>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</si>
  <si>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</si>
  <si>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</si>
  <si>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</si>
  <si>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</si>
  <si>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</si>
  <si>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</si>
  <si>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</si>
  <si>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</si>
  <si>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</si>
  <si>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</si>
  <si>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</si>
  <si>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</si>
  <si>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</si>
  <si>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</si>
  <si>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</si>
  <si>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</si>
  <si>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</si>
  <si>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</si>
  <si>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</si>
  <si>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</si>
  <si>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</si>
  <si>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</si>
  <si>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</si>
  <si>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</si>
  <si>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</si>
  <si>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</si>
  <si>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</si>
  <si>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</si>
  <si>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</si>
  <si>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</si>
  <si>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</si>
  <si>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</si>
  <si>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</si>
  <si>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</si>
  <si>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</si>
  <si>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</si>
  <si>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</si>
  <si>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</si>
  <si>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</si>
  <si>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</si>
  <si>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</si>
  <si>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</si>
  <si>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</si>
  <si>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</si>
  <si>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</si>
  <si>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</si>
  <si>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</si>
  <si>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</si>
  <si>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</si>
  <si>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</si>
  <si>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</si>
  <si>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</si>
  <si>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</si>
  <si>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</si>
  <si>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</si>
  <si>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</si>
  <si>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</si>
  <si>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</si>
  <si>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</si>
  <si>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</si>
  <si>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</si>
  <si>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</si>
  <si>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</si>
  <si>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</si>
  <si>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</si>
  <si>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</si>
  <si>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</si>
  <si>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</si>
  <si>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</si>
  <si>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</si>
  <si>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</si>
  <si>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</si>
  <si>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</si>
  <si>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</si>
  <si>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</si>
  <si>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</si>
  <si>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</si>
  <si>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</si>
  <si>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</si>
  <si>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</si>
  <si>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</si>
  <si>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</si>
  <si>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</si>
  <si>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</si>
  <si>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</si>
  <si>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</si>
  <si>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</si>
  <si>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</si>
  <si>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</si>
  <si>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</si>
  <si>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</si>
  <si>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</si>
  <si>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</si>
  <si>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</si>
  <si>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</si>
  <si>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</si>
  <si>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</si>
  <si>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</si>
  <si>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</si>
  <si>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</si>
  <si>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</si>
  <si>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</si>
  <si>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</si>
  <si>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</si>
  <si>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</si>
  <si>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</si>
  <si>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</si>
  <si>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</si>
  <si>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</si>
  <si>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</si>
  <si>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</si>
  <si>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</si>
  <si>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</si>
  <si>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</si>
  <si>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</si>
  <si>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</si>
  <si>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</si>
  <si>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</si>
  <si>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</si>
  <si>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</si>
  <si>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</si>
  <si>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</si>
  <si>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</si>
  <si>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</si>
  <si>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</si>
  <si>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</si>
  <si>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</si>
  <si>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</si>
  <si>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</si>
  <si>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</si>
  <si>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</si>
  <si>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</si>
  <si>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</si>
  <si>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</si>
  <si>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</si>
  <si>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</si>
  <si>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</si>
  <si>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</si>
  <si>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</si>
  <si>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</si>
  <si>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</si>
  <si>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</si>
  <si>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</si>
  <si>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</si>
  <si>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</si>
  <si>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</si>
  <si>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</si>
  <si>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</si>
  <si>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</si>
  <si>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</si>
  <si>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</si>
  <si>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</si>
  <si>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</si>
  <si>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</si>
  <si>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</si>
  <si>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</si>
  <si>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</si>
  <si>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</si>
  <si>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</si>
  <si>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</si>
  <si>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</si>
  <si>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</si>
  <si>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</si>
  <si>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</si>
  <si>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</si>
  <si>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</si>
  <si>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</si>
  <si>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</si>
  <si>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</si>
  <si>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</si>
  <si>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</si>
  <si>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</si>
  <si>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</si>
  <si>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</si>
  <si>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</si>
  <si>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</si>
  <si>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</si>
  <si>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</si>
  <si>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</si>
  <si>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</si>
  <si>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</si>
  <si>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</si>
  <si>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</si>
  <si>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</si>
  <si>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</si>
  <si>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</si>
  <si>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</si>
  <si>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</si>
  <si>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</si>
  <si>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</si>
  <si>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</si>
  <si>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</si>
  <si>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</si>
  <si>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</si>
  <si>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</si>
  <si>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</si>
  <si>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</si>
  <si>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</si>
  <si>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</si>
  <si>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</si>
  <si>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</si>
  <si>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</si>
  <si>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</si>
  <si>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</si>
  <si>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</si>
  <si>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</si>
  <si>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</si>
  <si>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</si>
  <si>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</si>
  <si>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</si>
  <si>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</si>
  <si>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</si>
  <si>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</si>
  <si>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</si>
  <si>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</si>
  <si>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</si>
  <si>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</si>
  <si>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</si>
  <si>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</si>
  <si>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</si>
  <si>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</si>
  <si>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</si>
  <si>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</si>
  <si>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</si>
  <si>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</si>
  <si>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</si>
  <si>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</si>
  <si>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</si>
  <si>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</si>
  <si>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</si>
  <si>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</si>
  <si>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</si>
  <si>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</si>
  <si>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</si>
  <si>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</si>
  <si>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</si>
  <si>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</si>
  <si>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</si>
  <si>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</si>
  <si>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</si>
  <si>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</si>
  <si>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</si>
  <si>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</si>
  <si>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</si>
  <si>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</si>
  <si>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</si>
  <si>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</si>
  <si>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</si>
  <si>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</si>
  <si>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</si>
  <si>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</si>
  <si>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</si>
  <si>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</si>
  <si>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</si>
  <si>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</si>
  <si>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</si>
  <si>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</si>
  <si>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</si>
  <si>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</si>
  <si>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</si>
  <si>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</si>
  <si>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</si>
  <si>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</si>
  <si>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</si>
  <si>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</si>
  <si>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</si>
  <si>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</si>
  <si>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</si>
  <si>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</si>
  <si>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</si>
  <si>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</si>
  <si>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</si>
  <si>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</si>
  <si>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</si>
  <si>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</si>
  <si>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</si>
  <si>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</si>
  <si>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</si>
  <si>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</si>
  <si>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</si>
  <si>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</si>
  <si>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</si>
  <si>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</si>
  <si>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</si>
  <si>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</si>
  <si>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</si>
  <si>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</si>
  <si>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</si>
  <si>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</si>
  <si>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</si>
  <si>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</si>
  <si>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</si>
  <si>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</si>
  <si>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</si>
  <si>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</si>
  <si>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</si>
  <si>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</si>
  <si>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</si>
  <si>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</si>
  <si>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</si>
  <si>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</si>
  <si>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</si>
  <si>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</si>
  <si>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</si>
  <si>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</si>
  <si>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</si>
  <si>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</si>
  <si>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</si>
  <si>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</si>
  <si>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</si>
  <si>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</si>
  <si>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</si>
  <si>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</si>
  <si>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</si>
  <si>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</si>
  <si>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</si>
  <si>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</si>
  <si>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</si>
  <si>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</si>
  <si>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</si>
  <si>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</si>
  <si>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</si>
  <si>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</si>
  <si>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</si>
  <si>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</si>
  <si>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</si>
  <si>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</si>
  <si>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</si>
  <si>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</si>
  <si>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</si>
  <si>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</si>
  <si>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</si>
  <si>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</si>
  <si>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</si>
  <si>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</si>
  <si>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</si>
  <si>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</si>
  <si>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</si>
  <si>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</si>
  <si>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</si>
  <si>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</si>
  <si>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</si>
  <si>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</si>
  <si>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</si>
  <si>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</si>
  <si>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</si>
  <si>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</si>
  <si>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</si>
  <si>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</si>
  <si>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</si>
  <si>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</si>
  <si>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</si>
  <si>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</si>
  <si>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</si>
  <si>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</si>
  <si>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</si>
  <si>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</si>
  <si>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</si>
  <si>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</si>
  <si>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</si>
  <si>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</si>
  <si>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</si>
  <si>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</si>
  <si>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</si>
  <si>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</si>
  <si>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</si>
  <si>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</si>
  <si>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</si>
  <si>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</si>
  <si>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</si>
  <si>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</si>
  <si>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</si>
  <si>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</si>
  <si>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</si>
  <si>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</si>
  <si>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</si>
  <si>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</si>
  <si>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</si>
  <si>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</si>
  <si>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</si>
  <si>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</si>
  <si>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</si>
  <si>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</si>
  <si>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</si>
  <si>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</si>
  <si>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</si>
  <si>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</si>
  <si>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</si>
  <si>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</si>
  <si>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</si>
  <si>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</si>
  <si>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</si>
  <si>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</si>
  <si>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</si>
  <si>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</si>
  <si>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</si>
  <si>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</si>
  <si>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</si>
  <si>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</si>
  <si>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</si>
  <si>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</si>
  <si>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</si>
  <si>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</si>
  <si>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</si>
  <si>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</si>
  <si>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</si>
  <si>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</si>
  <si>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</si>
  <si>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</si>
  <si>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</si>
  <si>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</si>
  <si>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</si>
  <si>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</si>
  <si>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</si>
  <si>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</si>
  <si>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</si>
  <si>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</si>
  <si>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</si>
  <si>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</si>
  <si>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</si>
  <si>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</si>
  <si>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</si>
  <si>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</si>
  <si>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</si>
  <si>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</si>
  <si>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</si>
  <si>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</si>
  <si>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</si>
  <si>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</si>
  <si>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</si>
  <si>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</si>
  <si>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</si>
  <si>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</si>
  <si>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</si>
  <si>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</si>
  <si>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</si>
  <si>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</si>
  <si>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</si>
  <si>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</si>
  <si>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</si>
  <si>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</si>
  <si>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</si>
  <si>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</si>
  <si>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</si>
  <si>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</si>
  <si>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</si>
  <si>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</si>
  <si>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</si>
  <si>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</si>
  <si>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</si>
  <si>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</si>
  <si>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</si>
  <si>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</si>
  <si>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</si>
  <si>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</si>
  <si>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</si>
  <si>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</si>
  <si>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</si>
  <si>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</si>
  <si>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</si>
  <si>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</si>
  <si>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</si>
  <si>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</si>
  <si>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</si>
  <si>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</si>
  <si>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</si>
  <si>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</si>
  <si>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</si>
  <si>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</si>
  <si>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</si>
  <si>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</si>
  <si>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</si>
  <si>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</si>
  <si>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</si>
  <si>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</si>
  <si>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</si>
  <si>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</si>
  <si>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</si>
  <si>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</si>
  <si>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</si>
  <si>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</si>
  <si>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</si>
  <si>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</si>
  <si>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</si>
  <si>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</si>
  <si>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</si>
  <si>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</si>
  <si>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</si>
  <si>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</si>
  <si>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</si>
  <si>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</si>
  <si>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</si>
  <si>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</si>
  <si>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</si>
  <si>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</si>
  <si>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</si>
  <si>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</si>
  <si>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</si>
  <si>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</si>
  <si>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</si>
  <si>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</si>
  <si>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</si>
  <si>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</si>
  <si>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</si>
  <si>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</si>
  <si>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</si>
  <si>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</si>
  <si>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</si>
  <si>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</si>
  <si>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</si>
  <si>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</si>
  <si>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</si>
  <si>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</si>
  <si>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</si>
  <si>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</si>
  <si>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</si>
  <si>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</si>
  <si>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</si>
  <si>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</si>
  <si>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</si>
  <si>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</si>
  <si>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</si>
  <si>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</si>
  <si>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</si>
  <si>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</si>
  <si>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</si>
  <si>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</si>
  <si>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</si>
  <si>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</si>
  <si>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</si>
  <si>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</si>
  <si>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</si>
  <si>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</si>
  <si>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</si>
  <si>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</si>
  <si>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</si>
  <si>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</si>
  <si>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</si>
  <si>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</si>
  <si>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</si>
  <si>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</si>
  <si>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</si>
  <si>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</si>
  <si>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</si>
  <si>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</si>
  <si>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</si>
  <si>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</si>
  <si>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</si>
  <si>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</si>
  <si>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</si>
  <si>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</si>
  <si>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</si>
  <si>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</si>
  <si>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</si>
  <si>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</si>
  <si>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</si>
  <si>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</si>
  <si>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</si>
  <si>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</si>
  <si>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</si>
  <si>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</si>
  <si>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</si>
  <si>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</si>
  <si>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</si>
  <si>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</si>
  <si>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</si>
  <si>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</si>
  <si>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</si>
  <si>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</si>
  <si>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</si>
  <si>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</si>
  <si>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</si>
  <si>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</si>
  <si>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</si>
  <si>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</si>
  <si>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</si>
  <si>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</si>
  <si>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</si>
  <si>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</si>
  <si>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</si>
  <si>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</si>
  <si>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</si>
  <si>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</si>
  <si>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</si>
  <si>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</si>
  <si>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</si>
  <si>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</si>
  <si>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</si>
  <si>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</si>
  <si>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</si>
  <si>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</si>
  <si>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</si>
  <si>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</si>
  <si>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</si>
  <si>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</si>
  <si>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</si>
  <si>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</si>
  <si>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</si>
  <si>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</si>
  <si>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</si>
  <si>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</si>
  <si>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</si>
  <si>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</si>
  <si>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</si>
  <si>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</si>
  <si>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</si>
  <si>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</si>
  <si>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</si>
  <si>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</si>
  <si>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</si>
  <si>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</si>
  <si>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</si>
  <si>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</si>
  <si>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</si>
  <si>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</si>
  <si>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</si>
  <si>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</si>
  <si>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</si>
  <si>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</si>
  <si>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</si>
  <si>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</si>
  <si>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</si>
  <si>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</si>
  <si>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</si>
  <si>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</si>
  <si>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</si>
  <si>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</si>
  <si>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</si>
  <si>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</si>
  <si>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</si>
  <si>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</si>
  <si>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</si>
  <si>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</si>
  <si>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</si>
  <si>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</si>
  <si>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</si>
  <si>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</si>
  <si>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</si>
  <si>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</si>
  <si>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</si>
  <si>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</si>
  <si>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</si>
  <si>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</si>
  <si>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</si>
  <si>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</si>
  <si>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</si>
  <si>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</si>
  <si>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</si>
  <si>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</si>
  <si>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</si>
  <si>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</si>
  <si>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</si>
  <si>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</si>
  <si>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</si>
  <si>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</si>
  <si>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</si>
  <si>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</si>
  <si>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</si>
  <si>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</si>
  <si>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</si>
  <si>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</si>
  <si>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</si>
  <si>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</si>
  <si>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</si>
  <si>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</si>
  <si>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</si>
  <si>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</si>
  <si>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</si>
  <si>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</si>
  <si>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</si>
  <si>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</si>
  <si>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</si>
  <si>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</si>
  <si>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</si>
  <si>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</si>
  <si>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</si>
  <si>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</si>
  <si>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</si>
  <si>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</si>
  <si>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</si>
  <si>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</si>
  <si>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</si>
  <si>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</si>
  <si>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</si>
  <si>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</si>
  <si>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</si>
  <si>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</si>
  <si>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</si>
  <si>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</si>
  <si>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</si>
  <si>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</si>
  <si>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</si>
  <si>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</si>
  <si>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</si>
  <si>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</si>
  <si>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</si>
  <si>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</si>
  <si>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</si>
  <si>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</si>
  <si>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</si>
  <si>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</si>
  <si>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</si>
  <si>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</si>
  <si>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</si>
  <si>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</si>
  <si>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</si>
  <si>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</si>
  <si>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</si>
  <si>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</si>
  <si>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</si>
  <si>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</si>
  <si>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</si>
  <si>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</si>
  <si>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</si>
  <si>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</si>
  <si>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</si>
  <si>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</si>
  <si>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</si>
  <si>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</si>
  <si>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</si>
  <si>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</si>
  <si>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</si>
  <si>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</si>
  <si>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</si>
  <si>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</si>
  <si>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</si>
  <si>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</si>
  <si>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</si>
  <si>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</si>
  <si>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</si>
  <si>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</si>
  <si>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</si>
  <si>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</si>
  <si>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</si>
  <si>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</si>
  <si>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</si>
  <si>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</si>
  <si>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</si>
  <si>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</si>
  <si>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</si>
  <si>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</si>
  <si>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</si>
  <si>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</si>
  <si>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</si>
  <si>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</si>
  <si>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</si>
  <si>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</si>
  <si>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</si>
  <si>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</si>
  <si>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</si>
  <si>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</si>
  <si>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</si>
  <si>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</si>
  <si>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</si>
  <si>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</si>
  <si>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</si>
  <si>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</si>
  <si>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</si>
  <si>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</si>
  <si>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</si>
  <si>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</si>
  <si>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</si>
  <si>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</si>
  <si>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</si>
  <si>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</si>
  <si>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</si>
  <si>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</si>
  <si>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</si>
  <si>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</si>
  <si>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</si>
  <si>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</si>
  <si>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</si>
  <si>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</si>
  <si>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</si>
  <si>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</si>
  <si>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</si>
  <si>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</si>
  <si>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</si>
  <si>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</si>
  <si>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</si>
  <si>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</si>
  <si>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</si>
  <si>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</si>
  <si>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</si>
  <si>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</si>
  <si>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 Capital Appreciation Bonds, 2000</t>
  </si>
  <si>
    <t>GO Limited Working Cash Bonds, 2016A</t>
  </si>
  <si>
    <t>GO Refunding Bonds, 2016B</t>
  </si>
  <si>
    <t>Capital Lease 2015</t>
  </si>
  <si>
    <t>Capital Lease 2016</t>
  </si>
  <si>
    <t>Capital Lease</t>
  </si>
  <si>
    <t>Mokena Park District</t>
  </si>
  <si>
    <t>North Illinois Independent Purchasing Cooperative</t>
  </si>
  <si>
    <t>Illinois Public Risk Fund &amp; CLIC</t>
  </si>
  <si>
    <t>Lincoln-Way Area Special Education District #843</t>
  </si>
  <si>
    <t>Lincoln-Way High School - Gas for busses &amp; districe vehicles</t>
  </si>
  <si>
    <t>Lauterbach &amp; Amen, LLP</t>
  </si>
  <si>
    <t>668 N River Road</t>
  </si>
  <si>
    <t>Naperville</t>
  </si>
  <si>
    <t>IL</t>
  </si>
  <si>
    <t>Mokena School District 159</t>
  </si>
  <si>
    <t>Will County</t>
  </si>
  <si>
    <t>1244 Willow Crest Lane</t>
  </si>
  <si>
    <t>shawt@mokena159.org</t>
  </si>
  <si>
    <t>Matt Beran</t>
  </si>
  <si>
    <t>630-393-1483</t>
  </si>
  <si>
    <t>630-393-2516</t>
  </si>
  <si>
    <t>065-033233</t>
  </si>
  <si>
    <t>mberan@lauterbachamen.com</t>
  </si>
  <si>
    <t>Dr. Omar Castillo</t>
  </si>
  <si>
    <t>castillo@mokena159.org</t>
  </si>
  <si>
    <t>708-342-4900</t>
  </si>
  <si>
    <t>O&amp;M-O&amp;M Plant-Purchase Services</t>
  </si>
  <si>
    <t>GCA</t>
  </si>
  <si>
    <t>O&amp;M-Maintenance Dept-Purchase Services</t>
  </si>
  <si>
    <t>Rival5</t>
  </si>
  <si>
    <t>Call One</t>
  </si>
  <si>
    <t>O&amp;M-Maintenance Dept-Community Recreation Services</t>
  </si>
  <si>
    <t>Republic Services</t>
  </si>
  <si>
    <t>Ed-Technology-Purchase Services</t>
  </si>
  <si>
    <t>Skyward</t>
  </si>
  <si>
    <t>Forest Alarm Service</t>
  </si>
  <si>
    <t>Transportation-Transportation-Purchase Services</t>
  </si>
  <si>
    <t>Midwest Transit Equipment-BUS LEASE</t>
  </si>
  <si>
    <t>Santander Leasing-BUS LEASE</t>
  </si>
  <si>
    <t>Tyco Integrated</t>
  </si>
  <si>
    <t>Transportation-Transportation Director-Purchase Services</t>
  </si>
  <si>
    <t>Performance Services, Inc</t>
  </si>
  <si>
    <t>Accounts Summary 7-8 - Education Fund - Acct # 8890 - $142,147 Capital Lease Principal Payments, $ 7,289 Interest</t>
  </si>
  <si>
    <t>Revenues Page 9-14 - Education Fund - Acct # 1690 - $9,012 Trinity Lunches, $76 Miscellaneous Revenue Deposits</t>
  </si>
  <si>
    <t>Revenues Page 9-14 - Education Fund - Acct # 1790 - $7,902 Yearkbook, $3 Revtrak Handling Fees</t>
  </si>
  <si>
    <t>Revenues Page 9-14 - Education Fund - Acct #1999 - $60,745 Miscellaneous Revenue Deposits</t>
  </si>
  <si>
    <t>Revenues Page 9-14 - O&amp;M Fund - Acct #1999 - $5,194 HVAC Rebate</t>
  </si>
  <si>
    <t>Revenues Page 9-14 - Transportation Fund - Acct #1999 - $1,212 Miscellaneous Transportation Revenue</t>
  </si>
  <si>
    <t>Long-Term Debt 25 - Other Decrease - $142,147 Principal Payment by General Fund - See #1 Above</t>
  </si>
  <si>
    <t>US DEPARTMENT OF AGRICULTURE</t>
  </si>
  <si>
    <t>Pass-Through Illinois State Board of Education</t>
  </si>
  <si>
    <t>Non-cash Commodities</t>
  </si>
  <si>
    <t>N/A</t>
  </si>
  <si>
    <t>Overpayment</t>
  </si>
  <si>
    <t>2017-4210</t>
  </si>
  <si>
    <t>2018-4210</t>
  </si>
  <si>
    <t>Department of Education</t>
  </si>
  <si>
    <t>Pass Through Illinois State Board of Education</t>
  </si>
  <si>
    <t>2017-4300</t>
  </si>
  <si>
    <t>2018-4300</t>
  </si>
  <si>
    <t xml:space="preserve">Title II - Teacher Quality </t>
  </si>
  <si>
    <t>2017-4932</t>
  </si>
  <si>
    <t>2018-4932</t>
  </si>
  <si>
    <t>IDEA Flow Through (Pass through Lincoln-Way Area Special Education) (M)</t>
  </si>
  <si>
    <t>84.027A</t>
  </si>
  <si>
    <t>2017-4625</t>
  </si>
  <si>
    <t>2018-4625</t>
  </si>
  <si>
    <t>DEPARTMENT OF HEALTH AND HUMAN SERVICES</t>
  </si>
  <si>
    <t>Pass Through Illinois Department of Healthcare and Family Services</t>
  </si>
  <si>
    <t>Medical Assistance Program (Medicaid)</t>
  </si>
  <si>
    <t>IDEA Flow Through - Room &amp; Board (M)</t>
  </si>
  <si>
    <t>2018-4620</t>
  </si>
  <si>
    <t>Title IVA - Student Support &amp; Academic Enrich</t>
  </si>
  <si>
    <t>2018-4400</t>
  </si>
  <si>
    <t>Unmodified</t>
  </si>
  <si>
    <t>IDEA Flow Through (IDEA Cluster)</t>
  </si>
  <si>
    <t>IDEA Preschool (IDEA Cluster)</t>
  </si>
  <si>
    <t>20-2540-300</t>
  </si>
  <si>
    <t>10-2660-300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</si>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</sst>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 fillId="0" borderId="158" xfId="17" applyBorder="1" applyAlignment="1" applyProtection="1">
      <alignment vertical="top" wrapText="1"/>
      <protection locked="0"/>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4</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781050</xdr:colOff>
          <xdr:row>8</xdr:row>
          <xdr:rowOff>19050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57150</xdr:rowOff>
        </xdr:from>
        <xdr:to>
          <xdr:col>1</xdr:col>
          <xdr:colOff>781050</xdr:colOff>
          <xdr:row>12</xdr:row>
          <xdr:rowOff>57150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1400-000005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0</xdr:row>
          <xdr:rowOff>0</xdr:rowOff>
        </xdr:from>
        <xdr:to>
          <xdr:col>1</xdr:col>
          <xdr:colOff>2019300</xdr:colOff>
          <xdr:row>4</xdr:row>
          <xdr:rowOff>123825</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1400-000006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2181225</xdr:colOff>
          <xdr:row>0</xdr:row>
          <xdr:rowOff>38100</xdr:rowOff>
        </xdr:from>
        <xdr:to>
          <xdr:col>1</xdr:col>
          <xdr:colOff>3095625</xdr:colOff>
          <xdr:row>4</xdr:row>
          <xdr:rowOff>161925</xdr:rowOff>
        </xdr:to>
        <xdr:sp macro="" textlink="">
          <xdr:nvSpPr>
            <xdr:cNvPr id="50183" name="Object 7" hidden="1">
              <a:extLst>
                <a:ext uri="{63B3BB69-23CF-44E3-9099-C40C66FF867C}">
                  <a14:compatExt spid="_x0000_s50183"/>
                </a:ext>
                <a:ext uri="{FF2B5EF4-FFF2-40B4-BE49-F238E27FC236}">
                  <a16:creationId xmlns:a16="http://schemas.microsoft.com/office/drawing/2014/main" id="{00000000-0008-0000-1400-000007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1647825</xdr:colOff>
          <xdr:row>5</xdr:row>
          <xdr:rowOff>142875</xdr:rowOff>
        </xdr:from>
        <xdr:to>
          <xdr:col>1</xdr:col>
          <xdr:colOff>2562225</xdr:colOff>
          <xdr:row>10</xdr:row>
          <xdr:rowOff>104775</xdr:rowOff>
        </xdr:to>
        <xdr:sp macro="" textlink="">
          <xdr:nvSpPr>
            <xdr:cNvPr id="50186" name="Object 10" hidden="1">
              <a:extLst>
                <a:ext uri="{63B3BB69-23CF-44E3-9099-C40C66FF867C}">
                  <a14:compatExt spid="_x0000_s50186"/>
                </a:ext>
                <a:ext uri="{FF2B5EF4-FFF2-40B4-BE49-F238E27FC236}">
                  <a16:creationId xmlns:a16="http://schemas.microsoft.com/office/drawing/2014/main" id="{00000000-0008-0000-1400-00000A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56099159002</v>
      </c>
      <c r="B13" s="2004"/>
      <c r="C13" s="2004"/>
      <c r="D13" s="2004"/>
      <c r="E13" s="2004"/>
      <c r="F13" s="2004"/>
      <c r="G13" s="2004"/>
      <c r="H13" s="2005"/>
      <c r="I13" s="31"/>
      <c r="J13" s="30"/>
      <c r="K13" s="28"/>
      <c r="L13" s="30"/>
      <c r="M13" s="30"/>
      <c r="N13" s="30"/>
      <c r="O13" s="30"/>
      <c r="P13" s="30"/>
      <c r="Q13" s="30"/>
      <c r="R13" s="30"/>
      <c r="S13" s="30"/>
      <c r="T13" s="2008" t="s">
        <v>2089</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2094</v>
      </c>
      <c r="B15" s="2006"/>
      <c r="C15" s="2006"/>
      <c r="D15" s="2006"/>
      <c r="E15" s="2006"/>
      <c r="F15" s="2006"/>
      <c r="G15" s="2006"/>
      <c r="H15" s="2007"/>
      <c r="T15" s="1969" t="s">
        <v>2097</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2093</v>
      </c>
      <c r="B17" s="2031"/>
      <c r="C17" s="2031"/>
      <c r="D17" s="2031"/>
      <c r="E17" s="2031"/>
      <c r="F17" s="2031"/>
      <c r="G17" s="2031"/>
      <c r="H17" s="2032"/>
      <c r="T17" s="2018" t="s">
        <v>2090</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2095</v>
      </c>
      <c r="B19" s="2002"/>
      <c r="C19" s="2002"/>
      <c r="D19" s="2002"/>
      <c r="E19" s="2002"/>
      <c r="F19" s="2002"/>
      <c r="G19" s="2002"/>
      <c r="H19" s="2000"/>
      <c r="I19" s="30"/>
      <c r="J19" s="99"/>
      <c r="K19" s="40"/>
      <c r="L19" s="38"/>
      <c r="M19" s="112" t="s">
        <v>333</v>
      </c>
      <c r="P19" s="27"/>
      <c r="Q19" s="27"/>
      <c r="R19" s="27"/>
      <c r="S19" s="31"/>
      <c r="T19" s="2001" t="s">
        <v>2091</v>
      </c>
      <c r="U19" s="1999"/>
      <c r="V19" s="1999"/>
      <c r="W19" s="2000"/>
      <c r="X19" s="2016" t="s">
        <v>2092</v>
      </c>
      <c r="Y19" s="2017"/>
      <c r="Z19" s="2014">
        <v>60563</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2093</v>
      </c>
      <c r="B21" s="1999"/>
      <c r="C21" s="1999"/>
      <c r="D21" s="1999"/>
      <c r="E21" s="1999"/>
      <c r="F21" s="1999"/>
      <c r="G21" s="1999"/>
      <c r="H21" s="2000"/>
      <c r="I21" s="2024" t="s">
        <v>699</v>
      </c>
      <c r="J21" s="1987"/>
      <c r="K21" s="1987"/>
      <c r="L21" s="1987"/>
      <c r="M21" s="1987"/>
      <c r="N21" s="1987"/>
      <c r="O21" s="1987"/>
      <c r="P21" s="1987"/>
      <c r="Q21" s="1987"/>
      <c r="R21" s="1987"/>
      <c r="S21" s="1988"/>
      <c r="T21" s="1966" t="s">
        <v>2098</v>
      </c>
      <c r="U21" s="1967"/>
      <c r="V21" s="1967"/>
      <c r="W21" s="1967"/>
      <c r="X21" s="1980" t="s">
        <v>2099</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2096</v>
      </c>
      <c r="B23" s="2022"/>
      <c r="C23" s="2022"/>
      <c r="D23" s="2022"/>
      <c r="E23" s="2022"/>
      <c r="F23" s="2022"/>
      <c r="G23" s="2022"/>
      <c r="H23" s="2023"/>
      <c r="T23" s="1961" t="s">
        <v>2100</v>
      </c>
      <c r="U23" s="1962"/>
      <c r="V23" s="1962"/>
      <c r="W23" s="1962"/>
      <c r="X23" s="1977">
        <v>44469</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60448</v>
      </c>
      <c r="B25" s="1999"/>
      <c r="C25" s="1999"/>
      <c r="D25" s="1999"/>
      <c r="E25" s="1999"/>
      <c r="F25" s="1999"/>
      <c r="G25" s="1999"/>
      <c r="H25" s="2000"/>
      <c r="I25" s="113"/>
      <c r="J25" s="2065"/>
      <c r="K25" s="2065"/>
      <c r="L25" s="2065"/>
      <c r="M25" s="2065"/>
      <c r="N25" s="2065"/>
      <c r="O25" s="2065"/>
      <c r="P25" s="2065"/>
      <c r="Q25" s="2065"/>
      <c r="R25" s="2065"/>
      <c r="S25" s="2066"/>
      <c r="T25" s="1958" t="s">
        <v>2101</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2102</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2103</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2104</v>
      </c>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1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11941450</v>
      </c>
      <c r="C4" s="1546">
        <v>6248572</v>
      </c>
      <c r="D4" s="1774">
        <f>B4-C4</f>
        <v>5692878</v>
      </c>
      <c r="E4" s="1546">
        <v>11625341</v>
      </c>
      <c r="F4" s="1774">
        <f>E4-C4</f>
        <v>5376769</v>
      </c>
    </row>
    <row r="5" spans="1:6" ht="13.7" customHeight="1" x14ac:dyDescent="0.2">
      <c r="A5" s="716" t="s">
        <v>925</v>
      </c>
      <c r="B5" s="1772">
        <f>'Revenues 9-14'!D5</f>
        <v>1254440</v>
      </c>
      <c r="C5" s="585">
        <v>656477</v>
      </c>
      <c r="D5" s="1775">
        <f t="shared" ref="D5:D18" si="0">B5-C5</f>
        <v>597963</v>
      </c>
      <c r="E5" s="585">
        <v>1221362</v>
      </c>
      <c r="F5" s="1775">
        <f>E5-C5</f>
        <v>564885</v>
      </c>
    </row>
    <row r="6" spans="1:6" ht="13.7" customHeight="1" x14ac:dyDescent="0.2">
      <c r="A6" s="716" t="s">
        <v>431</v>
      </c>
      <c r="B6" s="1772">
        <f>'Revenues 9-14'!E5</f>
        <v>2325138</v>
      </c>
      <c r="C6" s="585">
        <v>1208584</v>
      </c>
      <c r="D6" s="1775">
        <f t="shared" si="0"/>
        <v>1116554</v>
      </c>
      <c r="E6" s="585">
        <v>2248546</v>
      </c>
      <c r="F6" s="1775">
        <f t="shared" ref="F6:F18" si="1">E6-C6</f>
        <v>1039962</v>
      </c>
    </row>
    <row r="7" spans="1:6" ht="13.7" customHeight="1" x14ac:dyDescent="0.2">
      <c r="A7" s="716" t="s">
        <v>157</v>
      </c>
      <c r="B7" s="1772">
        <f>'Revenues 9-14'!F5</f>
        <v>384876</v>
      </c>
      <c r="C7" s="585">
        <v>224487</v>
      </c>
      <c r="D7" s="1775">
        <f t="shared" si="0"/>
        <v>160389</v>
      </c>
      <c r="E7" s="585">
        <v>417653</v>
      </c>
      <c r="F7" s="1775">
        <f t="shared" si="1"/>
        <v>193166</v>
      </c>
    </row>
    <row r="8" spans="1:6" ht="13.7" customHeight="1" x14ac:dyDescent="0.2">
      <c r="A8" s="716" t="s">
        <v>1241</v>
      </c>
      <c r="B8" s="1772">
        <f>'Revenues 9-14'!G5</f>
        <v>332375</v>
      </c>
      <c r="C8" s="585">
        <v>105913</v>
      </c>
      <c r="D8" s="1775">
        <f t="shared" si="0"/>
        <v>226462</v>
      </c>
      <c r="E8" s="585">
        <v>197049</v>
      </c>
      <c r="F8" s="1775">
        <f t="shared" si="1"/>
        <v>91136</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70564</v>
      </c>
      <c r="C10" s="585">
        <v>37054</v>
      </c>
      <c r="D10" s="1775">
        <f t="shared" si="0"/>
        <v>33510</v>
      </c>
      <c r="E10" s="585">
        <v>68939</v>
      </c>
      <c r="F10" s="1775">
        <f t="shared" si="1"/>
        <v>31885</v>
      </c>
    </row>
    <row r="11" spans="1:6" x14ac:dyDescent="0.2">
      <c r="A11" s="716" t="s">
        <v>429</v>
      </c>
      <c r="B11" s="1772">
        <f>'Revenues 9-14'!J5</f>
        <v>145860</v>
      </c>
      <c r="C11" s="585">
        <v>79667</v>
      </c>
      <c r="D11" s="1775">
        <f t="shared" si="0"/>
        <v>66193</v>
      </c>
      <c r="E11" s="585">
        <v>148218</v>
      </c>
      <c r="F11" s="1775">
        <f t="shared" si="1"/>
        <v>68551</v>
      </c>
    </row>
    <row r="12" spans="1:6" ht="13.7" customHeight="1" x14ac:dyDescent="0.2">
      <c r="A12" s="716" t="s">
        <v>159</v>
      </c>
      <c r="B12" s="1772">
        <f>'Revenues 9-14'!K5</f>
        <v>0</v>
      </c>
      <c r="C12" s="585">
        <v>0</v>
      </c>
      <c r="D12" s="1775">
        <f t="shared" si="0"/>
        <v>0</v>
      </c>
      <c r="E12" s="585">
        <v>0</v>
      </c>
      <c r="F12" s="1775">
        <f t="shared" si="1"/>
        <v>0</v>
      </c>
    </row>
    <row r="13" spans="1:6" ht="13.7" customHeight="1" x14ac:dyDescent="0.2">
      <c r="A13" s="716" t="s">
        <v>993</v>
      </c>
      <c r="B13" s="1772">
        <f>SUM('Revenues 9-14'!C6:D6)</f>
        <v>0</v>
      </c>
      <c r="C13" s="585">
        <v>0</v>
      </c>
      <c r="D13" s="1775">
        <f t="shared" si="0"/>
        <v>0</v>
      </c>
      <c r="E13" s="585">
        <v>0</v>
      </c>
      <c r="F13" s="1775">
        <f t="shared" si="1"/>
        <v>0</v>
      </c>
    </row>
    <row r="14" spans="1:6" ht="13.7" customHeight="1" x14ac:dyDescent="0.2">
      <c r="A14" s="716" t="s">
        <v>430</v>
      </c>
      <c r="B14" s="1772">
        <f>SUM('Revenues 9-14'!C7:D7,'Revenues 9-14'!F7:H7)</f>
        <v>480154</v>
      </c>
      <c r="C14" s="585">
        <v>251351</v>
      </c>
      <c r="D14" s="1775">
        <f t="shared" si="0"/>
        <v>228803</v>
      </c>
      <c r="E14" s="585">
        <v>467633</v>
      </c>
      <c r="F14" s="1775">
        <f t="shared" si="1"/>
        <v>216282</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0</v>
      </c>
      <c r="C16" s="585">
        <v>105913</v>
      </c>
      <c r="D16" s="1775">
        <f t="shared" si="0"/>
        <v>-105913</v>
      </c>
      <c r="E16" s="585">
        <v>197049</v>
      </c>
      <c r="F16" s="1775">
        <f t="shared" si="1"/>
        <v>91136</v>
      </c>
    </row>
    <row r="17" spans="1:6" ht="13.7" customHeight="1" x14ac:dyDescent="0.2">
      <c r="A17" s="716" t="s">
        <v>1222</v>
      </c>
      <c r="B17" s="1772">
        <f>'Revenues 9-14'!C10</f>
        <v>0</v>
      </c>
      <c r="C17" s="585">
        <v>0</v>
      </c>
      <c r="D17" s="1775">
        <f t="shared" si="0"/>
        <v>0</v>
      </c>
      <c r="E17" s="585"/>
      <c r="F17" s="1775">
        <f t="shared" si="1"/>
        <v>0</v>
      </c>
    </row>
    <row r="18" spans="1:6" ht="13.7" customHeight="1" x14ac:dyDescent="0.2">
      <c r="A18" s="716" t="s">
        <v>786</v>
      </c>
      <c r="B18" s="1772">
        <f>SUM('Revenues 9-14'!C11:K11)</f>
        <v>0</v>
      </c>
      <c r="C18" s="585">
        <v>0</v>
      </c>
      <c r="D18" s="1775">
        <f t="shared" si="0"/>
        <v>0</v>
      </c>
      <c r="E18" s="585"/>
      <c r="F18" s="1775">
        <f t="shared" si="1"/>
        <v>0</v>
      </c>
    </row>
    <row r="19" spans="1:6" ht="13.7" customHeight="1" thickBot="1" x14ac:dyDescent="0.25">
      <c r="A19" s="1776" t="s">
        <v>1223</v>
      </c>
      <c r="B19" s="1773">
        <f>SUM(B4:B18)</f>
        <v>16934857</v>
      </c>
      <c r="C19" s="1773">
        <f>SUM(C4:C18)</f>
        <v>8918018</v>
      </c>
      <c r="D19" s="1773">
        <f>SUM(D4:D18)</f>
        <v>8016839</v>
      </c>
      <c r="E19" s="1773">
        <f>SUM(E4:E18)</f>
        <v>16591790</v>
      </c>
      <c r="F19" s="1773">
        <f>SUM(F4:F18)</f>
        <v>7673772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E17" sqref="E1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8" t="s">
        <v>2038</v>
      </c>
      <c r="D2" s="724" t="s">
        <v>2045</v>
      </c>
      <c r="E2" s="724" t="s">
        <v>2046</v>
      </c>
      <c r="F2" s="1908" t="s">
        <v>2039</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2078</v>
      </c>
      <c r="B31" s="734">
        <v>40698</v>
      </c>
      <c r="C31" s="735">
        <v>8439978</v>
      </c>
      <c r="D31" s="736">
        <v>6</v>
      </c>
      <c r="E31" s="735">
        <v>1549139</v>
      </c>
      <c r="F31" s="735"/>
      <c r="G31" s="735"/>
      <c r="H31" s="735">
        <v>553033</v>
      </c>
      <c r="I31" s="1778">
        <f>((E31+F31)-H31)+G31</f>
        <v>996106</v>
      </c>
      <c r="J31" s="735">
        <f>I31</f>
        <v>996106</v>
      </c>
      <c r="K31" s="737"/>
    </row>
    <row r="32" spans="1:11" ht="12" customHeight="1" x14ac:dyDescent="0.2">
      <c r="A32" s="733" t="s">
        <v>2079</v>
      </c>
      <c r="B32" s="734">
        <v>42436</v>
      </c>
      <c r="C32" s="735">
        <v>2865000</v>
      </c>
      <c r="D32" s="736">
        <v>1</v>
      </c>
      <c r="E32" s="735">
        <v>2780000</v>
      </c>
      <c r="F32" s="735"/>
      <c r="G32" s="735"/>
      <c r="H32" s="735">
        <v>110000</v>
      </c>
      <c r="I32" s="1778">
        <f>((E32+F32)-H32)+G32</f>
        <v>2670000</v>
      </c>
      <c r="J32" s="735">
        <f>I32</f>
        <v>2670000</v>
      </c>
      <c r="K32" s="737"/>
    </row>
    <row r="33" spans="1:11" ht="12" customHeight="1" x14ac:dyDescent="0.2">
      <c r="A33" s="733" t="s">
        <v>2080</v>
      </c>
      <c r="B33" s="734">
        <v>42436</v>
      </c>
      <c r="C33" s="735">
        <v>4080800</v>
      </c>
      <c r="D33" s="736">
        <v>3</v>
      </c>
      <c r="E33" s="735">
        <v>4080000</v>
      </c>
      <c r="F33" s="735"/>
      <c r="G33" s="735"/>
      <c r="H33" s="735"/>
      <c r="I33" s="1778">
        <f t="shared" ref="I33:I48" si="1">((E33+F33)-H33)+G33</f>
        <v>4080000</v>
      </c>
      <c r="J33" s="735">
        <f>I33-'Assets-Liab 5-6'!N21</f>
        <v>2609646</v>
      </c>
      <c r="K33" s="737"/>
    </row>
    <row r="34" spans="1:11" ht="12" customHeight="1" x14ac:dyDescent="0.2">
      <c r="A34" s="733" t="s">
        <v>2081</v>
      </c>
      <c r="B34" s="734">
        <v>42064</v>
      </c>
      <c r="C34" s="735">
        <v>153095</v>
      </c>
      <c r="D34" s="736">
        <v>7</v>
      </c>
      <c r="E34" s="735">
        <v>38333</v>
      </c>
      <c r="F34" s="735"/>
      <c r="G34" s="735">
        <v>-38333</v>
      </c>
      <c r="H34" s="735"/>
      <c r="I34" s="1778">
        <f t="shared" si="1"/>
        <v>0</v>
      </c>
      <c r="J34" s="735">
        <v>0</v>
      </c>
      <c r="K34" s="738"/>
    </row>
    <row r="35" spans="1:11" ht="12" customHeight="1" x14ac:dyDescent="0.2">
      <c r="A35" s="733" t="s">
        <v>2082</v>
      </c>
      <c r="B35" s="734">
        <v>42561</v>
      </c>
      <c r="C35" s="739">
        <v>502324</v>
      </c>
      <c r="D35" s="736">
        <v>7</v>
      </c>
      <c r="E35" s="739">
        <v>290673</v>
      </c>
      <c r="F35" s="739"/>
      <c r="G35" s="739">
        <v>-103814</v>
      </c>
      <c r="H35" s="739"/>
      <c r="I35" s="1778">
        <f t="shared" si="1"/>
        <v>186859</v>
      </c>
      <c r="J35" s="739">
        <f>I35</f>
        <v>186859</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16041197</v>
      </c>
      <c r="D49" s="746"/>
      <c r="E49" s="1778">
        <f t="shared" ref="E49:J49" si="2">SUM(E31:E48)</f>
        <v>8738145</v>
      </c>
      <c r="F49" s="1778">
        <f t="shared" si="2"/>
        <v>0</v>
      </c>
      <c r="G49" s="1778">
        <f t="shared" si="2"/>
        <v>-142147</v>
      </c>
      <c r="H49" s="1778">
        <f t="shared" si="2"/>
        <v>663033</v>
      </c>
      <c r="I49" s="1778">
        <f t="shared" si="2"/>
        <v>7932965</v>
      </c>
      <c r="J49" s="1778">
        <f t="shared" si="2"/>
        <v>6462611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t="s">
        <v>2083</v>
      </c>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480860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480860</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0</v>
      </c>
      <c r="I23" s="1780">
        <f>SUM(I14:I16,I21,I22)</f>
        <v>0</v>
      </c>
      <c r="J23" s="1780">
        <f>SUM(J14:J16,J21,J22)</f>
        <v>0</v>
      </c>
      <c r="K23" s="1780">
        <f>SUM(K14:K16,K21,K22)</f>
        <v>0</v>
      </c>
    </row>
    <row r="24" spans="1:11" ht="14.25" thickTop="1" thickBot="1" x14ac:dyDescent="0.25">
      <c r="A24" s="2252" t="s">
        <v>2026</v>
      </c>
      <c r="B24" s="2251"/>
      <c r="C24" s="2251"/>
      <c r="D24" s="2251"/>
      <c r="E24" s="2251"/>
      <c r="F24" s="1784"/>
      <c r="G24" s="1785">
        <f>SUM(G3,G12)-G23</f>
        <v>0</v>
      </c>
      <c r="H24" s="1785">
        <f>SUM(H3,H12)-H23</f>
        <v>480860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480860</v>
      </c>
      <c r="I26" s="1780">
        <f>I24-I25</f>
        <v>0</v>
      </c>
      <c r="J26" s="1780">
        <f>J24-J25</f>
        <v>0</v>
      </c>
      <c r="K26" s="1780">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3" colorId="8" zoomScale="110" zoomScaleNormal="110" workbookViewId="0">
      <selection activeCell="F16" sqref="F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1092698</v>
      </c>
      <c r="D5" s="842"/>
      <c r="E5" s="842"/>
      <c r="F5" s="1782">
        <f>(C5+D5)-E5</f>
        <v>1092698</v>
      </c>
      <c r="G5" s="838"/>
      <c r="H5" s="843"/>
      <c r="I5" s="843"/>
      <c r="J5" s="843"/>
      <c r="K5" s="794"/>
      <c r="L5" s="1791">
        <f>F5-K5</f>
        <v>1092698</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29374416</v>
      </c>
      <c r="D8" s="845">
        <v>108792</v>
      </c>
      <c r="E8" s="845"/>
      <c r="F8" s="1782">
        <f>(C8+D8)-E8</f>
        <v>29483208</v>
      </c>
      <c r="G8" s="844">
        <v>50</v>
      </c>
      <c r="H8" s="766">
        <v>14731402</v>
      </c>
      <c r="I8" s="766">
        <v>723173</v>
      </c>
      <c r="J8" s="766"/>
      <c r="K8" s="1791">
        <f>(H8+I8)-J8</f>
        <v>15454575</v>
      </c>
      <c r="L8" s="1791">
        <f>F8-K8</f>
        <v>14028633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692080</v>
      </c>
      <c r="D10" s="847">
        <v>31832</v>
      </c>
      <c r="E10" s="847"/>
      <c r="F10" s="1786">
        <f>(C10+D10)-E10</f>
        <v>723912</v>
      </c>
      <c r="G10" s="844">
        <v>20</v>
      </c>
      <c r="H10" s="848">
        <v>633095</v>
      </c>
      <c r="I10" s="848">
        <v>16950</v>
      </c>
      <c r="J10" s="848"/>
      <c r="K10" s="1791">
        <f>(H10+I10)-J10</f>
        <v>650045</v>
      </c>
      <c r="L10" s="1791">
        <f>F10-K10</f>
        <v>73867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4219167</v>
      </c>
      <c r="D12" s="845">
        <v>97282</v>
      </c>
      <c r="E12" s="845"/>
      <c r="F12" s="1782">
        <f>(C12+D12)-E12</f>
        <v>4316449</v>
      </c>
      <c r="G12" s="844">
        <v>10</v>
      </c>
      <c r="H12" s="766">
        <v>3932207</v>
      </c>
      <c r="I12" s="766">
        <v>106444</v>
      </c>
      <c r="J12" s="766"/>
      <c r="K12" s="1791">
        <f>(H12+I12)-J12</f>
        <v>4038651</v>
      </c>
      <c r="L12" s="1791">
        <f>F12-K12</f>
        <v>277798</v>
      </c>
    </row>
    <row r="13" spans="1:14" ht="14.25" thickTop="1" thickBot="1" x14ac:dyDescent="0.25">
      <c r="A13" s="849" t="s">
        <v>1184</v>
      </c>
      <c r="B13" s="841">
        <v>252</v>
      </c>
      <c r="C13" s="845">
        <v>564413</v>
      </c>
      <c r="D13" s="845"/>
      <c r="E13" s="845"/>
      <c r="F13" s="1782">
        <f>(C13+D13)-E13</f>
        <v>564413</v>
      </c>
      <c r="G13" s="844">
        <v>5</v>
      </c>
      <c r="H13" s="766">
        <v>342279</v>
      </c>
      <c r="I13" s="766">
        <v>52430</v>
      </c>
      <c r="J13" s="766"/>
      <c r="K13" s="1791">
        <f>(H13+I13)-J13</f>
        <v>394709</v>
      </c>
      <c r="L13" s="1791">
        <f>F13-K13</f>
        <v>169704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35942774</v>
      </c>
      <c r="D16" s="1782">
        <f>SUM(D3,D5:D6,D8:D10,D12:D15)</f>
        <v>237906</v>
      </c>
      <c r="E16" s="1782">
        <f>SUM(E3,E5:E6,E8:E10,E12:E15)</f>
        <v>0</v>
      </c>
      <c r="F16" s="1782">
        <f>SUM(F3,F5:F6,F8:F10,F12:F15)</f>
        <v>36180680</v>
      </c>
      <c r="G16" s="844"/>
      <c r="H16" s="1782">
        <f>SUM(H3,H6,H8:H10,H12:H14,)</f>
        <v>19638983</v>
      </c>
      <c r="I16" s="1782">
        <f>SUM(I3,I6,I8:I10,I12:I14,)</f>
        <v>898997</v>
      </c>
      <c r="J16" s="1782">
        <f>SUM(J3,J6,J8:J10,J12:J14,)</f>
        <v>0</v>
      </c>
      <c r="K16" s="1782">
        <f>(H16+I16)-J16</f>
        <v>20537980</v>
      </c>
      <c r="L16" s="1782">
        <f>F16-K16</f>
        <v>15642700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44200</v>
      </c>
      <c r="G17" s="838">
        <v>10</v>
      </c>
      <c r="H17" s="770"/>
      <c r="I17" s="1791">
        <f>F17/G17</f>
        <v>4420</v>
      </c>
      <c r="J17" s="770"/>
      <c r="K17" s="796"/>
      <c r="L17" s="796"/>
    </row>
    <row r="18" spans="1:12" ht="14.25" thickTop="1" thickBot="1" x14ac:dyDescent="0.25">
      <c r="A18" s="1789" t="s">
        <v>706</v>
      </c>
      <c r="B18" s="1790"/>
      <c r="C18" s="772"/>
      <c r="D18" s="772"/>
      <c r="E18" s="772"/>
      <c r="F18" s="851"/>
      <c r="G18" s="852"/>
      <c r="H18" s="774"/>
      <c r="I18" s="1782">
        <f>SUM(I16,I17)</f>
        <v>903417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6"/>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13801983</v>
      </c>
      <c r="G8" s="866"/>
    </row>
    <row r="9" spans="1:7" x14ac:dyDescent="0.2">
      <c r="A9" s="870" t="s">
        <v>480</v>
      </c>
      <c r="B9" s="871" t="s">
        <v>1989</v>
      </c>
      <c r="C9" s="872"/>
      <c r="D9" s="870" t="s">
        <v>522</v>
      </c>
      <c r="E9" s="869"/>
      <c r="F9" s="1934">
        <f>'Expenditures 15-22'!K151</f>
        <v>2056274</v>
      </c>
      <c r="G9" s="873"/>
    </row>
    <row r="10" spans="1:7" x14ac:dyDescent="0.2">
      <c r="A10" s="870" t="s">
        <v>520</v>
      </c>
      <c r="B10" s="871" t="s">
        <v>1990</v>
      </c>
      <c r="C10" s="872"/>
      <c r="D10" s="870" t="s">
        <v>522</v>
      </c>
      <c r="E10" s="869"/>
      <c r="F10" s="1934">
        <f>'Expenditures 15-22'!K174</f>
        <v>2264587</v>
      </c>
      <c r="G10" s="873"/>
    </row>
    <row r="11" spans="1:7" x14ac:dyDescent="0.2">
      <c r="A11" s="870" t="s">
        <v>481</v>
      </c>
      <c r="B11" s="871" t="s">
        <v>1991</v>
      </c>
      <c r="C11" s="872"/>
      <c r="D11" s="870" t="s">
        <v>522</v>
      </c>
      <c r="E11" s="869"/>
      <c r="F11" s="1934">
        <f>'Expenditures 15-22'!K210</f>
        <v>795485</v>
      </c>
      <c r="G11" s="873"/>
    </row>
    <row r="12" spans="1:7" x14ac:dyDescent="0.2">
      <c r="A12" s="870" t="s">
        <v>482</v>
      </c>
      <c r="B12" s="871" t="s">
        <v>1992</v>
      </c>
      <c r="C12" s="872"/>
      <c r="D12" s="870" t="s">
        <v>522</v>
      </c>
      <c r="E12" s="869"/>
      <c r="F12" s="1934">
        <f>'Expenditures 15-22'!K295</f>
        <v>479230</v>
      </c>
      <c r="G12" s="873"/>
    </row>
    <row r="13" spans="1:7" x14ac:dyDescent="0.2">
      <c r="A13" s="870" t="s">
        <v>108</v>
      </c>
      <c r="B13" s="871" t="s">
        <v>1993</v>
      </c>
      <c r="C13" s="872"/>
      <c r="D13" s="870" t="s">
        <v>522</v>
      </c>
      <c r="E13" s="869"/>
      <c r="F13" s="1934">
        <f>'Expenditures 15-22'!K342</f>
        <v>153628</v>
      </c>
      <c r="G13" s="874"/>
    </row>
    <row r="14" spans="1:7" ht="12" customHeight="1" thickBot="1" x14ac:dyDescent="0.25">
      <c r="A14" s="1792"/>
      <c r="B14" s="1793"/>
      <c r="C14" s="1794"/>
      <c r="D14" s="1795" t="s">
        <v>522</v>
      </c>
      <c r="E14" s="1796" t="s">
        <v>1015</v>
      </c>
      <c r="F14" s="1797">
        <f>SUM(F8:F13)</f>
        <v>19551187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85842</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34709</v>
      </c>
      <c r="G52" s="866"/>
    </row>
    <row r="53" spans="1:7" x14ac:dyDescent="0.2">
      <c r="A53" s="870" t="s">
        <v>479</v>
      </c>
      <c r="B53" s="870" t="s">
        <v>1551</v>
      </c>
      <c r="C53" s="890">
        <f>'Expenditures 15-22'!B102</f>
        <v>4000</v>
      </c>
      <c r="D53" s="889" t="str">
        <f>'Expenditures 15-22'!A102</f>
        <v>Total Payments to Other Govt Units</v>
      </c>
      <c r="E53" s="869"/>
      <c r="F53" s="1938">
        <f>'Expenditures 15-22'!K102</f>
        <v>1450666</v>
      </c>
      <c r="G53" s="866"/>
    </row>
    <row r="54" spans="1:7" x14ac:dyDescent="0.2">
      <c r="A54" s="870" t="s">
        <v>479</v>
      </c>
      <c r="B54" s="870" t="s">
        <v>1552</v>
      </c>
      <c r="C54" s="890" t="s">
        <v>1039</v>
      </c>
      <c r="D54" s="886" t="s">
        <v>1157</v>
      </c>
      <c r="E54" s="869"/>
      <c r="F54" s="1938">
        <f>'Expenditures 15-22'!G114</f>
        <v>0</v>
      </c>
      <c r="G54" s="866"/>
    </row>
    <row r="55" spans="1:7" x14ac:dyDescent="0.2">
      <c r="A55" s="870" t="s">
        <v>479</v>
      </c>
      <c r="B55" s="870" t="s">
        <v>1553</v>
      </c>
      <c r="C55" s="890" t="s">
        <v>1039</v>
      </c>
      <c r="D55" s="886" t="s">
        <v>309</v>
      </c>
      <c r="E55" s="869"/>
      <c r="F55" s="1938">
        <f>'Expenditures 15-22'!I114</f>
        <v>38470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52952</v>
      </c>
      <c r="G57" s="866"/>
    </row>
    <row r="58" spans="1:7" x14ac:dyDescent="0.2">
      <c r="A58" s="870" t="s">
        <v>480</v>
      </c>
      <c r="B58" s="870" t="s">
        <v>1995</v>
      </c>
      <c r="C58" s="887" t="s">
        <v>1039</v>
      </c>
      <c r="D58" s="886" t="s">
        <v>1157</v>
      </c>
      <c r="E58" s="869"/>
      <c r="F58" s="1940">
        <f>'Expenditures 15-22'!G151</f>
        <v>258468</v>
      </c>
      <c r="G58" s="866"/>
    </row>
    <row r="59" spans="1:7" x14ac:dyDescent="0.2">
      <c r="A59" s="894" t="s">
        <v>480</v>
      </c>
      <c r="B59" s="857" t="s">
        <v>1996</v>
      </c>
      <c r="C59" s="895" t="s">
        <v>1039</v>
      </c>
      <c r="D59" s="857" t="s">
        <v>309</v>
      </c>
      <c r="F59" s="1941">
        <f>'Expenditures 15-22'!I151</f>
        <v>5730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663033</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45680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4328</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2639878</v>
      </c>
      <c r="G76" s="866"/>
    </row>
    <row r="77" spans="1:8" s="894" customFormat="1" ht="12" customHeight="1" thickTop="1" thickBot="1" x14ac:dyDescent="0.25">
      <c r="A77" s="1801"/>
      <c r="B77" s="1798"/>
      <c r="C77" s="1794"/>
      <c r="D77" s="1799" t="s">
        <v>2012</v>
      </c>
      <c r="E77" s="1796"/>
      <c r="F77" s="1802">
        <f>(F14-F76)</f>
        <v>16911309</v>
      </c>
      <c r="G77" s="870"/>
    </row>
    <row r="78" spans="1:8" s="894" customFormat="1" ht="12" customHeight="1" thickTop="1" x14ac:dyDescent="0.2">
      <c r="A78" s="1803"/>
      <c r="B78" s="1798"/>
      <c r="C78" s="1794"/>
      <c r="D78" s="1799" t="s">
        <v>2059</v>
      </c>
      <c r="E78" s="1796"/>
      <c r="F78" s="899">
        <v>1460.54</v>
      </c>
      <c r="G78" s="900"/>
      <c r="H78" s="870"/>
    </row>
    <row r="79" spans="1:8" s="894" customFormat="1" ht="12" customHeight="1" thickBot="1" x14ac:dyDescent="0.25">
      <c r="A79" s="1804"/>
      <c r="B79" s="1798"/>
      <c r="C79" s="1794"/>
      <c r="D79" s="1799" t="s">
        <v>2013</v>
      </c>
      <c r="E79" s="1796" t="s">
        <v>1015</v>
      </c>
      <c r="F79" s="1805">
        <f>IF(F78&gt;0,F77/F78," Complete Line 78")</f>
        <v>11578.805784162023</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165583</v>
      </c>
      <c r="G84" s="913"/>
    </row>
    <row r="85" spans="1:7" x14ac:dyDescent="0.2">
      <c r="A85" s="909" t="s">
        <v>481</v>
      </c>
      <c r="B85" s="909" t="s">
        <v>192</v>
      </c>
      <c r="C85" s="914">
        <f>'Revenues 9-14'!B44</f>
        <v>1413</v>
      </c>
      <c r="D85" s="912" t="str">
        <f>'Revenues 9-14'!A44</f>
        <v>Regular - Transp Fees from Other Sources (In State)</v>
      </c>
      <c r="E85" s="907"/>
      <c r="F85" s="1811">
        <f>'Revenues 9-14'!F44</f>
        <v>4250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215885</v>
      </c>
      <c r="G94" s="913"/>
    </row>
    <row r="95" spans="1:7" x14ac:dyDescent="0.2">
      <c r="A95" s="909" t="s">
        <v>142</v>
      </c>
      <c r="B95" s="909" t="s">
        <v>177</v>
      </c>
      <c r="C95" s="911">
        <v>1700</v>
      </c>
      <c r="D95" s="919" t="str">
        <f>'Revenues 9-14'!A82</f>
        <v>Total District/School Activity Income</v>
      </c>
      <c r="E95" s="907"/>
      <c r="F95" s="1811">
        <f>SUM('Revenues 9-14'!C82,'Revenues 9-14'!D82)</f>
        <v>94620</v>
      </c>
      <c r="G95" s="913"/>
    </row>
    <row r="96" spans="1:7" x14ac:dyDescent="0.2">
      <c r="A96" s="909" t="s">
        <v>479</v>
      </c>
      <c r="B96" s="909" t="s">
        <v>178</v>
      </c>
      <c r="C96" s="911">
        <f>'Revenues 9-14'!B84</f>
        <v>1811</v>
      </c>
      <c r="D96" s="912" t="str">
        <f>'Revenues 9-14'!A84</f>
        <v>Rentals - Regular Textbooks</v>
      </c>
      <c r="E96" s="907"/>
      <c r="F96" s="1811">
        <f>'Revenues 9-14'!C84</f>
        <v>347001</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60658</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442047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1328</v>
      </c>
      <c r="G106" s="913"/>
    </row>
    <row r="107" spans="1:7" x14ac:dyDescent="0.2">
      <c r="A107" s="922" t="s">
        <v>685</v>
      </c>
      <c r="B107" s="909" t="s">
        <v>843</v>
      </c>
      <c r="C107" s="921">
        <v>3300</v>
      </c>
      <c r="D107" s="912" t="str">
        <f>'Revenues 9-14'!A144</f>
        <v>Total Bilingual Ed</v>
      </c>
      <c r="E107" s="907"/>
      <c r="F107" s="1811">
        <f>SUM('Revenues 9-14'!C144,'Revenues 9-14'!G144)</f>
        <v>7993</v>
      </c>
      <c r="G107" s="913"/>
    </row>
    <row r="108" spans="1:7" x14ac:dyDescent="0.2">
      <c r="A108" s="909" t="s">
        <v>479</v>
      </c>
      <c r="B108" s="909" t="s">
        <v>844</v>
      </c>
      <c r="C108" s="921">
        <f>'Revenues 9-14'!B145</f>
        <v>3360</v>
      </c>
      <c r="D108" s="912" t="str">
        <f>'Revenues 9-14'!A145</f>
        <v>State Free Lunch &amp; Breakfast</v>
      </c>
      <c r="E108" s="907"/>
      <c r="F108" s="1811">
        <f>'Revenues 9-14'!C145</f>
        <v>951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363458</v>
      </c>
      <c r="G111" s="913"/>
    </row>
    <row r="112" spans="1:7" x14ac:dyDescent="0.2">
      <c r="A112" s="909" t="s">
        <v>479</v>
      </c>
      <c r="B112" s="909" t="s">
        <v>847</v>
      </c>
      <c r="C112" s="921">
        <f>'Revenues 9-14'!B155</f>
        <v>3610</v>
      </c>
      <c r="D112" s="912" t="str">
        <f>'Revenues 9-14'!A155</f>
        <v>Learning Improvement - Change Grants</v>
      </c>
      <c r="E112" s="907"/>
      <c r="F112" s="1811">
        <f>'Revenues 9-14'!C155</f>
        <v>2113</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90239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147481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574317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44353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47311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19050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1193</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2629831</v>
      </c>
    </row>
    <row r="179" spans="1:7" ht="12" customHeight="1" x14ac:dyDescent="0.2">
      <c r="A179" s="1792"/>
      <c r="B179" s="1806"/>
      <c r="C179" s="1807"/>
      <c r="D179" s="1808" t="s">
        <v>2015</v>
      </c>
      <c r="E179" s="1809"/>
      <c r="F179" s="1811">
        <f>'PCTC-OEPP 27-28'!F77-F178</f>
        <v>14281478</v>
      </c>
    </row>
    <row r="180" spans="1:7" ht="12" customHeight="1" x14ac:dyDescent="0.2">
      <c r="A180" s="1792"/>
      <c r="B180" s="1806"/>
      <c r="C180" s="1807"/>
      <c r="D180" s="1808" t="s">
        <v>1924</v>
      </c>
      <c r="E180" s="1809"/>
      <c r="F180" s="1811">
        <f>'Cap Outlay Deprec 26'!I18</f>
        <v>903417</v>
      </c>
    </row>
    <row r="181" spans="1:7" ht="12" customHeight="1" x14ac:dyDescent="0.2">
      <c r="A181" s="1792"/>
      <c r="B181" s="1806"/>
      <c r="C181" s="1807"/>
      <c r="D181" s="1808" t="s">
        <v>2016</v>
      </c>
      <c r="E181" s="1809"/>
      <c r="F181" s="1811">
        <f>F179+F180</f>
        <v>15184895</v>
      </c>
    </row>
    <row r="182" spans="1:7" ht="12" customHeight="1" x14ac:dyDescent="0.2">
      <c r="A182" s="1792"/>
      <c r="B182" s="1812"/>
      <c r="C182" s="1807"/>
      <c r="D182" s="1808" t="str">
        <f>D78</f>
        <v>9 Month ADA from District Average Daily Attendance/Prior General State Aid Inquiry 2017-2018</v>
      </c>
      <c r="E182" s="1809"/>
      <c r="F182" s="1813">
        <f>'PCTC-OEPP 27-28'!F78</f>
        <v>1460.54</v>
      </c>
      <c r="G182" s="931"/>
    </row>
    <row r="183" spans="1:7" ht="12" customHeight="1" thickBot="1" x14ac:dyDescent="0.25">
      <c r="A183" s="1792"/>
      <c r="B183" s="1812"/>
      <c r="C183" s="1807"/>
      <c r="D183" s="1808" t="s">
        <v>2017</v>
      </c>
      <c r="E183" s="1809" t="s">
        <v>1626</v>
      </c>
      <c r="F183" s="1814">
        <f>F181/F182</f>
        <v>10396.767633888836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xr:uid="{00000000-0004-0000-0D00-000000000000}"/>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workbookViewId="0">
      <selection activeCell="F17" sqref="F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8.710937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5" t="s">
        <v>1925</v>
      </c>
      <c r="B4" s="2296"/>
      <c r="C4" s="2296"/>
      <c r="D4" s="2296"/>
      <c r="E4" s="2296"/>
      <c r="F4" s="2296"/>
      <c r="G4" s="2297"/>
    </row>
    <row r="5" spans="1:7" x14ac:dyDescent="0.25">
      <c r="A5" s="2298"/>
      <c r="B5" s="2299"/>
      <c r="C5" s="2299"/>
      <c r="D5" s="2299"/>
      <c r="E5" s="2299"/>
      <c r="F5" s="2299"/>
      <c r="G5" s="2300"/>
    </row>
    <row r="6" spans="1:7" ht="18.75" x14ac:dyDescent="0.25">
      <c r="A6" s="1556" t="s">
        <v>1926</v>
      </c>
      <c r="B6" s="1557"/>
      <c r="C6" s="1557"/>
      <c r="D6" s="1557"/>
      <c r="E6" s="1557"/>
      <c r="F6" s="1557"/>
      <c r="G6" s="1558"/>
    </row>
    <row r="7" spans="1:7" ht="30.75" customHeight="1" x14ac:dyDescent="0.25">
      <c r="A7" s="2301" t="s">
        <v>2075</v>
      </c>
      <c r="B7" s="2302"/>
      <c r="C7" s="2302"/>
      <c r="D7" s="2302"/>
      <c r="E7" s="2302"/>
      <c r="F7" s="2302"/>
      <c r="G7" s="2303"/>
    </row>
    <row r="8" spans="1:7" ht="15.75" customHeight="1" x14ac:dyDescent="0.25">
      <c r="A8" s="2304" t="s">
        <v>2024</v>
      </c>
      <c r="B8" s="2305"/>
      <c r="C8" s="2305"/>
      <c r="D8" s="2305"/>
      <c r="E8" s="2305"/>
      <c r="F8" s="2305"/>
      <c r="G8" s="2306"/>
    </row>
    <row r="9" spans="1:7" ht="35.25" customHeight="1" x14ac:dyDescent="0.25">
      <c r="A9" s="2301" t="s">
        <v>2023</v>
      </c>
      <c r="B9" s="2302"/>
      <c r="C9" s="2302"/>
      <c r="D9" s="2302"/>
      <c r="E9" s="2302"/>
      <c r="F9" s="2302"/>
      <c r="G9" s="2303"/>
    </row>
    <row r="10" spans="1:7" ht="15" customHeight="1" x14ac:dyDescent="0.25">
      <c r="A10" s="1559" t="s">
        <v>1927</v>
      </c>
      <c r="B10" s="1560"/>
      <c r="C10" s="1560"/>
      <c r="D10" s="1560"/>
      <c r="E10" s="1560"/>
      <c r="F10" s="1560"/>
      <c r="G10" s="1561"/>
    </row>
    <row r="11" spans="1:7" ht="17.25" customHeight="1" x14ac:dyDescent="0.25">
      <c r="A11" s="2301" t="s">
        <v>1941</v>
      </c>
      <c r="B11" s="2302"/>
      <c r="C11" s="2302"/>
      <c r="D11" s="2302"/>
      <c r="E11" s="2302"/>
      <c r="F11" s="2302"/>
      <c r="G11" s="2303"/>
    </row>
    <row r="12" spans="1:7" ht="15" customHeight="1" x14ac:dyDescent="0.25">
      <c r="A12" s="1559" t="s">
        <v>1932</v>
      </c>
      <c r="B12" s="1560"/>
      <c r="C12" s="1560"/>
      <c r="D12" s="1560"/>
      <c r="E12" s="1560"/>
      <c r="F12" s="1560"/>
      <c r="G12" s="1561"/>
    </row>
    <row r="13" spans="1:7" ht="32.25" customHeight="1" x14ac:dyDescent="0.25">
      <c r="A13" s="2292" t="s">
        <v>1933</v>
      </c>
      <c r="B13" s="2293"/>
      <c r="C13" s="2293"/>
      <c r="D13" s="2293"/>
      <c r="E13" s="2293"/>
      <c r="F13" s="2293"/>
      <c r="G13" s="2294"/>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t="s">
        <v>2105</v>
      </c>
      <c r="B17" s="2504" t="s">
        <v>2156</v>
      </c>
      <c r="C17" s="1678" t="s">
        <v>2106</v>
      </c>
      <c r="D17" s="1867">
        <v>800040</v>
      </c>
      <c r="E17" s="1562">
        <f t="shared" ref="E17:E141" si="1">IF(D17&lt;=25000,D17,IF(D17&gt;25000,25000,0))</f>
        <v>25000</v>
      </c>
      <c r="F17" s="1815">
        <f t="shared" si="0"/>
        <v>25000</v>
      </c>
      <c r="G17" s="1816">
        <f>IF(F17=0,0,D17-F17)</f>
        <v>775040</v>
      </c>
      <c r="H17" s="1669"/>
    </row>
    <row r="18" spans="1:8" x14ac:dyDescent="0.25">
      <c r="A18" s="1675" t="s">
        <v>2107</v>
      </c>
      <c r="B18" s="2504" t="s">
        <v>2156</v>
      </c>
      <c r="C18" s="1678" t="s">
        <v>2108</v>
      </c>
      <c r="D18" s="1867">
        <v>37154</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12154</v>
      </c>
    </row>
    <row r="19" spans="1:8" x14ac:dyDescent="0.25">
      <c r="A19" s="1675" t="s">
        <v>2107</v>
      </c>
      <c r="B19" s="2504" t="s">
        <v>2156</v>
      </c>
      <c r="C19" s="1678" t="s">
        <v>2109</v>
      </c>
      <c r="D19" s="1867">
        <v>6916</v>
      </c>
      <c r="E19" s="1562">
        <f t="shared" si="2"/>
        <v>6916</v>
      </c>
      <c r="F19" s="1815">
        <f t="shared" si="3"/>
        <v>6916</v>
      </c>
      <c r="G19" s="1816">
        <f t="shared" si="4"/>
        <v>0</v>
      </c>
    </row>
    <row r="20" spans="1:8" ht="30" x14ac:dyDescent="0.25">
      <c r="A20" s="1675" t="s">
        <v>2110</v>
      </c>
      <c r="B20" s="2504" t="s">
        <v>2156</v>
      </c>
      <c r="C20" s="1678" t="s">
        <v>2111</v>
      </c>
      <c r="D20" s="1867">
        <v>15671</v>
      </c>
      <c r="E20" s="1562">
        <f t="shared" si="2"/>
        <v>15671</v>
      </c>
      <c r="F20" s="1815">
        <f t="shared" si="3"/>
        <v>15671</v>
      </c>
      <c r="G20" s="1816">
        <f t="shared" si="4"/>
        <v>0</v>
      </c>
    </row>
    <row r="21" spans="1:8" x14ac:dyDescent="0.25">
      <c r="A21" s="1675" t="s">
        <v>2112</v>
      </c>
      <c r="B21" s="2504" t="s">
        <v>2157</v>
      </c>
      <c r="C21" s="1678" t="s">
        <v>2113</v>
      </c>
      <c r="D21" s="1867">
        <v>33770</v>
      </c>
      <c r="E21" s="1562">
        <f t="shared" si="2"/>
        <v>25000</v>
      </c>
      <c r="F21" s="1815">
        <f t="shared" si="3"/>
        <v>25000</v>
      </c>
      <c r="G21" s="1816">
        <f t="shared" si="4"/>
        <v>8770</v>
      </c>
    </row>
    <row r="22" spans="1:8" x14ac:dyDescent="0.25">
      <c r="A22" s="1675" t="s">
        <v>2105</v>
      </c>
      <c r="B22" s="2504" t="s">
        <v>2156</v>
      </c>
      <c r="C22" s="1678" t="s">
        <v>2114</v>
      </c>
      <c r="D22" s="1867">
        <v>600</v>
      </c>
      <c r="E22" s="1562">
        <f t="shared" si="2"/>
        <v>600</v>
      </c>
      <c r="F22" s="1815">
        <f t="shared" si="3"/>
        <v>600</v>
      </c>
      <c r="G22" s="1816">
        <f t="shared" si="4"/>
        <v>0</v>
      </c>
    </row>
    <row r="23" spans="1:8" x14ac:dyDescent="0.25">
      <c r="A23" s="1675" t="s">
        <v>2107</v>
      </c>
      <c r="B23" s="2504" t="s">
        <v>2156</v>
      </c>
      <c r="C23" s="1678" t="s">
        <v>2114</v>
      </c>
      <c r="D23" s="1867">
        <v>505</v>
      </c>
      <c r="E23" s="1562">
        <f t="shared" si="2"/>
        <v>505</v>
      </c>
      <c r="F23" s="1815">
        <f t="shared" si="3"/>
        <v>505</v>
      </c>
      <c r="G23" s="1816">
        <f t="shared" si="4"/>
        <v>0</v>
      </c>
    </row>
    <row r="24" spans="1:8" x14ac:dyDescent="0.25">
      <c r="A24" s="1675" t="s">
        <v>2115</v>
      </c>
      <c r="B24" s="2504" t="s">
        <v>2158</v>
      </c>
      <c r="C24" s="1678" t="s">
        <v>2116</v>
      </c>
      <c r="D24" s="1867">
        <v>20544</v>
      </c>
      <c r="E24" s="1562">
        <f t="shared" si="2"/>
        <v>20544</v>
      </c>
      <c r="F24" s="1815">
        <f t="shared" si="3"/>
        <v>20544</v>
      </c>
      <c r="G24" s="1816">
        <f t="shared" si="4"/>
        <v>0</v>
      </c>
    </row>
    <row r="25" spans="1:8" x14ac:dyDescent="0.25">
      <c r="A25" s="1675" t="s">
        <v>2115</v>
      </c>
      <c r="B25" s="2504" t="s">
        <v>2158</v>
      </c>
      <c r="C25" s="1678" t="s">
        <v>2117</v>
      </c>
      <c r="D25" s="1867">
        <v>89009</v>
      </c>
      <c r="E25" s="1562">
        <f t="shared" si="2"/>
        <v>25000</v>
      </c>
      <c r="F25" s="1815">
        <f t="shared" si="3"/>
        <v>25000</v>
      </c>
      <c r="G25" s="1816">
        <f t="shared" si="4"/>
        <v>64009</v>
      </c>
    </row>
    <row r="26" spans="1:8" x14ac:dyDescent="0.25">
      <c r="A26" s="1675" t="s">
        <v>2105</v>
      </c>
      <c r="B26" s="2504" t="s">
        <v>2156</v>
      </c>
      <c r="C26" s="1676" t="s">
        <v>2118</v>
      </c>
      <c r="D26" s="1867">
        <v>3395</v>
      </c>
      <c r="E26" s="1562">
        <f t="shared" si="2"/>
        <v>3395</v>
      </c>
      <c r="F26" s="1815">
        <f t="shared" si="3"/>
        <v>3395</v>
      </c>
      <c r="G26" s="1816">
        <f t="shared" si="4"/>
        <v>0</v>
      </c>
    </row>
    <row r="27" spans="1:8" ht="30" x14ac:dyDescent="0.25">
      <c r="A27" s="1675" t="s">
        <v>2119</v>
      </c>
      <c r="B27" s="2504" t="s">
        <v>2158</v>
      </c>
      <c r="C27" s="1955" t="s">
        <v>2118</v>
      </c>
      <c r="D27" s="1867">
        <v>1145</v>
      </c>
      <c r="E27" s="1562">
        <f t="shared" si="2"/>
        <v>1145</v>
      </c>
      <c r="F27" s="1815">
        <f t="shared" si="3"/>
        <v>1145</v>
      </c>
      <c r="G27" s="1816">
        <f t="shared" si="4"/>
        <v>0</v>
      </c>
    </row>
    <row r="28" spans="1:8" x14ac:dyDescent="0.25">
      <c r="A28" s="1675" t="s">
        <v>2107</v>
      </c>
      <c r="B28" s="2504" t="s">
        <v>2156</v>
      </c>
      <c r="C28" s="1676" t="s">
        <v>2120</v>
      </c>
      <c r="D28" s="1867">
        <v>1545</v>
      </c>
      <c r="E28" s="1562">
        <f t="shared" si="2"/>
        <v>1545</v>
      </c>
      <c r="F28" s="1815">
        <f t="shared" si="3"/>
        <v>1545</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1010294</v>
      </c>
      <c r="E141" s="1563">
        <f t="shared" si="1"/>
        <v>25000</v>
      </c>
      <c r="F141" s="1817">
        <f>SUM(F17:F140)</f>
        <v>150321</v>
      </c>
      <c r="G141" s="1818">
        <f>SUM(G17:G140)</f>
        <v>859973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84" t="s">
        <v>1778</v>
      </c>
      <c r="B5" s="2285"/>
      <c r="C5" s="2285"/>
      <c r="D5" s="2285"/>
      <c r="E5" s="2285"/>
      <c r="F5" s="2285"/>
      <c r="G5" s="228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289" t="s">
        <v>1945</v>
      </c>
      <c r="B11" s="2290"/>
      <c r="C11" s="2290"/>
      <c r="D11" s="2291"/>
      <c r="E11" s="978">
        <v>25632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9219342</v>
      </c>
      <c r="F19" s="1822"/>
      <c r="G19" s="1824">
        <f>'Expenditures 15-22'!K33-SUM('Expenditures 15-22'!G33,'Expenditures 15-22'!I33)+'Expenditures 15-22'!D229</f>
        <v>9219342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489704</v>
      </c>
      <c r="F21" s="1825"/>
      <c r="G21" s="1828">
        <f>'Expenditures 15-22'!K42-SUM('Expenditures 15-22'!G42,'Expenditures 15-22'!I42)+'Expenditures 15-22'!K120-SUM('Expenditures 15-22'!G120,'Expenditures 15-22'!I120)+'Expenditures 15-22'!K180-SUM('Expenditures 15-22'!G180,'Expenditures 15-22'!I180)+'Expenditures 15-22'!D238</f>
        <v>489704</v>
      </c>
      <c r="H21" s="988"/>
      <c r="I21" s="162"/>
    </row>
    <row r="22" spans="1:9" s="669" customFormat="1" ht="12" customHeight="1" x14ac:dyDescent="0.2">
      <c r="A22" s="995" t="s">
        <v>585</v>
      </c>
      <c r="B22" s="996"/>
      <c r="C22" s="994">
        <v>2200</v>
      </c>
      <c r="D22" s="1825"/>
      <c r="E22" s="1827">
        <f>'Expenditures 15-22'!K47-SUM('Expenditures 15-22'!G47,'Expenditures 15-22'!I47)+'Expenditures 15-22'!D243</f>
        <v>447650</v>
      </c>
      <c r="F22" s="1825"/>
      <c r="G22" s="1828">
        <f>'Expenditures 15-22'!K47-SUM('Expenditures 15-22'!G47,'Expenditures 15-22'!I47)+'Expenditures 15-22'!D243</f>
        <v>447650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670686</v>
      </c>
      <c r="F23" s="1825"/>
      <c r="G23" s="1827">
        <f>'Expenditures 15-22'!K53-SUM('Expenditures 15-22'!G53,'Expenditures 15-22'!I53)+'Expenditures 15-22'!D257+'Expenditures 15-22'!K330-SUM('Expenditures 15-22'!G330,'Expenditures 15-22'!I330)</f>
        <v>670686</v>
      </c>
      <c r="H23" s="988"/>
      <c r="I23" s="162"/>
    </row>
    <row r="24" spans="1:9" s="669" customFormat="1" ht="12" customHeight="1" x14ac:dyDescent="0.2">
      <c r="A24" s="995" t="s">
        <v>587</v>
      </c>
      <c r="B24" s="996"/>
      <c r="C24" s="994">
        <v>2400</v>
      </c>
      <c r="D24" s="1825"/>
      <c r="E24" s="1827">
        <f>'Expenditures 15-22'!K57-SUM('Expenditures 15-22'!G57,'Expenditures 15-22'!I57)+'Expenditures 15-22'!D261</f>
        <v>1025848</v>
      </c>
      <c r="F24" s="1825"/>
      <c r="G24" s="1828">
        <f>'Expenditures 15-22'!K57-SUM('Expenditures 15-22'!G57,'Expenditures 15-22'!I57)+'Expenditures 15-22'!D261</f>
        <v>1025848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83349</v>
      </c>
      <c r="E26" s="1827">
        <f>'Expenditures 15-22'!K122-SUM('Expenditures 15-22'!G122,'Expenditures 15-22'!I122)+E7</f>
        <v>0</v>
      </c>
      <c r="F26" s="1827">
        <f>'Expenditures 15-22'!K59-SUM('Expenditures 15-22'!G59,'Expenditures 15-22'!I59)+'Expenditures 15-22'!D263-E7</f>
        <v>83349</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149220</v>
      </c>
      <c r="E27" s="1827">
        <f>E8</f>
        <v>0</v>
      </c>
      <c r="F27" s="1827">
        <f>'Expenditures 15-22'!K60-SUM('Expenditures 15-22'!G60,'Expenditures 15-22'!I60)+'Expenditures 15-22'!D264-E8</f>
        <v>149220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1774377</v>
      </c>
      <c r="F28" s="1829">
        <f>'Expenditures 15-22'!K61-SUM('Expenditures 15-22'!G61,'Expenditures 15-22'!I61)+'Expenditures 15-22'!K124-SUM('Expenditures 15-22'!G124,'Expenditures 15-22'!I124)+'Expenditures 15-22'!D266-E9</f>
        <v>1774377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809481</v>
      </c>
      <c r="F29" s="1825"/>
      <c r="G29" s="1828">
        <f>'Expenditures 15-22'!K62-SUM('Expenditures 15-22'!G62,'Expenditures 15-22'!I62)+'Expenditures 15-22'!K125-SUM('Expenditures 15-22'!G125,'Expenditures 15-22'!I125)+'Expenditures 15-22'!K182-SUM('Expenditures 15-22'!G182,'Expenditures 15-22'!I182)+'Expenditures 15-22'!D267</f>
        <v>809481</v>
      </c>
      <c r="H29" s="986"/>
    </row>
    <row r="30" spans="1:9" ht="12" customHeight="1" x14ac:dyDescent="0.2">
      <c r="A30" s="995" t="s">
        <v>102</v>
      </c>
      <c r="B30" s="998"/>
      <c r="C30" s="994">
        <v>2560</v>
      </c>
      <c r="D30" s="1825"/>
      <c r="E30" s="1827">
        <f>'Expenditures 15-22'!K63-SUM('Expenditures 15-22'!G63,'Expenditures 15-22'!I63)+'Expenditures 15-22'!D268-E10</f>
        <v>324958</v>
      </c>
      <c r="F30" s="1825"/>
      <c r="G30" s="1827">
        <f>'Expenditures 15-22'!K63-SUM('Expenditures 15-22'!G63,'Expenditures 15-22'!I63)+'Expenditures 15-22'!D268-E10</f>
        <v>324958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47986</v>
      </c>
      <c r="F35" s="1825"/>
      <c r="G35" s="1827">
        <f>'Expenditures 15-22'!K69-SUM('Expenditures 15-22'!G69,'Expenditures 15-22'!I69)+'Expenditures 15-22'!D274</f>
        <v>47986</v>
      </c>
    </row>
    <row r="36" spans="1:7" ht="12" customHeight="1" x14ac:dyDescent="0.2">
      <c r="A36" s="995" t="s">
        <v>423</v>
      </c>
      <c r="B36" s="998"/>
      <c r="C36" s="994">
        <v>2640</v>
      </c>
      <c r="D36" s="1827">
        <f>'Expenditures 15-22'!K70-SUM('Expenditures 15-22'!G70,'Expenditures 15-22'!I70)+'Expenditures 15-22'!D275-E13</f>
        <v>847</v>
      </c>
      <c r="E36" s="1827">
        <f>E13</f>
        <v>0</v>
      </c>
      <c r="F36" s="1827">
        <f>'Expenditures 15-22'!K70-SUM('Expenditures 15-22'!G70,'Expenditures 15-22'!I70)+'Expenditures 15-22'!D275-E13</f>
        <v>847</v>
      </c>
      <c r="G36" s="1827">
        <f>E13</f>
        <v>0</v>
      </c>
    </row>
    <row r="37" spans="1:7" ht="12" customHeight="1" x14ac:dyDescent="0.2">
      <c r="A37" s="995" t="s">
        <v>424</v>
      </c>
      <c r="B37" s="998"/>
      <c r="C37" s="994">
        <v>2660</v>
      </c>
      <c r="D37" s="1827">
        <f>'Expenditures 15-22'!K71-SUM('Expenditures 15-22'!G71,'Expenditures 15-22'!I71)+'Expenditures 15-22'!D276-E14</f>
        <v>349620</v>
      </c>
      <c r="E37" s="1827">
        <f>E14</f>
        <v>0</v>
      </c>
      <c r="F37" s="1827">
        <f>'Expenditures 15-22'!K71-SUM('Expenditures 15-22'!G71,'Expenditures 15-22'!I71)+'Expenditures 15-22'!D276-E14</f>
        <v>349620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6857</v>
      </c>
      <c r="F38" s="1825"/>
      <c r="G38" s="1827">
        <f>'Expenditures 15-22'!K73-SUM('Expenditures 15-22'!G73,'Expenditures 15-22'!I73)+'Expenditures 15-22'!K128-SUM('Expenditures 15-22'!G128,'Expenditures 15-22'!I128)+'Expenditures 15-22'!K183-SUM('Expenditures 15-22'!G183,'Expenditures 15-22'!I183)+'Expenditures 15-22'!D278</f>
        <v>6857</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34709</v>
      </c>
      <c r="F39" s="1825"/>
      <c r="G39" s="1827">
        <f>'Expenditures 15-22'!K75-SUM('Expenditures 15-22'!G75,'Expenditures 15-22'!I75)+'Expenditures 15-22'!K130-SUM('Expenditures 15-22'!G130,'Expenditures 15-22'!I130)+'Expenditures 15-22'!K185-SUM('Expenditures 15-22'!G185,'Expenditures 15-22'!I185)+'Expenditures 15-22'!D280</f>
        <v>34709</v>
      </c>
    </row>
    <row r="40" spans="1:7" ht="12" customHeight="1" x14ac:dyDescent="0.2">
      <c r="A40" s="991" t="s">
        <v>1930</v>
      </c>
      <c r="B40" s="992"/>
      <c r="C40" s="994"/>
      <c r="D40" s="1825"/>
      <c r="E40" s="1829">
        <f>-'Contracts Paid in CY 29'!G141</f>
        <v>-859973</v>
      </c>
      <c r="F40" s="1825"/>
      <c r="G40" s="1829">
        <f>-'Contracts Paid in CY 29'!G141</f>
        <v>-859973</v>
      </c>
    </row>
    <row r="41" spans="1:7" ht="12" customHeight="1" x14ac:dyDescent="0.2">
      <c r="A41" s="999" t="s">
        <v>158</v>
      </c>
      <c r="B41" s="1000"/>
      <c r="C41" s="1001"/>
      <c r="D41" s="1829">
        <f>SUM(D19:D39)</f>
        <v>583036</v>
      </c>
      <c r="E41" s="1829">
        <f>SUM(E19:E40)</f>
        <v>13991625</v>
      </c>
      <c r="F41" s="1829">
        <f>SUM(F19:F39)</f>
        <v>2357413</v>
      </c>
      <c r="G41" s="1829">
        <f>SUM(G19:G40)</f>
        <v>12217248</v>
      </c>
    </row>
    <row r="42" spans="1:7" x14ac:dyDescent="0.2">
      <c r="A42" s="988"/>
      <c r="B42" s="162"/>
      <c r="C42" s="1002"/>
      <c r="D42" s="2287" t="s">
        <v>543</v>
      </c>
      <c r="E42" s="2288"/>
      <c r="F42" s="1003" t="s">
        <v>544</v>
      </c>
      <c r="G42" s="1004"/>
    </row>
    <row r="43" spans="1:7" ht="12" customHeight="1" x14ac:dyDescent="0.2">
      <c r="A43" s="988"/>
      <c r="B43" s="162"/>
      <c r="C43" s="1002"/>
      <c r="D43" s="1830" t="s">
        <v>493</v>
      </c>
      <c r="E43" s="1831">
        <f>D41</f>
        <v>583036</v>
      </c>
      <c r="F43" s="1830" t="s">
        <v>495</v>
      </c>
      <c r="G43" s="1831">
        <f>F41</f>
        <v>2357413</v>
      </c>
    </row>
    <row r="44" spans="1:7" ht="12" customHeight="1" x14ac:dyDescent="0.2">
      <c r="A44" s="988"/>
      <c r="B44" s="162"/>
      <c r="C44" s="1002"/>
      <c r="D44" s="1830" t="s">
        <v>494</v>
      </c>
      <c r="E44" s="1831">
        <f>E41</f>
        <v>13991625</v>
      </c>
      <c r="F44" s="1830" t="s">
        <v>494</v>
      </c>
      <c r="G44" s="1831">
        <f>G41</f>
        <v>12217248</v>
      </c>
    </row>
    <row r="45" spans="1:7" ht="12" customHeight="1" x14ac:dyDescent="0.2">
      <c r="A45" s="988"/>
      <c r="B45" s="162"/>
      <c r="C45" s="162"/>
      <c r="D45" s="1832" t="s">
        <v>1063</v>
      </c>
      <c r="E45" s="1833">
        <f>(E43/E44)</f>
        <v>4.1670356373902248E-2</v>
      </c>
      <c r="F45" s="1832" t="s">
        <v>1063</v>
      </c>
      <c r="G45" s="1833">
        <f>(G43/G44)</f>
        <v>0.19295777576095696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D30" sqref="D30"/>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1446</v>
      </c>
      <c r="B1" s="2310"/>
      <c r="C1" s="2310"/>
      <c r="D1" s="2310"/>
      <c r="E1" s="2310"/>
      <c r="F1" s="2310"/>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1" t="s">
        <v>1627</v>
      </c>
      <c r="B5" s="2312"/>
      <c r="C5" s="2313"/>
      <c r="D5" s="2313"/>
      <c r="E5" s="2313"/>
      <c r="F5" s="2313"/>
    </row>
    <row r="6" spans="1:10" ht="12" customHeight="1" x14ac:dyDescent="0.25">
      <c r="A6" s="1874"/>
      <c r="B6" s="1875"/>
      <c r="C6" s="2314" t="str">
        <f>COVER!A17</f>
        <v>Mokena School District 159</v>
      </c>
      <c r="D6" s="2314"/>
      <c r="E6" s="2314"/>
      <c r="F6" s="1876"/>
    </row>
    <row r="7" spans="1:10" ht="11.25" customHeight="1" thickBot="1" x14ac:dyDescent="0.3">
      <c r="A7" s="1874"/>
      <c r="B7" s="1875"/>
      <c r="C7" s="2315">
        <f>COVER!A13</f>
        <v>56099159002</v>
      </c>
      <c r="D7" s="2315"/>
      <c r="E7" s="2315"/>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t="s">
        <v>2077</v>
      </c>
      <c r="D12" s="1889" t="s">
        <v>2077</v>
      </c>
      <c r="E12" s="1892" t="s">
        <v>2077</v>
      </c>
      <c r="F12" s="1891" t="s">
        <v>2084</v>
      </c>
      <c r="H12" s="1902">
        <f t="shared" ref="H12:H33" si="0">IF(C12="X",5,0)</f>
        <v>5</v>
      </c>
      <c r="I12" s="1902">
        <f t="shared" ref="I12:I33" si="1">IF(D12="X",5,0)</f>
        <v>5</v>
      </c>
      <c r="J12" s="1902">
        <f t="shared" ref="J12:J33" si="2">IF(E12="X",5,0)</f>
        <v>5</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2077</v>
      </c>
      <c r="D16" s="1889" t="s">
        <v>2077</v>
      </c>
      <c r="E16" s="1892" t="s">
        <v>2077</v>
      </c>
      <c r="F16" s="1891" t="s">
        <v>2085</v>
      </c>
      <c r="H16" s="1902">
        <f t="shared" si="0"/>
        <v>5</v>
      </c>
      <c r="I16" s="1902">
        <f t="shared" si="1"/>
        <v>5</v>
      </c>
      <c r="J16" s="1902">
        <f t="shared" si="2"/>
        <v>5</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2077</v>
      </c>
      <c r="D19" s="1889" t="s">
        <v>2077</v>
      </c>
      <c r="E19" s="1892" t="s">
        <v>2077</v>
      </c>
      <c r="F19" s="1891" t="s">
        <v>2086</v>
      </c>
      <c r="H19" s="1902">
        <f t="shared" si="0"/>
        <v>5</v>
      </c>
      <c r="I19" s="1902">
        <f t="shared" si="1"/>
        <v>5</v>
      </c>
      <c r="J19" s="1902">
        <f t="shared" si="2"/>
        <v>5</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t="s">
        <v>2077</v>
      </c>
      <c r="F26" s="1891" t="s">
        <v>2087</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2077</v>
      </c>
      <c r="D30" s="1889" t="s">
        <v>2077</v>
      </c>
      <c r="E30" s="1892" t="s">
        <v>2077</v>
      </c>
      <c r="F30" s="1891" t="s">
        <v>2088</v>
      </c>
      <c r="H30" s="1902">
        <f t="shared" si="0"/>
        <v>5</v>
      </c>
      <c r="I30" s="1902">
        <f t="shared" si="1"/>
        <v>5</v>
      </c>
      <c r="J30" s="1902">
        <f t="shared" si="2"/>
        <v>5</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25</v>
      </c>
      <c r="I34" s="1902">
        <f>SUM(I11:I32)</f>
        <v>25</v>
      </c>
      <c r="J34" s="1902">
        <f>SUM(J11:J32)</f>
        <v>25</v>
      </c>
      <c r="K34" s="1902">
        <f>SUM(H34:J34)</f>
        <v>75</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Mokena School District 159</v>
      </c>
      <c r="J6" s="2335"/>
      <c r="Q6" s="1686"/>
    </row>
    <row r="7" spans="1:17" x14ac:dyDescent="0.2">
      <c r="A7" s="2336" t="s">
        <v>924</v>
      </c>
      <c r="B7" s="2337"/>
      <c r="C7" s="2337"/>
      <c r="D7" s="2337"/>
      <c r="E7" s="2338"/>
      <c r="F7" s="1018"/>
      <c r="G7" s="1010"/>
      <c r="H7" s="1017" t="s">
        <v>390</v>
      </c>
      <c r="I7" s="2339">
        <f>COVER!A13</f>
        <v>56099159002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353224</v>
      </c>
      <c r="F12" s="1040"/>
      <c r="G12" s="1834">
        <f t="shared" ref="G12:G18" si="0">SUM(E12:F12)</f>
        <v>353224</v>
      </c>
      <c r="H12" s="1041">
        <v>343167</v>
      </c>
      <c r="I12" s="1040"/>
      <c r="J12" s="1834">
        <f t="shared" ref="J12:J18" si="1">SUM(H12:I12)</f>
        <v>343167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79556</v>
      </c>
      <c r="F15" s="1834">
        <f>'Expenditures 15-22'!K122</f>
        <v>0</v>
      </c>
      <c r="G15" s="1834">
        <f t="shared" si="0"/>
        <v>79556</v>
      </c>
      <c r="H15" s="1041">
        <v>87562</v>
      </c>
      <c r="I15" s="1041"/>
      <c r="J15" s="1834">
        <f t="shared" si="1"/>
        <v>87562</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432780</v>
      </c>
      <c r="F19" s="1836">
        <f t="shared" si="2"/>
        <v>0</v>
      </c>
      <c r="G19" s="1836">
        <f t="shared" si="2"/>
        <v>432780</v>
      </c>
      <c r="H19" s="1836">
        <f t="shared" si="2"/>
        <v>430729</v>
      </c>
      <c r="I19" s="1836">
        <f t="shared" si="2"/>
        <v>0</v>
      </c>
      <c r="J19" s="1836">
        <f t="shared" si="2"/>
        <v>430729</v>
      </c>
    </row>
    <row r="20" spans="1:10" ht="13.5" thickTop="1" x14ac:dyDescent="0.2">
      <c r="A20" s="1036">
        <v>9</v>
      </c>
      <c r="B20" s="2346" t="s">
        <v>1703</v>
      </c>
      <c r="C20" s="2346"/>
      <c r="D20" s="2347"/>
      <c r="E20" s="1047"/>
      <c r="F20" s="1047"/>
      <c r="G20" s="1047"/>
      <c r="H20" s="1047"/>
      <c r="I20" s="1047"/>
      <c r="J20" s="1837">
        <f>IF(AND(G19&gt;0,J19&gt;0),(((J19-G19)/G19)),"Enter Budget Data")</f>
        <v>-4.7391284255279822E-3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2" sqref="B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2121</v>
      </c>
    </row>
    <row r="6" spans="1:2" x14ac:dyDescent="0.2">
      <c r="A6" s="1069">
        <v>2</v>
      </c>
      <c r="B6" s="329" t="s">
        <v>2122</v>
      </c>
    </row>
    <row r="7" spans="1:2" x14ac:dyDescent="0.2">
      <c r="A7" s="1069">
        <v>3</v>
      </c>
      <c r="B7" s="329" t="s">
        <v>2123</v>
      </c>
    </row>
    <row r="8" spans="1:2" x14ac:dyDescent="0.2">
      <c r="A8" s="1069">
        <v>4</v>
      </c>
      <c r="B8" s="329" t="s">
        <v>2124</v>
      </c>
    </row>
    <row r="9" spans="1:2" x14ac:dyDescent="0.2">
      <c r="A9" s="1070">
        <v>5</v>
      </c>
      <c r="B9" s="329" t="s">
        <v>2125</v>
      </c>
    </row>
    <row r="10" spans="1:2" x14ac:dyDescent="0.2">
      <c r="A10" s="1070">
        <v>6</v>
      </c>
      <c r="B10" s="329" t="s">
        <v>2126</v>
      </c>
    </row>
    <row r="11" spans="1:2" x14ac:dyDescent="0.2">
      <c r="A11" s="1070">
        <v>7</v>
      </c>
      <c r="B11" s="329" t="s">
        <v>2127</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Mokena School District 159</v>
      </c>
    </row>
    <row r="65" spans="2:2" x14ac:dyDescent="0.2">
      <c r="B65" s="1071">
        <f>COVER!A13</f>
        <v>56099159002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9"/>
  <sheetViews>
    <sheetView showGridLines="0" zoomScale="110" zoomScaleNormal="110" workbookViewId="0">
      <selection activeCell="C9" sqref="C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4" spans="1:6" x14ac:dyDescent="0.2">
      <c r="A14" s="1073" t="s">
        <v>1573</v>
      </c>
    </row>
    <row r="16" spans="1:6" x14ac:dyDescent="0.2">
      <c r="A16" s="389" t="s">
        <v>912</v>
      </c>
    </row>
    <row r="17" spans="1:2" s="1072" customFormat="1" ht="45" customHeight="1" x14ac:dyDescent="0.2">
      <c r="A17" s="1074"/>
      <c r="B17" s="1074" t="s">
        <v>1783</v>
      </c>
    </row>
    <row r="18" spans="1:2" ht="6" customHeight="1" x14ac:dyDescent="0.2"/>
    <row r="19" spans="1:2" ht="24.75" customHeight="1" x14ac:dyDescent="0.2">
      <c r="A19" s="2353" t="s">
        <v>1784</v>
      </c>
      <c r="B19" s="2353"/>
    </row>
  </sheetData>
  <sheetProtection selectLockedCells="1"/>
  <mergeCells count="1">
    <mergeCell ref="A19:B19"/>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50179" r:id="rId4">
          <objectPr defaultSize="0" r:id="rId5">
            <anchor moveWithCells="1">
              <from>
                <xdr:col>0</xdr:col>
                <xdr:colOff>0</xdr:colOff>
                <xdr:row>0</xdr:row>
                <xdr:rowOff>0</xdr:rowOff>
              </from>
              <to>
                <xdr:col>1</xdr:col>
                <xdr:colOff>781050</xdr:colOff>
                <xdr:row>4</xdr:row>
                <xdr:rowOff>0</xdr:rowOff>
              </to>
            </anchor>
          </objectPr>
        </oleObject>
      </mc:Choice>
      <mc:Fallback>
        <oleObject progId="Acrobat.Document.2015" dvAspect="DVASPECT_ICON" shapeId="50179" r:id="rId4"/>
      </mc:Fallback>
    </mc:AlternateContent>
    <mc:AlternateContent xmlns:mc="http://schemas.openxmlformats.org/markup-compatibility/2006">
      <mc:Choice Requires="x14">
        <oleObject progId="Acrobat.Document.2015" dvAspect="DVASPECT_ICON" shapeId="50180" r:id="rId6">
          <objectPr defaultSize="0" r:id="rId7">
            <anchor moveWithCells="1">
              <from>
                <xdr:col>0</xdr:col>
                <xdr:colOff>0</xdr:colOff>
                <xdr:row>4</xdr:row>
                <xdr:rowOff>19050</xdr:rowOff>
              </from>
              <to>
                <xdr:col>1</xdr:col>
                <xdr:colOff>781050</xdr:colOff>
                <xdr:row>8</xdr:row>
                <xdr:rowOff>19050</xdr:rowOff>
              </to>
            </anchor>
          </objectPr>
        </oleObject>
      </mc:Choice>
      <mc:Fallback>
        <oleObject progId="Acrobat.Document.2015" dvAspect="DVASPECT_ICON" shapeId="50180" r:id="rId6"/>
      </mc:Fallback>
    </mc:AlternateContent>
    <mc:AlternateContent xmlns:mc="http://schemas.openxmlformats.org/markup-compatibility/2006">
      <mc:Choice Requires="x14">
        <oleObject progId="Acrobat.Document.2015" dvAspect="DVASPECT_ICON" shapeId="50181" r:id="rId8">
          <objectPr defaultSize="0" r:id="rId9">
            <anchor moveWithCells="1">
              <from>
                <xdr:col>0</xdr:col>
                <xdr:colOff>0</xdr:colOff>
                <xdr:row>8</xdr:row>
                <xdr:rowOff>57150</xdr:rowOff>
              </from>
              <to>
                <xdr:col>1</xdr:col>
                <xdr:colOff>781050</xdr:colOff>
                <xdr:row>12</xdr:row>
                <xdr:rowOff>57150</xdr:rowOff>
              </to>
            </anchor>
          </objectPr>
        </oleObject>
      </mc:Choice>
      <mc:Fallback>
        <oleObject progId="Acrobat.Document.2015" dvAspect="DVASPECT_ICON" shapeId="50181" r:id="rId8"/>
      </mc:Fallback>
    </mc:AlternateContent>
    <mc:AlternateContent xmlns:mc="http://schemas.openxmlformats.org/markup-compatibility/2006">
      <mc:Choice Requires="x14">
        <oleObject progId="Acrobat Document" dvAspect="DVASPECT_ICON" shapeId="50182" r:id="rId10">
          <objectPr defaultSize="0" r:id="rId11">
            <anchor moveWithCells="1">
              <from>
                <xdr:col>1</xdr:col>
                <xdr:colOff>1104900</xdr:colOff>
                <xdr:row>0</xdr:row>
                <xdr:rowOff>0</xdr:rowOff>
              </from>
              <to>
                <xdr:col>1</xdr:col>
                <xdr:colOff>2019300</xdr:colOff>
                <xdr:row>4</xdr:row>
                <xdr:rowOff>123825</xdr:rowOff>
              </to>
            </anchor>
          </objectPr>
        </oleObject>
      </mc:Choice>
      <mc:Fallback>
        <oleObject progId="Acrobat Document" dvAspect="DVASPECT_ICON" shapeId="50182" r:id="rId10"/>
      </mc:Fallback>
    </mc:AlternateContent>
    <mc:AlternateContent xmlns:mc="http://schemas.openxmlformats.org/markup-compatibility/2006">
      <mc:Choice Requires="x14">
        <oleObject progId="Acrobat Document" dvAspect="DVASPECT_ICON" shapeId="50183" r:id="rId12">
          <objectPr defaultSize="0" r:id="rId13">
            <anchor moveWithCells="1">
              <from>
                <xdr:col>1</xdr:col>
                <xdr:colOff>2181225</xdr:colOff>
                <xdr:row>0</xdr:row>
                <xdr:rowOff>38100</xdr:rowOff>
              </from>
              <to>
                <xdr:col>1</xdr:col>
                <xdr:colOff>3095625</xdr:colOff>
                <xdr:row>4</xdr:row>
                <xdr:rowOff>161925</xdr:rowOff>
              </to>
            </anchor>
          </objectPr>
        </oleObject>
      </mc:Choice>
      <mc:Fallback>
        <oleObject progId="Acrobat Document" dvAspect="DVASPECT_ICON" shapeId="50183" r:id="rId12"/>
      </mc:Fallback>
    </mc:AlternateContent>
    <mc:AlternateContent xmlns:mc="http://schemas.openxmlformats.org/markup-compatibility/2006">
      <mc:Choice Requires="x14">
        <oleObject progId="Acrobat Document" dvAspect="DVASPECT_ICON" shapeId="50186" r:id="rId14">
          <objectPr defaultSize="0" r:id="rId15">
            <anchor moveWithCells="1">
              <from>
                <xdr:col>1</xdr:col>
                <xdr:colOff>1647825</xdr:colOff>
                <xdr:row>5</xdr:row>
                <xdr:rowOff>142875</xdr:rowOff>
              </from>
              <to>
                <xdr:col>1</xdr:col>
                <xdr:colOff>2562225</xdr:colOff>
                <xdr:row>10</xdr:row>
                <xdr:rowOff>104775</xdr:rowOff>
              </to>
            </anchor>
          </objectPr>
        </oleObject>
      </mc:Choice>
      <mc:Fallback>
        <oleObject progId="Acrobat Document" dvAspect="DVASPECT_ICON" shapeId="5018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J7" sqref="J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15513366</v>
      </c>
      <c r="C8" s="1838">
        <f>'Acct Summary 7-8'!D8</f>
        <v>1966393</v>
      </c>
      <c r="D8" s="1838">
        <f>'Acct Summary 7-8'!F8</f>
        <v>935666</v>
      </c>
      <c r="E8" s="1838">
        <f>'Acct Summary 7-8'!I8</f>
        <v>98424</v>
      </c>
      <c r="F8" s="1838">
        <f>SUM(B8:E8)</f>
        <v>18513849</v>
      </c>
    </row>
    <row r="9" spans="1:8" s="1080" customFormat="1" ht="14.25" customHeight="1" thickBot="1" x14ac:dyDescent="0.25">
      <c r="A9" s="1079" t="s">
        <v>1436</v>
      </c>
      <c r="B9" s="1839">
        <f>'Acct Summary 7-8'!C17</f>
        <v>13801983</v>
      </c>
      <c r="C9" s="1839">
        <f>'Acct Summary 7-8'!D17</f>
        <v>2056274</v>
      </c>
      <c r="D9" s="1839">
        <f>'Acct Summary 7-8'!F17</f>
        <v>795485</v>
      </c>
      <c r="E9" s="1838"/>
      <c r="F9" s="1838">
        <f>SUM(B9:E9)</f>
        <v>16653742</v>
      </c>
    </row>
    <row r="10" spans="1:8" s="1080" customFormat="1" ht="14.25" thickTop="1" thickBot="1" x14ac:dyDescent="0.25">
      <c r="A10" s="1081" t="s">
        <v>1437</v>
      </c>
      <c r="B10" s="1840">
        <f>(B8-B9)</f>
        <v>1711383</v>
      </c>
      <c r="C10" s="1840">
        <f>(C8-C9)</f>
        <v>-89881</v>
      </c>
      <c r="D10" s="1840">
        <f>(D8-D9)</f>
        <v>140181</v>
      </c>
      <c r="E10" s="1839">
        <f>(E8-E9)</f>
        <v>98424</v>
      </c>
      <c r="F10" s="1841">
        <f>SUM(F8-F9)</f>
        <v>1860107</v>
      </c>
    </row>
    <row r="11" spans="1:8" s="1080" customFormat="1" ht="14.25" thickTop="1" thickBot="1" x14ac:dyDescent="0.25">
      <c r="A11" s="1082" t="s">
        <v>1785</v>
      </c>
      <c r="B11" s="1842">
        <f>'Acct Summary 7-8'!C81</f>
        <v>7975439</v>
      </c>
      <c r="C11" s="1842">
        <f>'Acct Summary 7-8'!D81</f>
        <v>1978700</v>
      </c>
      <c r="D11" s="1842">
        <f>'Acct Summary 7-8'!F81</f>
        <v>1454008</v>
      </c>
      <c r="E11" s="1842">
        <f>'Acct Summary 7-8'!I81</f>
        <v>2241870</v>
      </c>
      <c r="F11" s="1843">
        <f>SUM(B11:E11)</f>
        <v>13650017</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Normal="100" workbookViewId="0">
      <selection activeCell="C20" sqref="C2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56099159002</v>
      </c>
    </row>
    <row r="3" spans="1:2" x14ac:dyDescent="0.2">
      <c r="A3" t="s">
        <v>1013</v>
      </c>
      <c r="B3" s="138" t="str">
        <f>COVER!A15</f>
        <v>Will County</v>
      </c>
    </row>
    <row r="4" spans="1:2" x14ac:dyDescent="0.2">
      <c r="A4" t="s">
        <v>1064</v>
      </c>
      <c r="B4" s="138" t="str">
        <f>COVER!A17</f>
        <v>Mokena School District 159</v>
      </c>
    </row>
    <row r="5" spans="1:2" x14ac:dyDescent="0.2">
      <c r="A5" t="s">
        <v>728</v>
      </c>
      <c r="B5" s="138" t="str">
        <f>COVER!A38</f>
        <v>Dr. Omar Castillo</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065-033233</v>
      </c>
    </row>
    <row r="16" spans="1:2" x14ac:dyDescent="0.2">
      <c r="A16" t="s">
        <v>442</v>
      </c>
      <c r="B16" s="138" t="str">
        <f>COVER!T13</f>
        <v>Lauterbach &amp; Amen, LLP</v>
      </c>
    </row>
    <row r="17" spans="1:2" x14ac:dyDescent="0.2">
      <c r="A17" t="s">
        <v>939</v>
      </c>
      <c r="B17" s="138" t="str">
        <f>COVER!T15</f>
        <v>Matt Beran</v>
      </c>
    </row>
    <row r="18" spans="1:2" x14ac:dyDescent="0.2">
      <c r="A18" t="s">
        <v>1212</v>
      </c>
      <c r="B18" s="138" t="str">
        <f>COVER!T17</f>
        <v>668 N River Road</v>
      </c>
    </row>
    <row r="19" spans="1:2" x14ac:dyDescent="0.2">
      <c r="A19" t="s">
        <v>941</v>
      </c>
      <c r="B19" s="138" t="str">
        <f>COVER!T25</f>
        <v>mberan@lauterbachamen.com</v>
      </c>
    </row>
    <row r="20" spans="1:2" x14ac:dyDescent="0.2">
      <c r="A20" t="s">
        <v>942</v>
      </c>
      <c r="B20" s="138" t="str">
        <f>COVER!T19</f>
        <v>Naperville</v>
      </c>
    </row>
    <row r="21" spans="1:2" x14ac:dyDescent="0.2">
      <c r="A21" t="s">
        <v>500</v>
      </c>
      <c r="B21" s="138" t="str">
        <f>COVER!X19</f>
        <v>IL</v>
      </c>
    </row>
    <row r="22" spans="1:2" x14ac:dyDescent="0.2">
      <c r="A22" t="s">
        <v>943</v>
      </c>
      <c r="B22" s="138">
        <f>COVER!Z19</f>
        <v>60563</v>
      </c>
    </row>
    <row r="23" spans="1:2" x14ac:dyDescent="0.2">
      <c r="A23" t="s">
        <v>1214</v>
      </c>
      <c r="B23" s="138" t="str">
        <f>COVER!T21</f>
        <v>630-393-1483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6115650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7978170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2731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2731</v>
      </c>
      <c r="C91" s="2" t="s">
        <v>594</v>
      </c>
      <c r="D91" s="2" t="str">
        <f t="shared" si="0"/>
        <v>Error?</v>
      </c>
    </row>
    <row r="92" spans="1:4" x14ac:dyDescent="0.2">
      <c r="A92" s="5">
        <v>31</v>
      </c>
      <c r="B92" s="138">
        <f>'Assets-Liab 5-6'!C39</f>
        <v>7975439</v>
      </c>
      <c r="D92" s="2" t="str">
        <f t="shared" si="0"/>
        <v>Error?</v>
      </c>
    </row>
    <row r="93" spans="1:4" x14ac:dyDescent="0.2">
      <c r="A93" s="5">
        <v>32</v>
      </c>
      <c r="B93" s="138">
        <f>'Assets-Liab 5-6'!C41</f>
        <v>7978170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1471186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1978700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1978700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1265719</v>
      </c>
      <c r="D129" s="2" t="str">
        <f t="shared" si="1"/>
        <v>Error?</v>
      </c>
    </row>
    <row r="130" spans="1:4" x14ac:dyDescent="0.2">
      <c r="A130" s="5">
        <v>69</v>
      </c>
      <c r="B130" s="138">
        <f>'Assets-Liab 5-6'!E12</f>
        <v>0</v>
      </c>
      <c r="D130" s="2" t="str">
        <f t="shared" si="1"/>
        <v>Error?</v>
      </c>
    </row>
    <row r="131" spans="1:4" x14ac:dyDescent="0.2">
      <c r="A131" s="5">
        <v>70</v>
      </c>
      <c r="B131" s="138">
        <f>'Assets-Liab 5-6'!E13</f>
        <v>1470354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1470354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976493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1454008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1454008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161900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268243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268243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62822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65389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65389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1092698</v>
      </c>
      <c r="D273" s="2" t="str">
        <f t="shared" si="3"/>
        <v>Error?</v>
      </c>
    </row>
    <row r="274" spans="1:4" x14ac:dyDescent="0.2">
      <c r="A274" s="5">
        <v>213</v>
      </c>
      <c r="B274" s="138">
        <f>'Assets-Liab 5-6'!M17</f>
        <v>29483208</v>
      </c>
      <c r="D274" s="2" t="str">
        <f t="shared" si="3"/>
        <v>Error?</v>
      </c>
    </row>
    <row r="275" spans="1:4" x14ac:dyDescent="0.2">
      <c r="A275" s="5">
        <v>214</v>
      </c>
      <c r="B275" s="138">
        <f>'Assets-Liab 5-6'!M18</f>
        <v>723912</v>
      </c>
      <c r="D275" s="2" t="str">
        <f t="shared" si="3"/>
        <v>Error?</v>
      </c>
    </row>
    <row r="276" spans="1:4" x14ac:dyDescent="0.2">
      <c r="A276" s="5">
        <v>215</v>
      </c>
      <c r="B276" s="138">
        <f>'Assets-Liab 5-6'!M19</f>
        <v>4880862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36180680</v>
      </c>
      <c r="C279" s="2" t="s">
        <v>594</v>
      </c>
      <c r="D279" s="2" t="str">
        <f t="shared" si="3"/>
        <v>Error?</v>
      </c>
    </row>
    <row r="280" spans="1:4" x14ac:dyDescent="0.2">
      <c r="A280" s="5">
        <v>219</v>
      </c>
      <c r="B280" s="138">
        <f>'Assets-Liab 5-6'!M40</f>
        <v>36180680</v>
      </c>
      <c r="D280" s="2" t="str">
        <f t="shared" si="3"/>
        <v>Error?</v>
      </c>
    </row>
    <row r="281" spans="1:4" x14ac:dyDescent="0.2">
      <c r="A281" s="5">
        <v>220</v>
      </c>
      <c r="B281" s="138">
        <f>'Assets-Liab 5-6'!M41</f>
        <v>36180680</v>
      </c>
      <c r="C281" s="2" t="s">
        <v>594</v>
      </c>
      <c r="D281" s="2" t="str">
        <f t="shared" si="3"/>
        <v>Error?</v>
      </c>
    </row>
    <row r="282" spans="1:4" x14ac:dyDescent="0.2">
      <c r="A282" s="5">
        <v>221</v>
      </c>
      <c r="B282" s="138">
        <f>'Assets-Liab 5-6'!N21</f>
        <v>1470354</v>
      </c>
      <c r="D282" s="2" t="str">
        <f t="shared" si="3"/>
        <v>Error?</v>
      </c>
    </row>
    <row r="283" spans="1:4" x14ac:dyDescent="0.2">
      <c r="A283" s="5">
        <v>222</v>
      </c>
      <c r="B283" s="138">
        <f>'Assets-Liab 5-6'!N22</f>
        <v>6462611</v>
      </c>
      <c r="D283" s="2" t="str">
        <f t="shared" si="3"/>
        <v>Error?</v>
      </c>
    </row>
    <row r="284" spans="1:4" x14ac:dyDescent="0.2">
      <c r="A284" s="5">
        <v>223</v>
      </c>
      <c r="B284" s="138">
        <f>'Assets-Liab 5-6'!N23</f>
        <v>7932965</v>
      </c>
      <c r="C284" s="2" t="s">
        <v>594</v>
      </c>
      <c r="D284" s="2" t="str">
        <f t="shared" si="3"/>
        <v>Error?</v>
      </c>
    </row>
    <row r="285" spans="1:4" x14ac:dyDescent="0.2">
      <c r="A285" s="5">
        <v>224</v>
      </c>
      <c r="B285" s="138">
        <f>'Assets-Liab 5-6'!N36</f>
        <v>7932965</v>
      </c>
      <c r="D285" s="2" t="str">
        <f t="shared" si="3"/>
        <v>Error?</v>
      </c>
    </row>
    <row r="286" spans="1:4" x14ac:dyDescent="0.2">
      <c r="A286" s="10">
        <v>225</v>
      </c>
      <c r="D286" s="2" t="str">
        <f t="shared" si="3"/>
        <v>OK</v>
      </c>
    </row>
    <row r="287" spans="1:4" x14ac:dyDescent="0.2">
      <c r="A287" s="5">
        <v>226</v>
      </c>
      <c r="B287" s="138">
        <f>'Assets-Liab 5-6'!N37</f>
        <v>7932965</v>
      </c>
      <c r="C287" s="2" t="s">
        <v>594</v>
      </c>
      <c r="D287" s="2" t="str">
        <f t="shared" si="3"/>
        <v>Error?</v>
      </c>
    </row>
    <row r="288" spans="1:4" x14ac:dyDescent="0.2">
      <c r="A288" s="5">
        <v>227</v>
      </c>
      <c r="B288" s="138">
        <f>'Assets-Liab 5-6'!N41</f>
        <v>7932965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5315267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64450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7044133</v>
      </c>
      <c r="C720" s="2" t="s">
        <v>594</v>
      </c>
      <c r="D720" s="2" t="str">
        <f t="shared" si="10"/>
        <v>Error?</v>
      </c>
    </row>
    <row r="721" spans="1:4" x14ac:dyDescent="0.2">
      <c r="A721" s="5">
        <v>660</v>
      </c>
      <c r="B721" s="138">
        <f>'Expenditures 15-22'!C36</f>
        <v>196414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127512</v>
      </c>
      <c r="D723" s="2" t="str">
        <f t="shared" si="10"/>
        <v>Error?</v>
      </c>
    </row>
    <row r="724" spans="1:4" x14ac:dyDescent="0.2">
      <c r="A724" s="5">
        <v>663</v>
      </c>
      <c r="B724" s="138">
        <f>'Expenditures 15-22'!C39</f>
        <v>57471</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381397</v>
      </c>
      <c r="C727" s="2" t="s">
        <v>594</v>
      </c>
      <c r="D727" s="2" t="str">
        <f t="shared" si="10"/>
        <v>Error?</v>
      </c>
    </row>
    <row r="728" spans="1:4" x14ac:dyDescent="0.2">
      <c r="A728" s="5">
        <v>667</v>
      </c>
      <c r="B728" s="138">
        <f>'Expenditures 15-22'!C44</f>
        <v>262544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262544</v>
      </c>
      <c r="C731" s="2" t="s">
        <v>594</v>
      </c>
      <c r="D731" s="2" t="str">
        <f t="shared" si="10"/>
        <v>Error?</v>
      </c>
    </row>
    <row r="732" spans="1:4" x14ac:dyDescent="0.2">
      <c r="A732" s="5">
        <v>671</v>
      </c>
      <c r="B732" s="138">
        <f>'Expenditures 15-22'!C49</f>
        <v>1939</v>
      </c>
      <c r="D732" s="2" t="str">
        <f t="shared" si="10"/>
        <v>Error?</v>
      </c>
    </row>
    <row r="733" spans="1:4" x14ac:dyDescent="0.2">
      <c r="A733" s="5">
        <v>672</v>
      </c>
      <c r="B733" s="138">
        <f>'Expenditures 15-22'!C50</f>
        <v>268977</v>
      </c>
      <c r="D733" s="2" t="str">
        <f t="shared" si="10"/>
        <v>Error?</v>
      </c>
    </row>
    <row r="734" spans="1:4" x14ac:dyDescent="0.2">
      <c r="A734" s="5">
        <v>673</v>
      </c>
      <c r="B734" s="138">
        <f>'Expenditures 15-22'!C53</f>
        <v>270916</v>
      </c>
      <c r="C734" s="2" t="s">
        <v>594</v>
      </c>
      <c r="D734" s="2" t="str">
        <f t="shared" si="10"/>
        <v>Error?</v>
      </c>
    </row>
    <row r="735" spans="1:4" x14ac:dyDescent="0.2">
      <c r="A735" s="5">
        <v>674</v>
      </c>
      <c r="B735" s="138">
        <f>'Expenditures 15-22'!C55</f>
        <v>693990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693990</v>
      </c>
      <c r="C737" s="2" t="s">
        <v>594</v>
      </c>
      <c r="D737" s="2" t="str">
        <f t="shared" si="10"/>
        <v>Error?</v>
      </c>
    </row>
    <row r="738" spans="1:4" x14ac:dyDescent="0.2">
      <c r="A738" s="5">
        <v>677</v>
      </c>
      <c r="B738" s="138">
        <f>'Expenditures 15-22'!C59</f>
        <v>53684</v>
      </c>
      <c r="D738" s="2" t="str">
        <f t="shared" si="10"/>
        <v>Error?</v>
      </c>
    </row>
    <row r="739" spans="1:4" x14ac:dyDescent="0.2">
      <c r="A739" s="5">
        <v>678</v>
      </c>
      <c r="B739" s="138">
        <f>'Expenditures 15-22'!C60</f>
        <v>88902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164747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307333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3375</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156617</v>
      </c>
      <c r="D751" s="2" t="str">
        <f t="shared" si="10"/>
        <v>Error?</v>
      </c>
    </row>
    <row r="752" spans="1:4" x14ac:dyDescent="0.2">
      <c r="A752" s="10">
        <v>691</v>
      </c>
      <c r="D752" s="2" t="str">
        <f t="shared" si="10"/>
        <v>OK</v>
      </c>
    </row>
    <row r="753" spans="1:4" x14ac:dyDescent="0.2">
      <c r="A753" s="5">
        <v>692</v>
      </c>
      <c r="B753" s="138">
        <f>'Expenditures 15-22'!C72</f>
        <v>159992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2076172</v>
      </c>
      <c r="C755" s="2" t="s">
        <v>594</v>
      </c>
      <c r="D755" s="2" t="str">
        <f t="shared" si="10"/>
        <v>Error?</v>
      </c>
    </row>
    <row r="756" spans="1:4" x14ac:dyDescent="0.2">
      <c r="A756" s="5">
        <v>695</v>
      </c>
      <c r="B756" s="138">
        <f>'Expenditures 15-22'!C75</f>
        <v>26289</v>
      </c>
      <c r="D756" s="2" t="str">
        <f t="shared" si="10"/>
        <v>Error?</v>
      </c>
    </row>
    <row r="757" spans="1:4" x14ac:dyDescent="0.2">
      <c r="A757" s="5">
        <v>696</v>
      </c>
      <c r="B757" s="138">
        <f>'Expenditures 15-22'!C114</f>
        <v>9146594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865478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752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1196897</v>
      </c>
      <c r="C778" s="2" t="s">
        <v>594</v>
      </c>
      <c r="D778" s="2" t="str">
        <f t="shared" si="11"/>
        <v>Error?</v>
      </c>
    </row>
    <row r="779" spans="1:4" x14ac:dyDescent="0.2">
      <c r="A779" s="5">
        <v>718</v>
      </c>
      <c r="B779" s="138">
        <f>'Expenditures 15-22'!D36</f>
        <v>45089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19470</v>
      </c>
      <c r="D781" s="2" t="str">
        <f t="shared" si="11"/>
        <v>Error?</v>
      </c>
    </row>
    <row r="782" spans="1:4" x14ac:dyDescent="0.2">
      <c r="A782" s="5">
        <v>721</v>
      </c>
      <c r="B782" s="138">
        <f>'Expenditures 15-22'!D39</f>
        <v>9383</v>
      </c>
      <c r="D782" s="2" t="str">
        <f t="shared" si="11"/>
        <v>Error?</v>
      </c>
    </row>
    <row r="783" spans="1:4" x14ac:dyDescent="0.2">
      <c r="A783" s="5">
        <v>722</v>
      </c>
      <c r="B783" s="138">
        <f>'Expenditures 15-22'!D40</f>
        <v>0</v>
      </c>
      <c r="D783" s="2" t="str">
        <f t="shared" si="11"/>
        <v>Error?</v>
      </c>
    </row>
    <row r="784" spans="1:4" x14ac:dyDescent="0.2">
      <c r="A784" s="5">
        <v>723</v>
      </c>
      <c r="B784" s="138">
        <f>'Expenditures 15-22'!D41</f>
        <v>-8</v>
      </c>
      <c r="D784" s="2" t="str">
        <f t="shared" si="11"/>
        <v>Error?</v>
      </c>
    </row>
    <row r="785" spans="1:4" x14ac:dyDescent="0.2">
      <c r="A785" s="5">
        <v>724</v>
      </c>
      <c r="B785" s="138">
        <f>'Expenditures 15-22'!D42</f>
        <v>73934</v>
      </c>
      <c r="C785" s="2" t="s">
        <v>594</v>
      </c>
      <c r="D785" s="2" t="str">
        <f t="shared" si="11"/>
        <v>Error?</v>
      </c>
    </row>
    <row r="786" spans="1:4" x14ac:dyDescent="0.2">
      <c r="A786" s="5">
        <v>725</v>
      </c>
      <c r="B786" s="138">
        <f>'Expenditures 15-22'!D44</f>
        <v>42410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42410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72038</v>
      </c>
      <c r="D791" s="2" t="str">
        <f t="shared" si="11"/>
        <v>Error?</v>
      </c>
    </row>
    <row r="792" spans="1:4" x14ac:dyDescent="0.2">
      <c r="A792" s="5">
        <v>731</v>
      </c>
      <c r="B792" s="138">
        <f>'Expenditures 15-22'!D53</f>
        <v>72038</v>
      </c>
      <c r="C792" s="2" t="s">
        <v>594</v>
      </c>
      <c r="D792" s="2" t="str">
        <f t="shared" si="11"/>
        <v>Error?</v>
      </c>
    </row>
    <row r="793" spans="1:4" x14ac:dyDescent="0.2">
      <c r="A793" s="5">
        <v>732</v>
      </c>
      <c r="B793" s="138">
        <f>'Expenditures 15-22'!D55</f>
        <v>261002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261002</v>
      </c>
      <c r="C795" s="2" t="s">
        <v>594</v>
      </c>
      <c r="D795" s="2" t="str">
        <f t="shared" si="11"/>
        <v>Error?</v>
      </c>
    </row>
    <row r="796" spans="1:4" x14ac:dyDescent="0.2">
      <c r="A796" s="5">
        <v>735</v>
      </c>
      <c r="B796" s="138">
        <f>'Expenditures 15-22'!D59</f>
        <v>17963</v>
      </c>
      <c r="D796" s="2" t="str">
        <f t="shared" si="11"/>
        <v>Error?</v>
      </c>
    </row>
    <row r="797" spans="1:4" x14ac:dyDescent="0.2">
      <c r="A797" s="5">
        <v>736</v>
      </c>
      <c r="B797" s="138">
        <f>'Expenditures 15-22'!D60</f>
        <v>19453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17302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54718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48408</v>
      </c>
      <c r="D809" s="2" t="str">
        <f t="shared" si="11"/>
        <v>Error?</v>
      </c>
    </row>
    <row r="810" spans="1:4" x14ac:dyDescent="0.2">
      <c r="A810" s="10">
        <v>749</v>
      </c>
      <c r="D810" s="2" t="str">
        <f t="shared" si="11"/>
        <v>OK</v>
      </c>
    </row>
    <row r="811" spans="1:4" x14ac:dyDescent="0.2">
      <c r="A811" s="5">
        <v>750</v>
      </c>
      <c r="B811" s="138">
        <f>'Expenditures 15-22'!D72</f>
        <v>48408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552510</v>
      </c>
      <c r="C813" s="2" t="s">
        <v>594</v>
      </c>
      <c r="D813" s="2" t="str">
        <f t="shared" si="11"/>
        <v>Error?</v>
      </c>
    </row>
    <row r="814" spans="1:4" x14ac:dyDescent="0.2">
      <c r="A814" s="5">
        <v>753</v>
      </c>
      <c r="B814" s="138">
        <f>'Expenditures 15-22'!D75</f>
        <v>2655</v>
      </c>
      <c r="D814" s="2" t="str">
        <f t="shared" si="11"/>
        <v>Error?</v>
      </c>
    </row>
    <row r="815" spans="1:4" x14ac:dyDescent="0.2">
      <c r="A815" s="5">
        <v>754</v>
      </c>
      <c r="B815" s="138">
        <f>'Expenditures 15-22'!D114</f>
        <v>1752062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16085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10084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295487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90278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90278</v>
      </c>
      <c r="C847" s="2" t="s">
        <v>594</v>
      </c>
      <c r="D847" s="2" t="str">
        <f t="shared" si="12"/>
        <v>Error?</v>
      </c>
    </row>
    <row r="848" spans="1:4" x14ac:dyDescent="0.2">
      <c r="A848" s="5">
        <v>787</v>
      </c>
      <c r="B848" s="138">
        <f>'Expenditures 15-22'!E49</f>
        <v>111609</v>
      </c>
      <c r="D848" s="2" t="str">
        <f t="shared" si="12"/>
        <v>Error?</v>
      </c>
    </row>
    <row r="849" spans="1:4" x14ac:dyDescent="0.2">
      <c r="A849" s="5">
        <v>788</v>
      </c>
      <c r="B849" s="138">
        <f>'Expenditures 15-22'!E50</f>
        <v>7248</v>
      </c>
      <c r="D849" s="2" t="str">
        <f t="shared" si="12"/>
        <v>Error?</v>
      </c>
    </row>
    <row r="850" spans="1:4" x14ac:dyDescent="0.2">
      <c r="A850" s="5">
        <v>789</v>
      </c>
      <c r="B850" s="138">
        <f>'Expenditures 15-22'!E53</f>
        <v>118857</v>
      </c>
      <c r="C850" s="2" t="s">
        <v>594</v>
      </c>
      <c r="D850" s="2" t="str">
        <f t="shared" si="12"/>
        <v>Error?</v>
      </c>
    </row>
    <row r="851" spans="1:4" x14ac:dyDescent="0.2">
      <c r="A851" s="5">
        <v>790</v>
      </c>
      <c r="B851" s="138">
        <f>'Expenditures 15-22'!E55</f>
        <v>10869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10869</v>
      </c>
      <c r="C853" s="2" t="s">
        <v>594</v>
      </c>
      <c r="D853" s="2" t="str">
        <f t="shared" si="12"/>
        <v>Error?</v>
      </c>
    </row>
    <row r="854" spans="1:4" x14ac:dyDescent="0.2">
      <c r="A854" s="5">
        <v>793</v>
      </c>
      <c r="B854" s="138">
        <f>'Expenditures 15-22'!E59</f>
        <v>7012</v>
      </c>
      <c r="D854" s="2" t="str">
        <f t="shared" si="12"/>
        <v>Error?</v>
      </c>
    </row>
    <row r="855" spans="1:4" x14ac:dyDescent="0.2">
      <c r="A855" s="5">
        <v>794</v>
      </c>
      <c r="B855" s="138">
        <f>'Expenditures 15-22'!E60</f>
        <v>22840</v>
      </c>
      <c r="D855" s="2" t="str">
        <f t="shared" si="12"/>
        <v>Error?</v>
      </c>
    </row>
    <row r="856" spans="1:4" x14ac:dyDescent="0.2">
      <c r="A856" s="5">
        <v>795</v>
      </c>
      <c r="B856" s="138">
        <f>'Expenditures 15-22'!E61</f>
        <v>29481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3406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62739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44353</v>
      </c>
      <c r="D864" s="2" t="str">
        <f t="shared" si="12"/>
        <v>Error?</v>
      </c>
    </row>
    <row r="865" spans="1:4" x14ac:dyDescent="0.2">
      <c r="A865" s="5">
        <v>804</v>
      </c>
      <c r="B865" s="138">
        <f>'Expenditures 15-22'!E70</f>
        <v>847</v>
      </c>
      <c r="D865" s="2" t="str">
        <f t="shared" si="12"/>
        <v>Error?</v>
      </c>
    </row>
    <row r="866" spans="1:4" x14ac:dyDescent="0.2">
      <c r="A866" s="10">
        <v>805</v>
      </c>
      <c r="D866" s="2" t="str">
        <f t="shared" si="12"/>
        <v>OK</v>
      </c>
    </row>
    <row r="867" spans="1:4" x14ac:dyDescent="0.2">
      <c r="A867" s="5">
        <v>806</v>
      </c>
      <c r="B867" s="138">
        <f>'Expenditures 15-22'!E71</f>
        <v>70492</v>
      </c>
      <c r="D867" s="2" t="str">
        <f t="shared" si="12"/>
        <v>Error?</v>
      </c>
    </row>
    <row r="868" spans="1:4" x14ac:dyDescent="0.2">
      <c r="A868" s="10">
        <v>807</v>
      </c>
      <c r="D868" s="2" t="str">
        <f t="shared" si="12"/>
        <v>OK</v>
      </c>
    </row>
    <row r="869" spans="1:4" x14ac:dyDescent="0.2">
      <c r="A869" s="5">
        <v>808</v>
      </c>
      <c r="B869" s="138">
        <f>'Expenditures 15-22'!E72</f>
        <v>115692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398435</v>
      </c>
      <c r="C871" s="2" t="s">
        <v>594</v>
      </c>
      <c r="D871" s="2" t="str">
        <f t="shared" si="12"/>
        <v>Error?</v>
      </c>
    </row>
    <row r="872" spans="1:4" x14ac:dyDescent="0.2">
      <c r="A872" s="5">
        <v>811</v>
      </c>
      <c r="B872" s="138">
        <f>'Expenditures 15-22'!E75</f>
        <v>900</v>
      </c>
      <c r="D872" s="2" t="str">
        <f t="shared" si="12"/>
        <v>Error?</v>
      </c>
    </row>
    <row r="873" spans="1:4" x14ac:dyDescent="0.2">
      <c r="A873" s="5">
        <v>812</v>
      </c>
      <c r="B873" s="138">
        <f>'Expenditures 15-22'!E114</f>
        <v>1759010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394668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17656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25669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456737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4568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4568</v>
      </c>
      <c r="C901" s="2" t="s">
        <v>594</v>
      </c>
      <c r="D901" s="2" t="str">
        <f t="shared" si="13"/>
        <v>Error?</v>
      </c>
    </row>
    <row r="902" spans="1:4" x14ac:dyDescent="0.2">
      <c r="A902" s="5">
        <v>841</v>
      </c>
      <c r="B902" s="138">
        <f>'Expenditures 15-22'!F44</f>
        <v>27873</v>
      </c>
      <c r="D902" s="2" t="str">
        <f t="shared" si="13"/>
        <v>Error?</v>
      </c>
    </row>
    <row r="903" spans="1:4" x14ac:dyDescent="0.2">
      <c r="A903" s="5">
        <v>842</v>
      </c>
      <c r="B903" s="138">
        <f>'Expenditures 15-22'!F45</f>
        <v>8440</v>
      </c>
      <c r="D903" s="2" t="str">
        <f t="shared" si="13"/>
        <v>Error?</v>
      </c>
    </row>
    <row r="904" spans="1:4" x14ac:dyDescent="0.2">
      <c r="A904" s="5">
        <v>843</v>
      </c>
      <c r="B904" s="138">
        <f>'Expenditures 15-22'!F46</f>
        <v>5001</v>
      </c>
      <c r="D904" s="2" t="str">
        <f t="shared" si="13"/>
        <v>Error?</v>
      </c>
    </row>
    <row r="905" spans="1:4" x14ac:dyDescent="0.2">
      <c r="A905" s="5">
        <v>844</v>
      </c>
      <c r="B905" s="138">
        <f>'Expenditures 15-22'!F47</f>
        <v>41314</v>
      </c>
      <c r="C905" s="2" t="s">
        <v>594</v>
      </c>
      <c r="D905" s="2" t="str">
        <f t="shared" si="13"/>
        <v>Error?</v>
      </c>
    </row>
    <row r="906" spans="1:4" x14ac:dyDescent="0.2">
      <c r="A906" s="5">
        <v>845</v>
      </c>
      <c r="B906" s="138">
        <f>'Expenditures 15-22'!F49</f>
        <v>19209</v>
      </c>
      <c r="D906" s="2" t="str">
        <f t="shared" si="13"/>
        <v>Error?</v>
      </c>
    </row>
    <row r="907" spans="1:4" x14ac:dyDescent="0.2">
      <c r="A907" s="5">
        <v>846</v>
      </c>
      <c r="B907" s="138">
        <f>'Expenditures 15-22'!F50</f>
        <v>4001</v>
      </c>
      <c r="D907" s="2" t="str">
        <f t="shared" si="13"/>
        <v>Error?</v>
      </c>
    </row>
    <row r="908" spans="1:4" x14ac:dyDescent="0.2">
      <c r="A908" s="5">
        <v>847</v>
      </c>
      <c r="B908" s="138">
        <f>'Expenditures 15-22'!F53</f>
        <v>23210</v>
      </c>
      <c r="C908" s="2" t="s">
        <v>594</v>
      </c>
      <c r="D908" s="2" t="str">
        <f t="shared" si="13"/>
        <v>Error?</v>
      </c>
    </row>
    <row r="909" spans="1:4" x14ac:dyDescent="0.2">
      <c r="A909" s="5">
        <v>848</v>
      </c>
      <c r="B909" s="138">
        <f>'Expenditures 15-22'!F55</f>
        <v>4384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4384</v>
      </c>
      <c r="C911" s="2" t="s">
        <v>594</v>
      </c>
      <c r="D911" s="2" t="str">
        <f t="shared" si="13"/>
        <v>Error?</v>
      </c>
    </row>
    <row r="912" spans="1:4" x14ac:dyDescent="0.2">
      <c r="A912" s="5">
        <v>851</v>
      </c>
      <c r="B912" s="138">
        <f>'Expenditures 15-22'!F59</f>
        <v>897</v>
      </c>
      <c r="D912" s="2" t="str">
        <f t="shared" si="13"/>
        <v>Error?</v>
      </c>
    </row>
    <row r="913" spans="1:4" x14ac:dyDescent="0.2">
      <c r="A913" s="5">
        <v>852</v>
      </c>
      <c r="B913" s="138">
        <f>'Expenditures 15-22'!F60</f>
        <v>499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110436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111832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41958</v>
      </c>
      <c r="D925" s="2" t="str">
        <f t="shared" si="13"/>
        <v>Error?</v>
      </c>
    </row>
    <row r="926" spans="1:4" x14ac:dyDescent="0.2">
      <c r="A926" s="10">
        <v>865</v>
      </c>
      <c r="D926" s="2" t="str">
        <f t="shared" si="13"/>
        <v>OK</v>
      </c>
    </row>
    <row r="927" spans="1:4" x14ac:dyDescent="0.2">
      <c r="A927" s="5">
        <v>866</v>
      </c>
      <c r="B927" s="138">
        <f>'Expenditures 15-22'!F72</f>
        <v>41958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227266</v>
      </c>
      <c r="C929" s="2" t="s">
        <v>594</v>
      </c>
      <c r="D929" s="2" t="str">
        <f t="shared" si="13"/>
        <v>Error?</v>
      </c>
    </row>
    <row r="930" spans="1:4" x14ac:dyDescent="0.2">
      <c r="A930" s="5">
        <v>869</v>
      </c>
      <c r="B930" s="138">
        <f>'Expenditures 15-22'!F75</f>
        <v>4865</v>
      </c>
      <c r="D930" s="2" t="str">
        <f t="shared" si="13"/>
        <v>Error?</v>
      </c>
    </row>
    <row r="931" spans="1:4" x14ac:dyDescent="0.2">
      <c r="A931" s="5">
        <v>870</v>
      </c>
      <c r="B931" s="138">
        <f>'Expenditures 15-22'!F114</f>
        <v>688868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4204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6352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15340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15340</v>
      </c>
      <c r="C1024" s="2" t="s">
        <v>594</v>
      </c>
      <c r="D1024" s="2" t="str">
        <f t="shared" si="15"/>
        <v>Error?</v>
      </c>
    </row>
    <row r="1025" spans="1:4" x14ac:dyDescent="0.2">
      <c r="A1025" s="5">
        <v>964</v>
      </c>
      <c r="B1025" s="138">
        <f>'Expenditures 15-22'!H55</f>
        <v>1260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1260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692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692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6857</v>
      </c>
      <c r="D1044" s="2" t="str">
        <f t="shared" si="15"/>
        <v>Error?</v>
      </c>
    </row>
    <row r="1045" spans="1:4" x14ac:dyDescent="0.2">
      <c r="A1045" s="5">
        <v>984</v>
      </c>
      <c r="B1045" s="138">
        <f>'Expenditures 15-22'!H74</f>
        <v>24149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386478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416979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6593809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82891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39957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9003714</v>
      </c>
      <c r="C1108" s="2" t="s">
        <v>594</v>
      </c>
      <c r="D1108" s="2" t="str">
        <f t="shared" si="16"/>
        <v>Error?</v>
      </c>
    </row>
    <row r="1109" spans="1:4" x14ac:dyDescent="0.2">
      <c r="A1109" s="5">
        <v>1048</v>
      </c>
      <c r="B1109" s="138">
        <f>'Expenditures 15-22'!K36</f>
        <v>241503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151550</v>
      </c>
      <c r="C1111" s="2" t="s">
        <v>594</v>
      </c>
      <c r="D1111" s="2" t="str">
        <f t="shared" si="16"/>
        <v>Error?</v>
      </c>
    </row>
    <row r="1112" spans="1:4" x14ac:dyDescent="0.2">
      <c r="A1112" s="5">
        <v>1051</v>
      </c>
      <c r="B1112" s="138">
        <f>'Expenditures 15-22'!K39</f>
        <v>66854</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-8</v>
      </c>
      <c r="C1114" s="2" t="s">
        <v>594</v>
      </c>
      <c r="D1114" s="2" t="str">
        <f t="shared" si="16"/>
        <v>Error?</v>
      </c>
    </row>
    <row r="1115" spans="1:4" x14ac:dyDescent="0.2">
      <c r="A1115" s="5">
        <v>1054</v>
      </c>
      <c r="B1115" s="138">
        <f>'Expenditures 15-22'!K42</f>
        <v>459899</v>
      </c>
      <c r="C1115" s="2" t="s">
        <v>594</v>
      </c>
      <c r="D1115" s="2" t="str">
        <f t="shared" si="16"/>
        <v>Error?</v>
      </c>
    </row>
    <row r="1116" spans="1:4" x14ac:dyDescent="0.2">
      <c r="A1116" s="5">
        <v>1055</v>
      </c>
      <c r="B1116" s="138">
        <f>'Expenditures 15-22'!K44</f>
        <v>423105</v>
      </c>
      <c r="C1116" s="2" t="s">
        <v>594</v>
      </c>
      <c r="D1116" s="2" t="str">
        <f t="shared" si="16"/>
        <v>Error?</v>
      </c>
    </row>
    <row r="1117" spans="1:4" x14ac:dyDescent="0.2">
      <c r="A1117" s="5">
        <v>1056</v>
      </c>
      <c r="B1117" s="138">
        <f>'Expenditures 15-22'!K45</f>
        <v>8440</v>
      </c>
      <c r="C1117" s="2" t="s">
        <v>594</v>
      </c>
      <c r="D1117" s="2" t="str">
        <f t="shared" si="16"/>
        <v>Error?</v>
      </c>
    </row>
    <row r="1118" spans="1:4" x14ac:dyDescent="0.2">
      <c r="A1118" s="5">
        <v>1057</v>
      </c>
      <c r="B1118" s="138">
        <f>'Expenditures 15-22'!K46</f>
        <v>5001</v>
      </c>
      <c r="C1118" s="2" t="s">
        <v>594</v>
      </c>
      <c r="D1118" s="2" t="str">
        <f t="shared" si="16"/>
        <v>Error?</v>
      </c>
    </row>
    <row r="1119" spans="1:4" x14ac:dyDescent="0.2">
      <c r="A1119" s="5">
        <v>1058</v>
      </c>
      <c r="B1119" s="138">
        <f>'Expenditures 15-22'!K47</f>
        <v>436546</v>
      </c>
      <c r="C1119" s="2" t="s">
        <v>594</v>
      </c>
      <c r="D1119" s="2" t="str">
        <f t="shared" si="16"/>
        <v>Error?</v>
      </c>
    </row>
    <row r="1120" spans="1:4" x14ac:dyDescent="0.2">
      <c r="A1120" s="5">
        <v>1059</v>
      </c>
      <c r="B1120" s="138">
        <f>'Expenditures 15-22'!K49</f>
        <v>148097</v>
      </c>
      <c r="C1120" s="2" t="s">
        <v>594</v>
      </c>
      <c r="D1120" s="2" t="str">
        <f t="shared" si="16"/>
        <v>Error?</v>
      </c>
    </row>
    <row r="1121" spans="1:4" x14ac:dyDescent="0.2">
      <c r="A1121" s="5">
        <v>1060</v>
      </c>
      <c r="B1121" s="138">
        <f>'Expenditures 15-22'!K50</f>
        <v>353224</v>
      </c>
      <c r="C1121" s="2" t="s">
        <v>594</v>
      </c>
      <c r="D1121" s="2" t="str">
        <f t="shared" si="16"/>
        <v>Error?</v>
      </c>
    </row>
    <row r="1122" spans="1:4" x14ac:dyDescent="0.2">
      <c r="A1122" s="5">
        <v>1061</v>
      </c>
      <c r="B1122" s="138">
        <f>'Expenditures 15-22'!K53</f>
        <v>501321</v>
      </c>
      <c r="C1122" s="2" t="s">
        <v>594</v>
      </c>
      <c r="D1122" s="2" t="str">
        <f t="shared" si="16"/>
        <v>Error?</v>
      </c>
    </row>
    <row r="1123" spans="1:4" x14ac:dyDescent="0.2">
      <c r="A1123" s="5">
        <v>1062</v>
      </c>
      <c r="B1123" s="138">
        <f>'Expenditures 15-22'!K55</f>
        <v>984491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984491</v>
      </c>
      <c r="C1125" s="2" t="s">
        <v>594</v>
      </c>
      <c r="D1125" s="2" t="str">
        <f t="shared" si="16"/>
        <v>Error?</v>
      </c>
    </row>
    <row r="1126" spans="1:4" x14ac:dyDescent="0.2">
      <c r="A1126" s="5">
        <v>1065</v>
      </c>
      <c r="B1126" s="138">
        <f>'Expenditures 15-22'!K59</f>
        <v>79556</v>
      </c>
      <c r="C1126" s="2" t="s">
        <v>594</v>
      </c>
      <c r="D1126" s="2" t="str">
        <f t="shared" si="16"/>
        <v>Error?</v>
      </c>
    </row>
    <row r="1127" spans="1:4" x14ac:dyDescent="0.2">
      <c r="A1127" s="5">
        <v>1066</v>
      </c>
      <c r="B1127" s="138">
        <f>'Expenditures 15-22'!K60</f>
        <v>131694</v>
      </c>
      <c r="C1127" s="2" t="s">
        <v>594</v>
      </c>
      <c r="D1127" s="2" t="str">
        <f t="shared" si="16"/>
        <v>Error?</v>
      </c>
    </row>
    <row r="1128" spans="1:4" x14ac:dyDescent="0.2">
      <c r="A1128" s="5">
        <v>1067</v>
      </c>
      <c r="B1128" s="138">
        <f>'Expenditures 15-22'!K61</f>
        <v>29481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296583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537314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47728</v>
      </c>
      <c r="C1136" s="2" t="s">
        <v>594</v>
      </c>
      <c r="D1136" s="2" t="str">
        <f t="shared" si="16"/>
        <v>Error?</v>
      </c>
    </row>
    <row r="1137" spans="1:4" x14ac:dyDescent="0.2">
      <c r="A1137" s="5">
        <v>1076</v>
      </c>
      <c r="B1137" s="138">
        <f>'Expenditures 15-22'!K70</f>
        <v>847</v>
      </c>
      <c r="C1137" s="2" t="s">
        <v>594</v>
      </c>
      <c r="D1137" s="2" t="str">
        <f t="shared" si="16"/>
        <v>Error?</v>
      </c>
    </row>
    <row r="1138" spans="1:4" x14ac:dyDescent="0.2">
      <c r="A1138" s="10">
        <v>1077</v>
      </c>
      <c r="D1138" s="2" t="str">
        <f t="shared" si="16"/>
        <v>OK</v>
      </c>
    </row>
    <row r="1139" spans="1:4" x14ac:dyDescent="0.2">
      <c r="A1139" s="5">
        <v>1078</v>
      </c>
      <c r="B1139" s="138">
        <f>'Expenditures 15-22'!K71</f>
        <v>337891</v>
      </c>
      <c r="C1139" s="2" t="s">
        <v>594</v>
      </c>
      <c r="D1139" s="2" t="str">
        <f t="shared" si="16"/>
        <v>Error?</v>
      </c>
    </row>
    <row r="1140" spans="1:4" x14ac:dyDescent="0.2">
      <c r="A1140" s="10">
        <v>1079</v>
      </c>
      <c r="D1140" s="2" t="str">
        <f t="shared" si="16"/>
        <v>OK</v>
      </c>
    </row>
    <row r="1141" spans="1:4" x14ac:dyDescent="0.2">
      <c r="A1141" s="5">
        <v>1080</v>
      </c>
      <c r="B1141" s="138">
        <f>'Expenditures 15-22'!K72</f>
        <v>386466</v>
      </c>
      <c r="C1141" s="2" t="s">
        <v>594</v>
      </c>
      <c r="D1141" s="2" t="str">
        <f t="shared" si="16"/>
        <v>Error?</v>
      </c>
    </row>
    <row r="1142" spans="1:4" x14ac:dyDescent="0.2">
      <c r="A1142" s="5">
        <v>1081</v>
      </c>
      <c r="B1142" s="138">
        <f>'Expenditures 15-22'!K73</f>
        <v>6857</v>
      </c>
      <c r="C1142" s="2" t="s">
        <v>594</v>
      </c>
      <c r="D1142" s="2" t="str">
        <f t="shared" si="16"/>
        <v>Error?</v>
      </c>
    </row>
    <row r="1143" spans="1:4" x14ac:dyDescent="0.2">
      <c r="A1143" s="5">
        <v>1082</v>
      </c>
      <c r="B1143" s="138">
        <f>'Expenditures 15-22'!K74</f>
        <v>3312894</v>
      </c>
      <c r="C1143" s="2" t="s">
        <v>594</v>
      </c>
      <c r="D1143" s="2" t="str">
        <f t="shared" si="16"/>
        <v>Error?</v>
      </c>
    </row>
    <row r="1144" spans="1:4" x14ac:dyDescent="0.2">
      <c r="A1144" s="5">
        <v>1083</v>
      </c>
      <c r="B1144" s="138">
        <f>'Expenditures 15-22'!K75</f>
        <v>34709</v>
      </c>
      <c r="C1144" s="2" t="s">
        <v>594</v>
      </c>
      <c r="D1144" s="2" t="str">
        <f t="shared" si="16"/>
        <v>Error?</v>
      </c>
    </row>
    <row r="1145" spans="1:4" x14ac:dyDescent="0.2">
      <c r="A1145" s="5">
        <v>1084</v>
      </c>
      <c r="B1145" s="138">
        <f>'Expenditures 15-22'!K102</f>
        <v>1450666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13801983</v>
      </c>
      <c r="C1152" s="2" t="s">
        <v>594</v>
      </c>
      <c r="D1152" s="2" t="str">
        <f t="shared" si="17"/>
        <v>Error?</v>
      </c>
    </row>
    <row r="1153" spans="1:4" x14ac:dyDescent="0.2">
      <c r="A1153" s="5">
        <v>1092</v>
      </c>
      <c r="B1153" s="138">
        <f>'Expenditures 15-22'!K115</f>
        <v>1711383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66108</v>
      </c>
      <c r="D1221" s="2" t="str">
        <f t="shared" si="18"/>
        <v>Error?</v>
      </c>
    </row>
    <row r="1222" spans="1:4" x14ac:dyDescent="0.2">
      <c r="A1222" s="10">
        <v>1161</v>
      </c>
      <c r="D1222" s="2" t="str">
        <f t="shared" si="18"/>
        <v>OK</v>
      </c>
    </row>
    <row r="1223" spans="1:4" x14ac:dyDescent="0.2">
      <c r="A1223" s="5">
        <v>1162</v>
      </c>
      <c r="B1223" s="138">
        <f>'Expenditures 15-22'!C127</f>
        <v>66108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66108</v>
      </c>
      <c r="C1225" s="2" t="s">
        <v>594</v>
      </c>
      <c r="D1225" s="2" t="str">
        <f t="shared" si="18"/>
        <v>Error?</v>
      </c>
    </row>
    <row r="1226" spans="1:4" x14ac:dyDescent="0.2">
      <c r="A1226" s="5">
        <v>1165</v>
      </c>
      <c r="B1226" s="138">
        <f>'Expenditures 15-22'!C151</f>
        <v>66108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20886</v>
      </c>
      <c r="D1229" s="2" t="str">
        <f t="shared" si="18"/>
        <v>Error?</v>
      </c>
    </row>
    <row r="1230" spans="1:4" x14ac:dyDescent="0.2">
      <c r="A1230" s="10">
        <v>1169</v>
      </c>
      <c r="D1230" s="2" t="str">
        <f t="shared" si="18"/>
        <v>OK</v>
      </c>
    </row>
    <row r="1231" spans="1:4" x14ac:dyDescent="0.2">
      <c r="A1231" s="5">
        <v>1170</v>
      </c>
      <c r="B1231" s="138">
        <f>'Expenditures 15-22'!D127</f>
        <v>20886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20886</v>
      </c>
      <c r="C1233" s="2" t="s">
        <v>594</v>
      </c>
      <c r="D1233" s="2" t="str">
        <f t="shared" si="18"/>
        <v>Error?</v>
      </c>
    </row>
    <row r="1234" spans="1:4" x14ac:dyDescent="0.2">
      <c r="A1234" s="5">
        <v>1173</v>
      </c>
      <c r="B1234" s="138">
        <f>'Expenditures 15-22'!D151</f>
        <v>20886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1131425</v>
      </c>
      <c r="D1237" s="2" t="str">
        <f t="shared" si="18"/>
        <v>Error?</v>
      </c>
    </row>
    <row r="1238" spans="1:4" x14ac:dyDescent="0.2">
      <c r="A1238" s="10">
        <v>1177</v>
      </c>
      <c r="D1238" s="2" t="str">
        <f t="shared" si="18"/>
        <v>OK</v>
      </c>
    </row>
    <row r="1239" spans="1:4" x14ac:dyDescent="0.2">
      <c r="A1239" s="5">
        <v>1178</v>
      </c>
      <c r="B1239" s="138">
        <f>'Expenditures 15-22'!E127</f>
        <v>1131425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1131425</v>
      </c>
      <c r="C1241" s="2" t="s">
        <v>594</v>
      </c>
      <c r="D1241" s="2" t="str">
        <f t="shared" si="18"/>
        <v>Error?</v>
      </c>
    </row>
    <row r="1242" spans="1:4" x14ac:dyDescent="0.2">
      <c r="A1242" s="5">
        <v>1181</v>
      </c>
      <c r="B1242" s="138">
        <f>'Expenditures 15-22'!E151</f>
        <v>1184377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520705</v>
      </c>
      <c r="D1245" s="2" t="str">
        <f t="shared" si="18"/>
        <v>Error?</v>
      </c>
    </row>
    <row r="1246" spans="1:4" x14ac:dyDescent="0.2">
      <c r="A1246" s="10">
        <v>1185</v>
      </c>
      <c r="D1246" s="2" t="str">
        <f t="shared" si="18"/>
        <v>OK</v>
      </c>
    </row>
    <row r="1247" spans="1:4" x14ac:dyDescent="0.2">
      <c r="A1247" s="5">
        <v>1186</v>
      </c>
      <c r="B1247" s="138">
        <f>'Expenditures 15-22'!F127</f>
        <v>520705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520705</v>
      </c>
      <c r="C1249" s="2" t="s">
        <v>594</v>
      </c>
      <c r="D1249" s="2" t="str">
        <f t="shared" si="18"/>
        <v>Error?</v>
      </c>
    </row>
    <row r="1250" spans="1:4" x14ac:dyDescent="0.2">
      <c r="A1250" s="5">
        <v>1189</v>
      </c>
      <c r="B1250" s="138">
        <f>'Expenditures 15-22'!F151</f>
        <v>520705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258468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258468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258468</v>
      </c>
      <c r="C1258" s="2" t="s">
        <v>594</v>
      </c>
      <c r="D1258" s="2" t="str">
        <f t="shared" si="18"/>
        <v>Error?</v>
      </c>
    </row>
    <row r="1259" spans="1:4" x14ac:dyDescent="0.2">
      <c r="A1259" s="5">
        <v>1198</v>
      </c>
      <c r="B1259" s="138">
        <f>'Expenditures 15-22'!G151</f>
        <v>258468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2003322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2003322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2003322</v>
      </c>
      <c r="C1281" s="2" t="s">
        <v>594</v>
      </c>
      <c r="D1281" s="2" t="str">
        <f t="shared" si="19"/>
        <v>Error?</v>
      </c>
    </row>
    <row r="1282" spans="1:4" x14ac:dyDescent="0.2">
      <c r="A1282" s="5">
        <v>1221</v>
      </c>
      <c r="B1282" s="138">
        <f>'Expenditures 15-22'!K139</f>
        <v>52952</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2056274</v>
      </c>
      <c r="C1288" s="2" t="s">
        <v>594</v>
      </c>
      <c r="D1288" s="2" t="str">
        <f t="shared" si="19"/>
        <v>Error?</v>
      </c>
    </row>
    <row r="1289" spans="1:4" x14ac:dyDescent="0.2">
      <c r="A1289" s="5">
        <v>1228</v>
      </c>
      <c r="B1289" s="138">
        <f>'Expenditures 15-22'!K152</f>
        <v>-89881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1601554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663033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2264587</v>
      </c>
      <c r="C1317" s="2" t="s">
        <v>594</v>
      </c>
      <c r="D1317" s="2" t="str">
        <f t="shared" si="19"/>
        <v>Error?</v>
      </c>
    </row>
    <row r="1318" spans="1:4" x14ac:dyDescent="0.2">
      <c r="A1318" s="5">
        <v>1257</v>
      </c>
      <c r="B1318" s="138">
        <f>'Expenditures 15-22'!H174</f>
        <v>2264587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1601554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663033</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2264587</v>
      </c>
      <c r="C1331" s="2" t="s">
        <v>594</v>
      </c>
      <c r="D1331" s="2" t="str">
        <f t="shared" si="19"/>
        <v>Error?</v>
      </c>
    </row>
    <row r="1332" spans="1:4" x14ac:dyDescent="0.2">
      <c r="A1332" s="5">
        <v>1271</v>
      </c>
      <c r="B1332" s="138">
        <f>'Expenditures 15-22'!K174</f>
        <v>2264587</v>
      </c>
      <c r="C1332" s="2" t="s">
        <v>594</v>
      </c>
      <c r="D1332" s="2" t="str">
        <f t="shared" si="19"/>
        <v>Error?</v>
      </c>
    </row>
    <row r="1333" spans="1:4" x14ac:dyDescent="0.2">
      <c r="A1333" s="5">
        <v>1272</v>
      </c>
      <c r="B1333" s="138">
        <f>'Expenditures 15-22'!K175</f>
        <v>72622</v>
      </c>
      <c r="C1333" s="2" t="s">
        <v>594</v>
      </c>
      <c r="D1333" s="2" t="str">
        <f t="shared" si="19"/>
        <v>Error?</v>
      </c>
    </row>
    <row r="1334" spans="1:4" x14ac:dyDescent="0.2">
      <c r="A1334" s="10">
        <v>1273</v>
      </c>
      <c r="D1334" s="2" t="str">
        <f t="shared" si="19"/>
        <v>OK</v>
      </c>
    </row>
    <row r="1335" spans="1:4" x14ac:dyDescent="0.2">
      <c r="A1335" s="5">
        <v>1274</v>
      </c>
      <c r="B1335" s="138">
        <f>'Expenditures 15-22'!C182</f>
        <v>331286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331286</v>
      </c>
      <c r="C1339" s="2" t="s">
        <v>594</v>
      </c>
      <c r="D1339" s="2" t="str">
        <f t="shared" si="19"/>
        <v>Error?</v>
      </c>
    </row>
    <row r="1340" spans="1:4" x14ac:dyDescent="0.2">
      <c r="A1340" s="5">
        <v>1279</v>
      </c>
      <c r="B1340" s="138">
        <f>'Expenditures 15-22'!C210</f>
        <v>331286</v>
      </c>
      <c r="C1340" s="2" t="s">
        <v>594</v>
      </c>
      <c r="D1340" s="2" t="str">
        <f t="shared" si="19"/>
        <v>Error?</v>
      </c>
    </row>
    <row r="1341" spans="1:4" x14ac:dyDescent="0.2">
      <c r="A1341" s="5">
        <v>1280</v>
      </c>
      <c r="B1341" s="138">
        <f>'Expenditures 15-22'!D182</f>
        <v>20908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20908</v>
      </c>
      <c r="C1345" s="2" t="s">
        <v>594</v>
      </c>
      <c r="D1345" s="2" t="str">
        <f t="shared" si="20"/>
        <v>Error?</v>
      </c>
    </row>
    <row r="1346" spans="1:4" x14ac:dyDescent="0.2">
      <c r="A1346" s="5">
        <v>1285</v>
      </c>
      <c r="B1346" s="138">
        <f>'Expenditures 15-22'!D210</f>
        <v>20908</v>
      </c>
      <c r="C1346" s="2" t="s">
        <v>594</v>
      </c>
      <c r="D1346" s="2" t="str">
        <f t="shared" si="20"/>
        <v>Error?</v>
      </c>
    </row>
    <row r="1347" spans="1:4" x14ac:dyDescent="0.2">
      <c r="A1347" s="5">
        <v>1286</v>
      </c>
      <c r="B1347" s="138">
        <f>'Expenditures 15-22'!E182</f>
        <v>354808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354808</v>
      </c>
      <c r="C1351" s="2" t="s">
        <v>594</v>
      </c>
      <c r="D1351" s="2" t="str">
        <f t="shared" si="20"/>
        <v>Error?</v>
      </c>
    </row>
    <row r="1352" spans="1:4" x14ac:dyDescent="0.2">
      <c r="A1352" s="5">
        <v>1291</v>
      </c>
      <c r="B1352" s="138">
        <f>'Expenditures 15-22'!E196</f>
        <v>45680</v>
      </c>
      <c r="C1352" s="2" t="s">
        <v>594</v>
      </c>
      <c r="D1352" s="2" t="str">
        <f t="shared" si="20"/>
        <v>Error?</v>
      </c>
    </row>
    <row r="1353" spans="1:4" x14ac:dyDescent="0.2">
      <c r="A1353" s="5">
        <v>1292</v>
      </c>
      <c r="B1353" s="138">
        <f>'Expenditures 15-22'!E210</f>
        <v>400488</v>
      </c>
      <c r="C1353" s="2" t="s">
        <v>594</v>
      </c>
      <c r="D1353" s="2" t="str">
        <f t="shared" si="20"/>
        <v>Error?</v>
      </c>
    </row>
    <row r="1354" spans="1:4" x14ac:dyDescent="0.2">
      <c r="A1354" s="5">
        <v>1293</v>
      </c>
      <c r="B1354" s="138">
        <f>'Expenditures 15-22'!F182</f>
        <v>42803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42803</v>
      </c>
      <c r="C1358" s="2" t="s">
        <v>594</v>
      </c>
      <c r="D1358" s="2" t="str">
        <f t="shared" si="20"/>
        <v>Error?</v>
      </c>
    </row>
    <row r="1359" spans="1:4" x14ac:dyDescent="0.2">
      <c r="A1359" s="5">
        <v>1298</v>
      </c>
      <c r="B1359" s="138">
        <f>'Expenditures 15-22'!F210</f>
        <v>42803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749805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749805</v>
      </c>
      <c r="C1381" s="2" t="s">
        <v>594</v>
      </c>
      <c r="D1381" s="2" t="str">
        <f t="shared" si="20"/>
        <v>Error?</v>
      </c>
    </row>
    <row r="1382" spans="1:4" x14ac:dyDescent="0.2">
      <c r="A1382" s="5">
        <v>1321</v>
      </c>
      <c r="B1382" s="138">
        <f>'Expenditures 15-22'!K196</f>
        <v>45680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795485</v>
      </c>
      <c r="C1388" s="2" t="s">
        <v>594</v>
      </c>
      <c r="D1388" s="2" t="str">
        <f t="shared" si="20"/>
        <v>Error?</v>
      </c>
    </row>
    <row r="1389" spans="1:4" x14ac:dyDescent="0.2">
      <c r="A1389" s="5">
        <v>1328</v>
      </c>
      <c r="B1389" s="138">
        <f>'Expenditures 15-22'!K211</f>
        <v>140181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3907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219736</v>
      </c>
      <c r="C1410" s="2" t="s">
        <v>594</v>
      </c>
      <c r="D1410" s="2" t="str">
        <f t="shared" si="21"/>
        <v>Error?</v>
      </c>
    </row>
    <row r="1411" spans="1:4" x14ac:dyDescent="0.2">
      <c r="A1411" s="5">
        <v>1350</v>
      </c>
      <c r="B1411" s="138">
        <f>'Expenditures 15-22'!D232</f>
        <v>2744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26237</v>
      </c>
      <c r="D1413" s="2" t="str">
        <f t="shared" si="21"/>
        <v>Error?</v>
      </c>
    </row>
    <row r="1414" spans="1:4" x14ac:dyDescent="0.2">
      <c r="A1414" s="5">
        <v>1353</v>
      </c>
      <c r="B1414" s="138">
        <f>'Expenditures 15-22'!D235</f>
        <v>824</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29805</v>
      </c>
      <c r="C1417" s="2" t="s">
        <v>594</v>
      </c>
      <c r="D1417" s="2" t="str">
        <f t="shared" si="21"/>
        <v>Error?</v>
      </c>
    </row>
    <row r="1418" spans="1:4" x14ac:dyDescent="0.2">
      <c r="A1418" s="5">
        <v>1357</v>
      </c>
      <c r="B1418" s="138">
        <f>'Expenditures 15-22'!D240</f>
        <v>11104</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11104</v>
      </c>
      <c r="C1421" s="2" t="s">
        <v>594</v>
      </c>
      <c r="D1421" s="2" t="str">
        <f t="shared" si="21"/>
        <v>Error?</v>
      </c>
    </row>
    <row r="1422" spans="1:4" x14ac:dyDescent="0.2">
      <c r="A1422" s="5">
        <v>1361</v>
      </c>
      <c r="B1422" s="138">
        <f>'Expenditures 15-22'!D245</f>
        <v>370</v>
      </c>
      <c r="D1422" s="2" t="str">
        <f t="shared" si="21"/>
        <v>Error?</v>
      </c>
    </row>
    <row r="1423" spans="1:4" x14ac:dyDescent="0.2">
      <c r="A1423" s="5">
        <v>1362</v>
      </c>
      <c r="B1423" s="138">
        <f>'Expenditures 15-22'!D246</f>
        <v>16327</v>
      </c>
      <c r="D1423" s="2" t="str">
        <f t="shared" si="21"/>
        <v>Error?</v>
      </c>
    </row>
    <row r="1424" spans="1:4" x14ac:dyDescent="0.2">
      <c r="A1424" s="5">
        <v>1363</v>
      </c>
      <c r="B1424" s="138">
        <f>'Expenditures 15-22'!D257</f>
        <v>16697</v>
      </c>
      <c r="C1424" s="2" t="s">
        <v>594</v>
      </c>
      <c r="D1424" s="2" t="str">
        <f t="shared" si="21"/>
        <v>Error?</v>
      </c>
    </row>
    <row r="1425" spans="1:4" x14ac:dyDescent="0.2">
      <c r="A1425" s="5">
        <v>1364</v>
      </c>
      <c r="B1425" s="138">
        <f>'Expenditures 15-22'!D259</f>
        <v>54343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54343</v>
      </c>
      <c r="C1427" s="2" t="s">
        <v>594</v>
      </c>
      <c r="D1427" s="2" t="str">
        <f t="shared" si="21"/>
        <v>Error?</v>
      </c>
    </row>
    <row r="1428" spans="1:4" x14ac:dyDescent="0.2">
      <c r="A1428" s="5">
        <v>1367</v>
      </c>
      <c r="B1428" s="138">
        <f>'Expenditures 15-22'!D263</f>
        <v>3793</v>
      </c>
      <c r="D1428" s="2" t="str">
        <f t="shared" si="21"/>
        <v>Error?</v>
      </c>
    </row>
    <row r="1429" spans="1:4" x14ac:dyDescent="0.2">
      <c r="A1429" s="5">
        <v>1368</v>
      </c>
      <c r="B1429" s="138">
        <f>'Expenditures 15-22'!D264</f>
        <v>17526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5772</v>
      </c>
      <c r="D1431" s="2" t="str">
        <f t="shared" si="21"/>
        <v>Error?</v>
      </c>
    </row>
    <row r="1432" spans="1:4" x14ac:dyDescent="0.2">
      <c r="A1432" s="5">
        <v>1371</v>
      </c>
      <c r="B1432" s="138">
        <f>'Expenditures 15-22'!D267</f>
        <v>59676</v>
      </c>
      <c r="D1432" s="2" t="str">
        <f t="shared" si="21"/>
        <v>Error?</v>
      </c>
    </row>
    <row r="1433" spans="1:4" x14ac:dyDescent="0.2">
      <c r="A1433" s="5">
        <v>1372</v>
      </c>
      <c r="B1433" s="138">
        <f>'Expenditures 15-22'!D268</f>
        <v>28375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115142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258</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32145</v>
      </c>
      <c r="D1442" s="2" t="str">
        <f t="shared" si="21"/>
        <v>Error?</v>
      </c>
    </row>
    <row r="1443" spans="1:4" x14ac:dyDescent="0.2">
      <c r="A1443" s="10">
        <v>1382</v>
      </c>
      <c r="D1443" s="2" t="str">
        <f t="shared" si="21"/>
        <v>OK</v>
      </c>
    </row>
    <row r="1444" spans="1:4" x14ac:dyDescent="0.2">
      <c r="A1444" s="5">
        <v>1383</v>
      </c>
      <c r="B1444" s="138">
        <f>'Expenditures 15-22'!D277</f>
        <v>32403</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259494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479230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3907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219736</v>
      </c>
      <c r="C1474" s="2" t="s">
        <v>594</v>
      </c>
      <c r="D1474" s="2" t="str">
        <f t="shared" si="22"/>
        <v>Error?</v>
      </c>
    </row>
    <row r="1475" spans="1:4" x14ac:dyDescent="0.2">
      <c r="A1475" s="5">
        <v>1414</v>
      </c>
      <c r="B1475" s="138">
        <f>'Expenditures 15-22'!K232</f>
        <v>2744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26237</v>
      </c>
      <c r="C1477" s="2" t="s">
        <v>594</v>
      </c>
      <c r="D1477" s="2" t="str">
        <f t="shared" si="22"/>
        <v>Error?</v>
      </c>
    </row>
    <row r="1478" spans="1:4" x14ac:dyDescent="0.2">
      <c r="A1478" s="5">
        <v>1417</v>
      </c>
      <c r="B1478" s="138">
        <f>'Expenditures 15-22'!K235</f>
        <v>824</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29805</v>
      </c>
      <c r="C1481" s="2" t="s">
        <v>594</v>
      </c>
      <c r="D1481" s="2" t="str">
        <f t="shared" si="22"/>
        <v>Error?</v>
      </c>
    </row>
    <row r="1482" spans="1:4" x14ac:dyDescent="0.2">
      <c r="A1482" s="5">
        <v>1421</v>
      </c>
      <c r="B1482" s="138">
        <f>'Expenditures 15-22'!K240</f>
        <v>11104</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11104</v>
      </c>
      <c r="C1485" s="2" t="s">
        <v>594</v>
      </c>
      <c r="D1485" s="2" t="str">
        <f t="shared" si="22"/>
        <v>Error?</v>
      </c>
    </row>
    <row r="1486" spans="1:4" x14ac:dyDescent="0.2">
      <c r="A1486" s="5">
        <v>1425</v>
      </c>
      <c r="B1486" s="138">
        <f>'Expenditures 15-22'!K245</f>
        <v>370</v>
      </c>
      <c r="C1486" s="2" t="s">
        <v>594</v>
      </c>
      <c r="D1486" s="2" t="str">
        <f t="shared" si="22"/>
        <v>Error?</v>
      </c>
    </row>
    <row r="1487" spans="1:4" x14ac:dyDescent="0.2">
      <c r="A1487" s="5">
        <v>1426</v>
      </c>
      <c r="B1487" s="138">
        <f>'Expenditures 15-22'!K246</f>
        <v>16327</v>
      </c>
      <c r="C1487" s="2" t="s">
        <v>594</v>
      </c>
      <c r="D1487" s="2" t="str">
        <f t="shared" si="22"/>
        <v>Error?</v>
      </c>
    </row>
    <row r="1488" spans="1:4" x14ac:dyDescent="0.2">
      <c r="A1488" s="5">
        <v>1427</v>
      </c>
      <c r="B1488" s="138">
        <f>'Expenditures 15-22'!K257</f>
        <v>16697</v>
      </c>
      <c r="C1488" s="2" t="s">
        <v>594</v>
      </c>
      <c r="D1488" s="2" t="str">
        <f t="shared" si="22"/>
        <v>Error?</v>
      </c>
    </row>
    <row r="1489" spans="1:4" x14ac:dyDescent="0.2">
      <c r="A1489" s="5">
        <v>1428</v>
      </c>
      <c r="B1489" s="138">
        <f>'Expenditures 15-22'!K259</f>
        <v>54343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54343</v>
      </c>
      <c r="C1491" s="2" t="s">
        <v>594</v>
      </c>
      <c r="D1491" s="2" t="str">
        <f t="shared" si="22"/>
        <v>Error?</v>
      </c>
    </row>
    <row r="1492" spans="1:4" x14ac:dyDescent="0.2">
      <c r="A1492" s="5">
        <v>1431</v>
      </c>
      <c r="B1492" s="138">
        <f>'Expenditures 15-22'!K263</f>
        <v>3793</v>
      </c>
      <c r="C1492" s="2" t="s">
        <v>594</v>
      </c>
      <c r="D1492" s="2" t="str">
        <f t="shared" si="22"/>
        <v>Error?</v>
      </c>
    </row>
    <row r="1493" spans="1:4" x14ac:dyDescent="0.2">
      <c r="A1493" s="5">
        <v>1432</v>
      </c>
      <c r="B1493" s="138">
        <f>'Expenditures 15-22'!K264</f>
        <v>17526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5772</v>
      </c>
      <c r="C1495" s="2" t="s">
        <v>594</v>
      </c>
      <c r="D1495" s="2" t="str">
        <f t="shared" si="22"/>
        <v>Error?</v>
      </c>
    </row>
    <row r="1496" spans="1:4" x14ac:dyDescent="0.2">
      <c r="A1496" s="5">
        <v>1435</v>
      </c>
      <c r="B1496" s="138">
        <f>'Expenditures 15-22'!K267</f>
        <v>59676</v>
      </c>
      <c r="C1496" s="2" t="s">
        <v>594</v>
      </c>
      <c r="D1496" s="2" t="str">
        <f t="shared" si="22"/>
        <v>Error?</v>
      </c>
    </row>
    <row r="1497" spans="1:4" x14ac:dyDescent="0.2">
      <c r="A1497" s="5">
        <v>1436</v>
      </c>
      <c r="B1497" s="138">
        <f>'Expenditures 15-22'!K268</f>
        <v>28375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115142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258</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32145</v>
      </c>
      <c r="C1506" s="2" t="s">
        <v>594</v>
      </c>
      <c r="D1506" s="2" t="str">
        <f t="shared" si="22"/>
        <v>Error?</v>
      </c>
    </row>
    <row r="1507" spans="1:4" x14ac:dyDescent="0.2">
      <c r="A1507" s="10">
        <v>1446</v>
      </c>
      <c r="D1507" s="2" t="str">
        <f t="shared" si="22"/>
        <v>OK</v>
      </c>
    </row>
    <row r="1508" spans="1:4" x14ac:dyDescent="0.2">
      <c r="A1508" s="5">
        <v>1447</v>
      </c>
      <c r="B1508" s="138">
        <f>'Expenditures 15-22'!K277</f>
        <v>32403</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259494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479230</v>
      </c>
      <c r="C1517" s="2" t="s">
        <v>594</v>
      </c>
      <c r="D1517" s="2" t="str">
        <f t="shared" si="22"/>
        <v>Error?</v>
      </c>
    </row>
    <row r="1518" spans="1:4" x14ac:dyDescent="0.2">
      <c r="A1518" s="5">
        <v>1457</v>
      </c>
      <c r="B1518" s="138">
        <f>'Expenditures 15-22'!K296</f>
        <v>-95488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2767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6413492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7975439</v>
      </c>
      <c r="C1630" s="2" t="s">
        <v>594</v>
      </c>
      <c r="D1630" s="2" t="str">
        <f t="shared" si="24"/>
        <v>Error?</v>
      </c>
    </row>
    <row r="1631" spans="1:4" x14ac:dyDescent="0.2">
      <c r="A1631" s="5">
        <v>1570</v>
      </c>
      <c r="B1631" s="138">
        <f>'Acct Summary 7-8'!D79</f>
        <v>2068581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1978700</v>
      </c>
      <c r="C1644" s="2" t="s">
        <v>594</v>
      </c>
      <c r="D1644" s="2" t="str">
        <f t="shared" si="24"/>
        <v>Error?</v>
      </c>
    </row>
    <row r="1645" spans="1:4" x14ac:dyDescent="0.2">
      <c r="A1645" s="5">
        <v>1584</v>
      </c>
      <c r="B1645" s="138">
        <f>'Acct Summary 7-8'!E79</f>
        <v>1397732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1470354</v>
      </c>
      <c r="C1658" s="2" t="s">
        <v>594</v>
      </c>
      <c r="D1658" s="2" t="str">
        <f t="shared" si="24"/>
        <v>Error?</v>
      </c>
    </row>
    <row r="1659" spans="1:4" x14ac:dyDescent="0.2">
      <c r="A1659" s="5">
        <v>1598</v>
      </c>
      <c r="B1659" s="138">
        <f>'Acct Summary 7-8'!F79</f>
        <v>1313827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1454008</v>
      </c>
      <c r="C1672" s="2" t="s">
        <v>594</v>
      </c>
      <c r="D1672" s="2" t="str">
        <f t="shared" si="25"/>
        <v>Error?</v>
      </c>
    </row>
    <row r="1673" spans="1:4" x14ac:dyDescent="0.2">
      <c r="A1673" s="5">
        <v>1612</v>
      </c>
      <c r="B1673" s="138">
        <f>'Acct Summary 7-8'!G79</f>
        <v>363731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268243</v>
      </c>
      <c r="C1686" s="2" t="s">
        <v>594</v>
      </c>
      <c r="D1686" s="2" t="str">
        <f t="shared" si="25"/>
        <v>Error?</v>
      </c>
    </row>
    <row r="1687" spans="1:4" x14ac:dyDescent="0.2">
      <c r="A1687" s="5">
        <v>1626</v>
      </c>
      <c r="B1687" s="138">
        <f>'Acct Summary 7-8'!H79</f>
        <v>62622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65389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11941450</v>
      </c>
      <c r="C1744" s="2" t="s">
        <v>594</v>
      </c>
      <c r="D1744" s="2" t="str">
        <f t="shared" si="26"/>
        <v>Error?</v>
      </c>
    </row>
    <row r="1745" spans="1:5" x14ac:dyDescent="0.2">
      <c r="A1745" s="5">
        <v>1684</v>
      </c>
      <c r="B1745" s="138">
        <f>'Tax Sched 23'!B5</f>
        <v>1254440</v>
      </c>
      <c r="C1745" s="2" t="s">
        <v>594</v>
      </c>
      <c r="D1745" s="2" t="str">
        <f t="shared" si="26"/>
        <v>Error?</v>
      </c>
    </row>
    <row r="1746" spans="1:5" x14ac:dyDescent="0.2">
      <c r="A1746" s="5">
        <v>1685</v>
      </c>
      <c r="B1746" s="138">
        <f>'Tax Sched 23'!B6</f>
        <v>2325138</v>
      </c>
      <c r="C1746" s="2" t="s">
        <v>594</v>
      </c>
      <c r="D1746" s="2" t="str">
        <f t="shared" si="26"/>
        <v>Error?</v>
      </c>
    </row>
    <row r="1747" spans="1:5" x14ac:dyDescent="0.2">
      <c r="A1747" s="5">
        <v>1686</v>
      </c>
      <c r="B1747" s="138">
        <f>'Tax Sched 23'!B7</f>
        <v>384876</v>
      </c>
      <c r="C1747" s="2" t="s">
        <v>594</v>
      </c>
      <c r="D1747" s="2" t="str">
        <f t="shared" si="26"/>
        <v>Error?</v>
      </c>
    </row>
    <row r="1748" spans="1:5" x14ac:dyDescent="0.2">
      <c r="A1748" s="5">
        <v>1687</v>
      </c>
      <c r="B1748" s="138">
        <f>'Tax Sched 23'!B8</f>
        <v>332375</v>
      </c>
      <c r="C1748" s="2" t="s">
        <v>594</v>
      </c>
      <c r="D1748" s="2" t="str">
        <f t="shared" si="26"/>
        <v>Error?</v>
      </c>
    </row>
    <row r="1749" spans="1:5" x14ac:dyDescent="0.2">
      <c r="A1749" s="5">
        <v>1688</v>
      </c>
      <c r="B1749" s="138">
        <f>'Tax Sched 23'!B10</f>
        <v>70564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145860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480154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16934857</v>
      </c>
      <c r="C1759" s="2" t="s">
        <v>594</v>
      </c>
      <c r="D1759" s="2" t="str">
        <f t="shared" si="26"/>
        <v>Error?</v>
      </c>
    </row>
    <row r="1760" spans="1:5" x14ac:dyDescent="0.2">
      <c r="A1760" s="5">
        <v>1699</v>
      </c>
      <c r="B1760" s="138">
        <f>'Tax Sched 23'!D4</f>
        <v>5692878</v>
      </c>
      <c r="C1760" s="2" t="s">
        <v>594</v>
      </c>
      <c r="D1760" s="2" t="str">
        <f t="shared" si="26"/>
        <v>Error?</v>
      </c>
    </row>
    <row r="1761" spans="1:5" x14ac:dyDescent="0.2">
      <c r="A1761" s="5">
        <v>1700</v>
      </c>
      <c r="B1761" s="138">
        <f>'Tax Sched 23'!D5</f>
        <v>597963</v>
      </c>
      <c r="C1761" s="2" t="s">
        <v>594</v>
      </c>
      <c r="D1761" s="2" t="str">
        <f t="shared" si="26"/>
        <v>Error?</v>
      </c>
    </row>
    <row r="1762" spans="1:5" s="8" customFormat="1" x14ac:dyDescent="0.2">
      <c r="A1762" s="5">
        <v>1701</v>
      </c>
      <c r="B1762" s="138">
        <f>'Tax Sched 23'!D6</f>
        <v>1116554</v>
      </c>
      <c r="C1762" s="2" t="s">
        <v>594</v>
      </c>
      <c r="D1762" s="2" t="str">
        <f t="shared" si="26"/>
        <v>Error?</v>
      </c>
      <c r="E1762" s="9"/>
    </row>
    <row r="1763" spans="1:5" x14ac:dyDescent="0.2">
      <c r="A1763" s="5">
        <v>1702</v>
      </c>
      <c r="B1763" s="138">
        <f>'Tax Sched 23'!D7</f>
        <v>160389</v>
      </c>
      <c r="C1763" s="2" t="s">
        <v>594</v>
      </c>
      <c r="D1763" s="2" t="str">
        <f t="shared" si="26"/>
        <v>Error?</v>
      </c>
    </row>
    <row r="1764" spans="1:5" x14ac:dyDescent="0.2">
      <c r="A1764" s="5">
        <v>1703</v>
      </c>
      <c r="B1764" s="138">
        <f>'Tax Sched 23'!D8</f>
        <v>226462</v>
      </c>
      <c r="C1764" s="2" t="s">
        <v>594</v>
      </c>
      <c r="D1764" s="2" t="str">
        <f t="shared" si="26"/>
        <v>Error?</v>
      </c>
    </row>
    <row r="1765" spans="1:5" x14ac:dyDescent="0.2">
      <c r="A1765" s="5">
        <v>1704</v>
      </c>
      <c r="B1765" s="138">
        <f>'Tax Sched 23'!D10</f>
        <v>33510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66193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228803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8016839</v>
      </c>
      <c r="C1775" s="2" t="s">
        <v>594</v>
      </c>
      <c r="D1775" s="2" t="str">
        <f t="shared" si="26"/>
        <v>Error?</v>
      </c>
    </row>
    <row r="1776" spans="1:5" x14ac:dyDescent="0.2">
      <c r="A1776" s="5">
        <v>1715</v>
      </c>
      <c r="B1776" s="138">
        <f>'Tax Sched 23'!C4</f>
        <v>6248572</v>
      </c>
      <c r="D1776" s="2" t="str">
        <f t="shared" si="26"/>
        <v>Error?</v>
      </c>
    </row>
    <row r="1777" spans="1:4" x14ac:dyDescent="0.2">
      <c r="A1777" s="5">
        <v>1716</v>
      </c>
      <c r="B1777" s="138">
        <f>'Tax Sched 23'!C5</f>
        <v>656477</v>
      </c>
      <c r="D1777" s="2" t="str">
        <f t="shared" si="26"/>
        <v>Error?</v>
      </c>
    </row>
    <row r="1778" spans="1:4" x14ac:dyDescent="0.2">
      <c r="A1778" s="5">
        <v>1717</v>
      </c>
      <c r="B1778" s="138">
        <f>'Tax Sched 23'!C6</f>
        <v>1208584</v>
      </c>
      <c r="D1778" s="2" t="str">
        <f t="shared" si="26"/>
        <v>Error?</v>
      </c>
    </row>
    <row r="1779" spans="1:4" x14ac:dyDescent="0.2">
      <c r="A1779" s="5">
        <v>1718</v>
      </c>
      <c r="B1779" s="138">
        <f>'Tax Sched 23'!C7</f>
        <v>224487</v>
      </c>
      <c r="D1779" s="2" t="str">
        <f t="shared" si="26"/>
        <v>Error?</v>
      </c>
    </row>
    <row r="1780" spans="1:4" x14ac:dyDescent="0.2">
      <c r="A1780" s="5">
        <v>1719</v>
      </c>
      <c r="B1780" s="138">
        <f>'Tax Sched 23'!C8</f>
        <v>105913</v>
      </c>
      <c r="D1780" s="2" t="str">
        <f t="shared" si="26"/>
        <v>Error?</v>
      </c>
    </row>
    <row r="1781" spans="1:4" x14ac:dyDescent="0.2">
      <c r="A1781" s="5">
        <v>1720</v>
      </c>
      <c r="B1781" s="138">
        <f>'Tax Sched 23'!C10</f>
        <v>37054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79667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251351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8918018</v>
      </c>
      <c r="C1791" s="2" t="s">
        <v>594</v>
      </c>
      <c r="D1791" s="2" t="str">
        <f t="shared" ref="D1791:D1854" si="27">IF(ISBLANK(B1791),"OK",IF(A1791-B1791=0,"OK","Error?"))</f>
        <v>Error?</v>
      </c>
    </row>
    <row r="1792" spans="1:4" x14ac:dyDescent="0.2">
      <c r="A1792" s="5">
        <v>1731</v>
      </c>
      <c r="B1792" s="138">
        <f>'Tax Sched 23'!F4</f>
        <v>5376769</v>
      </c>
      <c r="C1792" s="2" t="s">
        <v>594</v>
      </c>
      <c r="D1792" s="2" t="str">
        <f t="shared" si="27"/>
        <v>Error?</v>
      </c>
    </row>
    <row r="1793" spans="1:4" x14ac:dyDescent="0.2">
      <c r="A1793" s="5">
        <v>1732</v>
      </c>
      <c r="B1793" s="138">
        <f>'Tax Sched 23'!F5</f>
        <v>564885</v>
      </c>
      <c r="C1793" s="2" t="s">
        <v>594</v>
      </c>
      <c r="D1793" s="2" t="str">
        <f t="shared" si="27"/>
        <v>Error?</v>
      </c>
    </row>
    <row r="1794" spans="1:4" x14ac:dyDescent="0.2">
      <c r="A1794" s="5">
        <v>1733</v>
      </c>
      <c r="B1794" s="138">
        <f>'Tax Sched 23'!F6</f>
        <v>1039962</v>
      </c>
      <c r="C1794" s="2" t="s">
        <v>594</v>
      </c>
      <c r="D1794" s="2" t="str">
        <f t="shared" si="27"/>
        <v>Error?</v>
      </c>
    </row>
    <row r="1795" spans="1:4" x14ac:dyDescent="0.2">
      <c r="A1795" s="5">
        <v>1734</v>
      </c>
      <c r="B1795" s="138">
        <f>'Tax Sched 23'!F7</f>
        <v>193166</v>
      </c>
      <c r="C1795" s="2" t="s">
        <v>594</v>
      </c>
      <c r="D1795" s="2" t="str">
        <f t="shared" si="27"/>
        <v>Error?</v>
      </c>
    </row>
    <row r="1796" spans="1:4" x14ac:dyDescent="0.2">
      <c r="A1796" s="5">
        <v>1735</v>
      </c>
      <c r="B1796" s="138">
        <f>'Tax Sched 23'!F8</f>
        <v>91136</v>
      </c>
      <c r="C1796" s="2" t="s">
        <v>594</v>
      </c>
      <c r="D1796" s="2" t="str">
        <f t="shared" si="27"/>
        <v>Error?</v>
      </c>
    </row>
    <row r="1797" spans="1:4" x14ac:dyDescent="0.2">
      <c r="A1797" s="5">
        <v>1736</v>
      </c>
      <c r="B1797" s="138">
        <f>'Tax Sched 23'!F10</f>
        <v>31885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68551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216282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7673772</v>
      </c>
      <c r="C1807" s="2" t="s">
        <v>594</v>
      </c>
      <c r="D1807" s="2" t="str">
        <f t="shared" si="27"/>
        <v>Error?</v>
      </c>
    </row>
    <row r="1808" spans="1:4" x14ac:dyDescent="0.2">
      <c r="A1808" s="5">
        <v>1747</v>
      </c>
      <c r="B1808" s="138">
        <f>'Tax Sched 23'!E4</f>
        <v>11625341</v>
      </c>
      <c r="D1808" s="2" t="str">
        <f t="shared" si="27"/>
        <v>Error?</v>
      </c>
    </row>
    <row r="1809" spans="1:4" x14ac:dyDescent="0.2">
      <c r="A1809" s="5">
        <v>1748</v>
      </c>
      <c r="B1809" s="138">
        <f>'Tax Sched 23'!E5</f>
        <v>1221362</v>
      </c>
      <c r="D1809" s="2" t="str">
        <f t="shared" si="27"/>
        <v>Error?</v>
      </c>
    </row>
    <row r="1810" spans="1:4" x14ac:dyDescent="0.2">
      <c r="A1810" s="5">
        <v>1749</v>
      </c>
      <c r="B1810" s="138">
        <f>'Tax Sched 23'!E6</f>
        <v>2248546</v>
      </c>
      <c r="D1810" s="2" t="str">
        <f t="shared" si="27"/>
        <v>Error?</v>
      </c>
    </row>
    <row r="1811" spans="1:4" x14ac:dyDescent="0.2">
      <c r="A1811" s="5">
        <v>1750</v>
      </c>
      <c r="B1811" s="138">
        <f>'Tax Sched 23'!E7</f>
        <v>417653</v>
      </c>
      <c r="D1811" s="2" t="str">
        <f t="shared" si="27"/>
        <v>Error?</v>
      </c>
    </row>
    <row r="1812" spans="1:4" x14ac:dyDescent="0.2">
      <c r="A1812" s="5">
        <v>1751</v>
      </c>
      <c r="B1812" s="138">
        <f>'Tax Sched 23'!E8</f>
        <v>197049</v>
      </c>
      <c r="D1812" s="2" t="str">
        <f t="shared" si="27"/>
        <v>Error?</v>
      </c>
    </row>
    <row r="1813" spans="1:4" x14ac:dyDescent="0.2">
      <c r="A1813" s="5">
        <v>1752</v>
      </c>
      <c r="B1813" s="138">
        <f>'Tax Sched 23'!E10</f>
        <v>68939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148218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467633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16591790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8738145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480860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480860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480860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1092698</v>
      </c>
      <c r="D2008" s="2" t="str">
        <f t="shared" si="30"/>
        <v>Error?</v>
      </c>
    </row>
    <row r="2009" spans="1:4" x14ac:dyDescent="0.2">
      <c r="A2009" s="5">
        <v>1948</v>
      </c>
      <c r="B2009" s="138">
        <f>'Cap Outlay Deprec 26'!C8</f>
        <v>29374416</v>
      </c>
      <c r="D2009" s="2" t="str">
        <f t="shared" si="30"/>
        <v>Error?</v>
      </c>
    </row>
    <row r="2010" spans="1:4" x14ac:dyDescent="0.2">
      <c r="A2010" s="5">
        <v>1949</v>
      </c>
      <c r="B2010" s="138">
        <f>'Cap Outlay Deprec 26'!C10</f>
        <v>692080</v>
      </c>
      <c r="D2010" s="2" t="str">
        <f t="shared" si="30"/>
        <v>Error?</v>
      </c>
    </row>
    <row r="2011" spans="1:4" x14ac:dyDescent="0.2">
      <c r="A2011" s="5">
        <v>1950</v>
      </c>
      <c r="B2011" s="138">
        <f>'Cap Outlay Deprec 26'!C12</f>
        <v>4219167</v>
      </c>
      <c r="D2011" s="2" t="str">
        <f t="shared" si="30"/>
        <v>Error?</v>
      </c>
    </row>
    <row r="2012" spans="1:4" x14ac:dyDescent="0.2">
      <c r="A2012" s="5">
        <v>1951</v>
      </c>
      <c r="B2012" s="138">
        <f>'Cap Outlay Deprec 26'!C13</f>
        <v>564413</v>
      </c>
      <c r="D2012" s="2" t="str">
        <f t="shared" si="30"/>
        <v>Error?</v>
      </c>
    </row>
    <row r="2013" spans="1:4" x14ac:dyDescent="0.2">
      <c r="A2013" s="5">
        <v>1952</v>
      </c>
      <c r="B2013" s="138">
        <f>'Cap Outlay Deprec 26'!C16</f>
        <v>35942774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108792</v>
      </c>
      <c r="D2015" s="2" t="str">
        <f t="shared" si="30"/>
        <v>Error?</v>
      </c>
    </row>
    <row r="2016" spans="1:4" x14ac:dyDescent="0.2">
      <c r="A2016" s="5">
        <v>1955</v>
      </c>
      <c r="B2016" s="138">
        <f>'Cap Outlay Deprec 26'!D10</f>
        <v>31832</v>
      </c>
      <c r="D2016" s="2" t="str">
        <f t="shared" si="30"/>
        <v>Error?</v>
      </c>
    </row>
    <row r="2017" spans="1:4" x14ac:dyDescent="0.2">
      <c r="A2017" s="5">
        <v>1956</v>
      </c>
      <c r="B2017" s="138">
        <f>'Cap Outlay Deprec 26'!D12</f>
        <v>97282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237906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1092698</v>
      </c>
      <c r="C2026" s="2" t="s">
        <v>594</v>
      </c>
      <c r="D2026" s="2" t="str">
        <f t="shared" si="30"/>
        <v>Error?</v>
      </c>
    </row>
    <row r="2027" spans="1:4" x14ac:dyDescent="0.2">
      <c r="A2027" s="5">
        <v>1966</v>
      </c>
      <c r="B2027" s="138">
        <f>'Cap Outlay Deprec 26'!F8</f>
        <v>29483208</v>
      </c>
      <c r="C2027" s="2" t="s">
        <v>594</v>
      </c>
      <c r="D2027" s="2" t="str">
        <f t="shared" si="30"/>
        <v>Error?</v>
      </c>
    </row>
    <row r="2028" spans="1:4" x14ac:dyDescent="0.2">
      <c r="A2028" s="5">
        <v>1967</v>
      </c>
      <c r="B2028" s="138">
        <f>'Cap Outlay Deprec 26'!F10</f>
        <v>723912</v>
      </c>
      <c r="C2028" s="2" t="s">
        <v>594</v>
      </c>
      <c r="D2028" s="2" t="str">
        <f t="shared" si="30"/>
        <v>Error?</v>
      </c>
    </row>
    <row r="2029" spans="1:4" x14ac:dyDescent="0.2">
      <c r="A2029" s="5">
        <v>1968</v>
      </c>
      <c r="B2029" s="138">
        <f>'Cap Outlay Deprec 26'!F12</f>
        <v>4316449</v>
      </c>
      <c r="C2029" s="2" t="s">
        <v>594</v>
      </c>
      <c r="D2029" s="2" t="str">
        <f t="shared" si="30"/>
        <v>Error?</v>
      </c>
    </row>
    <row r="2030" spans="1:4" x14ac:dyDescent="0.2">
      <c r="A2030" s="5">
        <v>1969</v>
      </c>
      <c r="B2030" s="138">
        <f>'Cap Outlay Deprec 26'!F13</f>
        <v>564413</v>
      </c>
      <c r="C2030" s="2" t="s">
        <v>594</v>
      </c>
      <c r="D2030" s="2" t="str">
        <f t="shared" si="30"/>
        <v>Error?</v>
      </c>
    </row>
    <row r="2031" spans="1:4" x14ac:dyDescent="0.2">
      <c r="A2031" s="5">
        <v>1970</v>
      </c>
      <c r="B2031" s="138">
        <f>'Cap Outlay Deprec 26'!F16</f>
        <v>36180680</v>
      </c>
      <c r="C2031" s="2" t="s">
        <v>594</v>
      </c>
      <c r="D2031" s="2" t="str">
        <f t="shared" si="30"/>
        <v>Error?</v>
      </c>
    </row>
    <row r="2032" spans="1:4" x14ac:dyDescent="0.2">
      <c r="A2032" s="10">
        <v>1971</v>
      </c>
      <c r="D2032" s="2" t="str">
        <f t="shared" si="30"/>
        <v>OK</v>
      </c>
    </row>
    <row r="2033" spans="1:4" x14ac:dyDescent="0.2">
      <c r="A2033" s="5">
        <v>1972</v>
      </c>
      <c r="B2033" s="138">
        <f>'Cap Outlay Deprec 26'!H8</f>
        <v>14731402</v>
      </c>
      <c r="D2033" s="2" t="str">
        <f t="shared" si="30"/>
        <v>Error?</v>
      </c>
    </row>
    <row r="2034" spans="1:4" x14ac:dyDescent="0.2">
      <c r="A2034" s="5">
        <v>1973</v>
      </c>
      <c r="B2034" s="138">
        <f>'Cap Outlay Deprec 26'!H10</f>
        <v>633095</v>
      </c>
      <c r="D2034" s="2" t="str">
        <f t="shared" si="30"/>
        <v>Error?</v>
      </c>
    </row>
    <row r="2035" spans="1:4" x14ac:dyDescent="0.2">
      <c r="A2035" s="5">
        <v>1974</v>
      </c>
      <c r="B2035" s="138">
        <f>'Cap Outlay Deprec 26'!H12</f>
        <v>3932207</v>
      </c>
      <c r="D2035" s="2" t="str">
        <f t="shared" si="30"/>
        <v>Error?</v>
      </c>
    </row>
    <row r="2036" spans="1:4" x14ac:dyDescent="0.2">
      <c r="A2036" s="5">
        <v>1975</v>
      </c>
      <c r="B2036" s="138">
        <f>'Cap Outlay Deprec 26'!H13</f>
        <v>342279</v>
      </c>
      <c r="D2036" s="2" t="str">
        <f t="shared" si="30"/>
        <v>Error?</v>
      </c>
    </row>
    <row r="2037" spans="1:4" x14ac:dyDescent="0.2">
      <c r="A2037" s="5">
        <v>1976</v>
      </c>
      <c r="B2037" s="138">
        <f>'Cap Outlay Deprec 26'!H16</f>
        <v>19638983</v>
      </c>
      <c r="C2037" s="2" t="s">
        <v>594</v>
      </c>
      <c r="D2037" s="2" t="str">
        <f t="shared" si="30"/>
        <v>Error?</v>
      </c>
    </row>
    <row r="2038" spans="1:4" x14ac:dyDescent="0.2">
      <c r="A2038" s="10">
        <v>1977</v>
      </c>
      <c r="D2038" s="2" t="str">
        <f t="shared" si="30"/>
        <v>OK</v>
      </c>
    </row>
    <row r="2039" spans="1:4" x14ac:dyDescent="0.2">
      <c r="A2039" s="5">
        <v>1978</v>
      </c>
      <c r="B2039" s="138">
        <f>'Cap Outlay Deprec 26'!I8</f>
        <v>723173</v>
      </c>
      <c r="D2039" s="2" t="str">
        <f t="shared" si="30"/>
        <v>Error?</v>
      </c>
    </row>
    <row r="2040" spans="1:4" x14ac:dyDescent="0.2">
      <c r="A2040" s="5">
        <v>1979</v>
      </c>
      <c r="B2040" s="138">
        <f>'Cap Outlay Deprec 26'!I10</f>
        <v>16950</v>
      </c>
      <c r="D2040" s="2" t="str">
        <f t="shared" si="30"/>
        <v>Error?</v>
      </c>
    </row>
    <row r="2041" spans="1:4" x14ac:dyDescent="0.2">
      <c r="A2041" s="5">
        <v>1980</v>
      </c>
      <c r="B2041" s="138">
        <f>'Cap Outlay Deprec 26'!I12</f>
        <v>106444</v>
      </c>
      <c r="D2041" s="2" t="str">
        <f t="shared" si="30"/>
        <v>Error?</v>
      </c>
    </row>
    <row r="2042" spans="1:4" x14ac:dyDescent="0.2">
      <c r="A2042" s="5">
        <v>1981</v>
      </c>
      <c r="B2042" s="138">
        <f>'Cap Outlay Deprec 26'!I13</f>
        <v>52430</v>
      </c>
      <c r="D2042" s="2" t="str">
        <f t="shared" si="30"/>
        <v>Error?</v>
      </c>
    </row>
    <row r="2043" spans="1:4" x14ac:dyDescent="0.2">
      <c r="A2043" s="5">
        <v>1982</v>
      </c>
      <c r="B2043" s="138">
        <f>'Cap Outlay Deprec 26'!I16</f>
        <v>898997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15454575</v>
      </c>
      <c r="C2051" s="2" t="s">
        <v>594</v>
      </c>
      <c r="D2051" s="2" t="str">
        <f t="shared" si="31"/>
        <v>Error?</v>
      </c>
    </row>
    <row r="2052" spans="1:4" x14ac:dyDescent="0.2">
      <c r="A2052" s="5">
        <v>1991</v>
      </c>
      <c r="B2052" s="138">
        <f>'Cap Outlay Deprec 26'!K10</f>
        <v>650045</v>
      </c>
      <c r="C2052" s="2" t="s">
        <v>594</v>
      </c>
      <c r="D2052" s="2" t="str">
        <f t="shared" si="31"/>
        <v>Error?</v>
      </c>
    </row>
    <row r="2053" spans="1:4" x14ac:dyDescent="0.2">
      <c r="A2053" s="5">
        <v>1992</v>
      </c>
      <c r="B2053" s="138">
        <f>'Cap Outlay Deprec 26'!K12</f>
        <v>4038651</v>
      </c>
      <c r="C2053" s="2" t="s">
        <v>594</v>
      </c>
      <c r="D2053" s="2" t="str">
        <f t="shared" si="31"/>
        <v>Error?</v>
      </c>
    </row>
    <row r="2054" spans="1:4" x14ac:dyDescent="0.2">
      <c r="A2054" s="5">
        <v>1993</v>
      </c>
      <c r="B2054" s="138">
        <f>'Cap Outlay Deprec 26'!K13</f>
        <v>394709</v>
      </c>
      <c r="C2054" s="2" t="s">
        <v>594</v>
      </c>
      <c r="D2054" s="2" t="str">
        <f t="shared" si="31"/>
        <v>Error?</v>
      </c>
    </row>
    <row r="2055" spans="1:4" x14ac:dyDescent="0.2">
      <c r="A2055" s="5">
        <v>1994</v>
      </c>
      <c r="B2055" s="138">
        <f>'Cap Outlay Deprec 26'!K16</f>
        <v>20537980</v>
      </c>
      <c r="C2055" s="2" t="s">
        <v>594</v>
      </c>
      <c r="D2055" s="2" t="str">
        <f t="shared" si="31"/>
        <v>Error?</v>
      </c>
    </row>
    <row r="2056" spans="1:4" x14ac:dyDescent="0.2">
      <c r="A2056" s="5">
        <v>1995</v>
      </c>
      <c r="B2056" s="138">
        <f>'Cap Outlay Deprec 26'!L5</f>
        <v>1092698</v>
      </c>
      <c r="C2056" s="2" t="s">
        <v>594</v>
      </c>
      <c r="D2056" s="2" t="str">
        <f t="shared" si="31"/>
        <v>Error?</v>
      </c>
    </row>
    <row r="2057" spans="1:4" x14ac:dyDescent="0.2">
      <c r="A2057" s="5">
        <v>1996</v>
      </c>
      <c r="B2057" s="138">
        <f>'Cap Outlay Deprec 26'!L8</f>
        <v>14028633</v>
      </c>
      <c r="C2057" s="2" t="s">
        <v>594</v>
      </c>
      <c r="D2057" s="2" t="str">
        <f t="shared" si="31"/>
        <v>Error?</v>
      </c>
    </row>
    <row r="2058" spans="1:4" x14ac:dyDescent="0.2">
      <c r="A2058" s="5">
        <v>1997</v>
      </c>
      <c r="B2058" s="138">
        <f>'Cap Outlay Deprec 26'!L10</f>
        <v>73867</v>
      </c>
      <c r="C2058" s="2" t="s">
        <v>594</v>
      </c>
      <c r="D2058" s="2" t="str">
        <f t="shared" si="31"/>
        <v>Error?</v>
      </c>
    </row>
    <row r="2059" spans="1:4" x14ac:dyDescent="0.2">
      <c r="A2059" s="5">
        <v>1998</v>
      </c>
      <c r="B2059" s="138">
        <f>'Cap Outlay Deprec 26'!L12</f>
        <v>277798</v>
      </c>
      <c r="C2059" s="2" t="s">
        <v>594</v>
      </c>
      <c r="D2059" s="2" t="str">
        <f t="shared" si="31"/>
        <v>Error?</v>
      </c>
    </row>
    <row r="2060" spans="1:4" x14ac:dyDescent="0.2">
      <c r="A2060" s="5">
        <v>1999</v>
      </c>
      <c r="B2060" s="138">
        <f>'Cap Outlay Deprec 26'!L13</f>
        <v>169704</v>
      </c>
      <c r="C2060" s="2" t="s">
        <v>594</v>
      </c>
      <c r="D2060" s="2" t="str">
        <f t="shared" si="31"/>
        <v>Error?</v>
      </c>
    </row>
    <row r="2061" spans="1:4" x14ac:dyDescent="0.2">
      <c r="A2061" s="5">
        <v>2000</v>
      </c>
      <c r="B2061" s="138">
        <f>'Cap Outlay Deprec 26'!L16</f>
        <v>15642700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386478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1450666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52952</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1978700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1454008</v>
      </c>
      <c r="D2475" s="2" t="str">
        <f t="shared" si="37"/>
        <v>Error?</v>
      </c>
    </row>
    <row r="2476" spans="1:4" x14ac:dyDescent="0.2">
      <c r="A2476" s="10">
        <v>2415</v>
      </c>
      <c r="D2476" s="2" t="str">
        <f t="shared" si="37"/>
        <v>OK</v>
      </c>
    </row>
    <row r="2477" spans="1:4" x14ac:dyDescent="0.2">
      <c r="A2477" s="5">
        <v>2416</v>
      </c>
      <c r="B2477" s="138">
        <f>'Assets-Liab 5-6'!G38</f>
        <v>268243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1470354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65389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13332701</v>
      </c>
      <c r="C2551" s="2" t="s">
        <v>594</v>
      </c>
      <c r="D2551" s="2" t="str">
        <f t="shared" si="38"/>
        <v>Error?</v>
      </c>
    </row>
    <row r="2552" spans="1:4" x14ac:dyDescent="0.2">
      <c r="A2552" s="10">
        <v>2491</v>
      </c>
      <c r="D2552" s="2" t="str">
        <f t="shared" si="38"/>
        <v>OK</v>
      </c>
    </row>
    <row r="2553" spans="1:4" x14ac:dyDescent="0.2">
      <c r="A2553" s="5">
        <v>2492</v>
      </c>
      <c r="B2553" s="138">
        <f>'Acct Summary 7-8'!C6</f>
        <v>1212591</v>
      </c>
      <c r="C2553" s="2" t="s">
        <v>594</v>
      </c>
      <c r="D2553" s="2" t="str">
        <f t="shared" si="38"/>
        <v>Error?</v>
      </c>
    </row>
    <row r="2554" spans="1:4" x14ac:dyDescent="0.2">
      <c r="A2554" s="5">
        <v>2493</v>
      </c>
      <c r="B2554" s="138">
        <f>'Acct Summary 7-8'!C7</f>
        <v>968074</v>
      </c>
      <c r="C2554" s="2" t="s">
        <v>594</v>
      </c>
      <c r="D2554" s="2" t="str">
        <f t="shared" si="38"/>
        <v>Error?</v>
      </c>
    </row>
    <row r="2555" spans="1:4" x14ac:dyDescent="0.2">
      <c r="A2555" s="5">
        <v>2494</v>
      </c>
      <c r="B2555" s="138">
        <f>'Acct Summary 7-8'!C8</f>
        <v>15513366</v>
      </c>
      <c r="C2555" s="2" t="s">
        <v>594</v>
      </c>
      <c r="D2555" s="2" t="str">
        <f t="shared" si="38"/>
        <v>Error?</v>
      </c>
    </row>
    <row r="2556" spans="1:4" x14ac:dyDescent="0.2">
      <c r="A2556" s="5">
        <v>2495</v>
      </c>
      <c r="B2556" s="138">
        <f>'Acct Summary 7-8'!C12</f>
        <v>9003714</v>
      </c>
      <c r="C2556" s="2" t="s">
        <v>594</v>
      </c>
      <c r="D2556" s="2" t="str">
        <f t="shared" si="38"/>
        <v>Error?</v>
      </c>
    </row>
    <row r="2557" spans="1:4" x14ac:dyDescent="0.2">
      <c r="A2557" s="5">
        <v>2496</v>
      </c>
      <c r="B2557" s="138">
        <f>'Acct Summary 7-8'!C13</f>
        <v>3312894</v>
      </c>
      <c r="C2557" s="2" t="s">
        <v>594</v>
      </c>
      <c r="D2557" s="2" t="str">
        <f t="shared" si="38"/>
        <v>Error?</v>
      </c>
    </row>
    <row r="2558" spans="1:4" x14ac:dyDescent="0.2">
      <c r="A2558" s="5">
        <v>2497</v>
      </c>
      <c r="B2558" s="138">
        <f>'Acct Summary 7-8'!C14</f>
        <v>34709</v>
      </c>
      <c r="C2558" s="2" t="s">
        <v>594</v>
      </c>
      <c r="D2558" s="2" t="str">
        <f t="shared" si="38"/>
        <v>Error?</v>
      </c>
    </row>
    <row r="2559" spans="1:4" x14ac:dyDescent="0.2">
      <c r="A2559" s="5">
        <v>2498</v>
      </c>
      <c r="B2559" s="138">
        <f>'Acct Summary 7-8'!C15</f>
        <v>1450666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13801983</v>
      </c>
      <c r="C2561" s="2" t="s">
        <v>594</v>
      </c>
      <c r="D2561" s="2" t="str">
        <f t="shared" si="39"/>
        <v>Error?</v>
      </c>
    </row>
    <row r="2562" spans="1:4" x14ac:dyDescent="0.2">
      <c r="A2562" s="5">
        <v>2501</v>
      </c>
      <c r="B2562" s="138">
        <f>'Acct Summary 7-8'!C20</f>
        <v>1711383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1371393</v>
      </c>
      <c r="C2564" s="2" t="s">
        <v>594</v>
      </c>
      <c r="D2564" s="2" t="str">
        <f t="shared" si="39"/>
        <v>Error?</v>
      </c>
    </row>
    <row r="2565" spans="1:4" x14ac:dyDescent="0.2">
      <c r="A2565" s="10">
        <v>2504</v>
      </c>
      <c r="D2565" s="2" t="str">
        <f t="shared" si="39"/>
        <v>OK</v>
      </c>
    </row>
    <row r="2566" spans="1:4" x14ac:dyDescent="0.2">
      <c r="A2566" s="5">
        <v>2505</v>
      </c>
      <c r="B2566" s="138">
        <f>'Acct Summary 7-8'!D6</f>
        <v>595000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1966393</v>
      </c>
      <c r="C2568" s="2" t="s">
        <v>594</v>
      </c>
      <c r="D2568" s="2" t="str">
        <f t="shared" si="39"/>
        <v>Error?</v>
      </c>
    </row>
    <row r="2569" spans="1:4" x14ac:dyDescent="0.2">
      <c r="A2569" s="5">
        <v>2508</v>
      </c>
      <c r="B2569" s="138">
        <f>'Acct Summary 7-8'!D13</f>
        <v>2003322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52952</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2056274</v>
      </c>
      <c r="C2573" s="2" t="s">
        <v>594</v>
      </c>
      <c r="D2573" s="2" t="str">
        <f t="shared" si="39"/>
        <v>Error?</v>
      </c>
    </row>
    <row r="2574" spans="1:4" x14ac:dyDescent="0.2">
      <c r="A2574" s="5">
        <v>2513</v>
      </c>
      <c r="B2574" s="138">
        <f>'Acct Summary 7-8'!D20</f>
        <v>-89881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572208</v>
      </c>
      <c r="C2591" s="2" t="s">
        <v>594</v>
      </c>
      <c r="D2591" s="2" t="str">
        <f t="shared" si="39"/>
        <v>Error?</v>
      </c>
    </row>
    <row r="2592" spans="1:4" x14ac:dyDescent="0.2">
      <c r="A2592" s="10">
        <v>2531</v>
      </c>
      <c r="D2592" s="2" t="str">
        <f t="shared" si="39"/>
        <v>OK</v>
      </c>
    </row>
    <row r="2593" spans="1:4" x14ac:dyDescent="0.2">
      <c r="A2593" s="5">
        <v>2532</v>
      </c>
      <c r="B2593" s="138">
        <f>'Acct Summary 7-8'!F6</f>
        <v>363458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935666</v>
      </c>
      <c r="C2595" s="2" t="s">
        <v>594</v>
      </c>
      <c r="D2595" s="2" t="str">
        <f t="shared" si="39"/>
        <v>Error?</v>
      </c>
    </row>
    <row r="2596" spans="1:4" x14ac:dyDescent="0.2">
      <c r="A2596" s="5">
        <v>2535</v>
      </c>
      <c r="B2596" s="138">
        <f>'Acct Summary 7-8'!F13</f>
        <v>749805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45680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795485</v>
      </c>
      <c r="C2600" s="2" t="s">
        <v>594</v>
      </c>
      <c r="D2600" s="2" t="str">
        <f t="shared" si="39"/>
        <v>Error?</v>
      </c>
    </row>
    <row r="2601" spans="1:4" x14ac:dyDescent="0.2">
      <c r="A2601" s="5">
        <v>2540</v>
      </c>
      <c r="B2601" s="138">
        <f>'Acct Summary 7-8'!F20</f>
        <v>140181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383742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383742</v>
      </c>
      <c r="C2606" s="2" t="s">
        <v>594</v>
      </c>
      <c r="D2606" s="2" t="str">
        <f t="shared" si="39"/>
        <v>Error?</v>
      </c>
    </row>
    <row r="2607" spans="1:4" x14ac:dyDescent="0.2">
      <c r="A2607" s="5">
        <v>2546</v>
      </c>
      <c r="B2607" s="138">
        <f>'Acct Summary 7-8'!G12</f>
        <v>219736</v>
      </c>
      <c r="C2607" s="2" t="s">
        <v>594</v>
      </c>
      <c r="D2607" s="2" t="str">
        <f t="shared" si="39"/>
        <v>Error?</v>
      </c>
    </row>
    <row r="2608" spans="1:4" x14ac:dyDescent="0.2">
      <c r="A2608" s="5">
        <v>2547</v>
      </c>
      <c r="B2608" s="138">
        <f>'Acct Summary 7-8'!G13</f>
        <v>259494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479230</v>
      </c>
      <c r="C2612" s="2" t="s">
        <v>594</v>
      </c>
      <c r="D2612" s="2" t="str">
        <f t="shared" si="39"/>
        <v>Error?</v>
      </c>
    </row>
    <row r="2613" spans="1:4" x14ac:dyDescent="0.2">
      <c r="A2613" s="5">
        <v>2552</v>
      </c>
      <c r="B2613" s="138">
        <f>'Acct Summary 7-8'!G20</f>
        <v>-95488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2337209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2337209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2264587</v>
      </c>
      <c r="C2634" s="2" t="s">
        <v>594</v>
      </c>
      <c r="D2634" s="2" t="str">
        <f t="shared" si="40"/>
        <v>Error?</v>
      </c>
    </row>
    <row r="2635" spans="1:4" x14ac:dyDescent="0.2">
      <c r="A2635" s="5">
        <v>2574</v>
      </c>
      <c r="B2635" s="138">
        <f>'Acct Summary 7-8'!E17</f>
        <v>2264587</v>
      </c>
      <c r="C2635" s="2" t="s">
        <v>594</v>
      </c>
      <c r="D2635" s="2" t="str">
        <f t="shared" si="40"/>
        <v>Error?</v>
      </c>
    </row>
    <row r="2636" spans="1:4" x14ac:dyDescent="0.2">
      <c r="A2636" s="5">
        <v>2575</v>
      </c>
      <c r="B2636" s="138">
        <f>'Acct Summary 7-8'!E20</f>
        <v>72622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2767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2767</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2767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1064188</v>
      </c>
      <c r="C2789" s="2" t="s">
        <v>594</v>
      </c>
      <c r="D2789" s="2" t="str">
        <f t="shared" si="42"/>
        <v>Error?</v>
      </c>
    </row>
    <row r="2790" spans="1:4" x14ac:dyDescent="0.2">
      <c r="A2790" s="5">
        <v>2729</v>
      </c>
      <c r="B2790" s="138">
        <f>'Expenditures 15-22'!E102</f>
        <v>1064188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45680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45680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1711892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2241870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13852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2241870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2241870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13852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1064188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386478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1450666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52952</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45680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45680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145593</v>
      </c>
      <c r="D3055" s="2" t="str">
        <f t="shared" si="46"/>
        <v>Error?</v>
      </c>
    </row>
    <row r="3056" spans="1:4" x14ac:dyDescent="0.2">
      <c r="A3056" s="5">
        <v>2995</v>
      </c>
      <c r="B3056" s="138">
        <f>'Expenditures 15-22'!D10</f>
        <v>10577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2142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158312</v>
      </c>
      <c r="C3062" s="2" t="s">
        <v>594</v>
      </c>
      <c r="D3062" s="2" t="str">
        <f t="shared" si="46"/>
        <v>Error?</v>
      </c>
    </row>
    <row r="3063" spans="1:4" x14ac:dyDescent="0.2">
      <c r="A3063" s="10">
        <v>3002</v>
      </c>
      <c r="D3063" s="2" t="str">
        <f t="shared" si="46"/>
        <v>OK</v>
      </c>
    </row>
    <row r="3064" spans="1:4" x14ac:dyDescent="0.2">
      <c r="A3064" s="5">
        <v>3003</v>
      </c>
      <c r="B3064" s="138">
        <f>'Expenditures 15-22'!D219</f>
        <v>3954</v>
      </c>
      <c r="D3064" s="2" t="str">
        <f t="shared" si="46"/>
        <v>Error?</v>
      </c>
    </row>
    <row r="3065" spans="1:4" x14ac:dyDescent="0.2">
      <c r="A3065" s="5">
        <v>3004</v>
      </c>
      <c r="B3065" s="138">
        <f>'Expenditures 15-22'!K219</f>
        <v>3954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13852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98424</v>
      </c>
      <c r="C3225" s="2" t="s">
        <v>594</v>
      </c>
      <c r="D3225" s="2" t="str">
        <f t="shared" si="49"/>
        <v>Error?</v>
      </c>
    </row>
    <row r="3226" spans="1:4" x14ac:dyDescent="0.2">
      <c r="A3226" s="5">
        <v>3165</v>
      </c>
      <c r="B3226" s="138">
        <f>'Acct Summary 7-8'!I8</f>
        <v>98424</v>
      </c>
      <c r="C3226" s="2" t="s">
        <v>594</v>
      </c>
      <c r="D3226" s="2" t="str">
        <f t="shared" si="49"/>
        <v>Error?</v>
      </c>
    </row>
    <row r="3227" spans="1:4" x14ac:dyDescent="0.2">
      <c r="A3227" s="5">
        <v>3166</v>
      </c>
      <c r="B3227" s="138">
        <f>'Acct Summary 7-8'!I20</f>
        <v>98424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149436</v>
      </c>
      <c r="D3230" s="2" t="str">
        <f t="shared" si="49"/>
        <v>Error?</v>
      </c>
    </row>
    <row r="3231" spans="1:4" x14ac:dyDescent="0.2">
      <c r="A3231" s="5">
        <v>3170</v>
      </c>
      <c r="B3231" s="138">
        <f>'Acct Summary 7-8'!C76</f>
        <v>149436</v>
      </c>
      <c r="C3231" s="2" t="s">
        <v>594</v>
      </c>
      <c r="D3231" s="2" t="str">
        <f t="shared" si="49"/>
        <v>Error?</v>
      </c>
    </row>
    <row r="3232" spans="1:4" x14ac:dyDescent="0.2">
      <c r="A3232" s="5">
        <v>3171</v>
      </c>
      <c r="B3232" s="138">
        <f>'Acct Summary 7-8'!C77</f>
        <v>-149436</v>
      </c>
      <c r="C3232" s="2" t="s">
        <v>594</v>
      </c>
      <c r="D3232" s="2" t="str">
        <f t="shared" si="49"/>
        <v>Error?</v>
      </c>
    </row>
    <row r="3233" spans="1:4" x14ac:dyDescent="0.2">
      <c r="A3233" s="5">
        <v>3172</v>
      </c>
      <c r="B3233" s="138">
        <f>'Acct Summary 7-8'!C78</f>
        <v>1561947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-89881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140181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-95488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72622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2767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98424</v>
      </c>
      <c r="C3320" s="2" t="s">
        <v>594</v>
      </c>
      <c r="D3320" s="2" t="str">
        <f t="shared" si="50"/>
        <v>Error?</v>
      </c>
    </row>
    <row r="3321" spans="1:4" x14ac:dyDescent="0.2">
      <c r="A3321" s="5">
        <v>3260</v>
      </c>
      <c r="B3321" s="138">
        <f>'Acct Summary 7-8'!I79</f>
        <v>2143446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2241870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1452288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301783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269285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15602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1754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2042903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112035</v>
      </c>
      <c r="D3387" s="2" t="str">
        <f t="shared" si="51"/>
        <v>Error?</v>
      </c>
    </row>
    <row r="3388" spans="1:4" x14ac:dyDescent="0.2">
      <c r="A3388" s="5">
        <v>3327</v>
      </c>
      <c r="B3388" s="138">
        <f>'Expenditures 15-22'!D217</f>
        <v>95512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112035</v>
      </c>
      <c r="C3390" s="2" t="s">
        <v>594</v>
      </c>
      <c r="D3390" s="2" t="str">
        <f t="shared" si="51"/>
        <v>Error?</v>
      </c>
    </row>
    <row r="3391" spans="1:4" x14ac:dyDescent="0.2">
      <c r="A3391" s="5">
        <v>3330</v>
      </c>
      <c r="B3391" s="138">
        <f>'Expenditures 15-22'!K217</f>
        <v>95512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1862520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507514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204635</v>
      </c>
      <c r="D3417" s="2" t="str">
        <f t="shared" si="52"/>
        <v>Error?</v>
      </c>
    </row>
    <row r="3418" spans="1:4" x14ac:dyDescent="0.2">
      <c r="A3418" s="10">
        <v>3357</v>
      </c>
      <c r="D3418" s="2" t="str">
        <f t="shared" si="52"/>
        <v>OK</v>
      </c>
    </row>
    <row r="3419" spans="1:4" x14ac:dyDescent="0.2">
      <c r="A3419" s="5">
        <v>3358</v>
      </c>
      <c r="B3419" s="138">
        <f>'Assets-Liab 5-6'!F4</f>
        <v>477515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106343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2567</v>
      </c>
      <c r="D3425" s="2" t="str">
        <f t="shared" si="52"/>
        <v>Error?</v>
      </c>
    </row>
    <row r="3426" spans="1:4" x14ac:dyDescent="0.2">
      <c r="A3426" s="10">
        <v>3365</v>
      </c>
      <c r="D3426" s="2" t="str">
        <f t="shared" si="52"/>
        <v>OK</v>
      </c>
    </row>
    <row r="3427" spans="1:4" x14ac:dyDescent="0.2">
      <c r="A3427" s="5">
        <v>3366</v>
      </c>
      <c r="B3427" s="138">
        <f>'Assets-Liab 5-6'!I4</f>
        <v>529978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13852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-105913</v>
      </c>
      <c r="C3447" s="2" t="s">
        <v>594</v>
      </c>
      <c r="D3447" s="2" t="str">
        <f t="shared" si="52"/>
        <v>Error?</v>
      </c>
    </row>
    <row r="3448" spans="1:4" x14ac:dyDescent="0.2">
      <c r="A3448" s="5">
        <v>3387</v>
      </c>
      <c r="B3448" s="138">
        <f>'Tax Sched 23'!C16</f>
        <v>105913</v>
      </c>
      <c r="D3448" s="2" t="str">
        <f t="shared" si="52"/>
        <v>Error?</v>
      </c>
    </row>
    <row r="3449" spans="1:4" x14ac:dyDescent="0.2">
      <c r="A3449" s="5">
        <v>3388</v>
      </c>
      <c r="B3449" s="138">
        <f>'Tax Sched 23'!F16</f>
        <v>91136</v>
      </c>
      <c r="C3449" s="2" t="s">
        <v>594</v>
      </c>
      <c r="D3449" s="2" t="str">
        <f t="shared" si="52"/>
        <v>Error?</v>
      </c>
    </row>
    <row r="3450" spans="1:4" x14ac:dyDescent="0.2">
      <c r="A3450" s="5">
        <v>3389</v>
      </c>
      <c r="B3450" s="138">
        <f>'Tax Sched 23'!E16</f>
        <v>197049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802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802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802</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802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802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5501163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21014529</v>
      </c>
      <c r="C4122" s="2" t="s">
        <v>594</v>
      </c>
      <c r="D4122" s="2" t="str">
        <f t="shared" si="63"/>
        <v>Error?</v>
      </c>
    </row>
    <row r="4123" spans="1:4" x14ac:dyDescent="0.2">
      <c r="A4123" s="5">
        <v>4062</v>
      </c>
      <c r="B4123" s="138">
        <f>'Acct Summary 7-8'!D10</f>
        <v>1966393</v>
      </c>
      <c r="C4123" s="2" t="s">
        <v>594</v>
      </c>
      <c r="D4123" s="2" t="str">
        <f t="shared" si="63"/>
        <v>Error?</v>
      </c>
    </row>
    <row r="4124" spans="1:4" x14ac:dyDescent="0.2">
      <c r="A4124" s="5">
        <v>4063</v>
      </c>
      <c r="B4124" s="138">
        <f>'Acct Summary 7-8'!E10</f>
        <v>2337209</v>
      </c>
      <c r="C4124" s="2" t="s">
        <v>594</v>
      </c>
      <c r="D4124" s="2" t="str">
        <f t="shared" si="63"/>
        <v>Error?</v>
      </c>
    </row>
    <row r="4125" spans="1:4" x14ac:dyDescent="0.2">
      <c r="A4125" s="5">
        <v>4064</v>
      </c>
      <c r="B4125" s="138">
        <f>'Acct Summary 7-8'!F10</f>
        <v>935666</v>
      </c>
      <c r="C4125" s="2" t="s">
        <v>594</v>
      </c>
      <c r="D4125" s="2" t="str">
        <f t="shared" si="63"/>
        <v>Error?</v>
      </c>
    </row>
    <row r="4126" spans="1:4" x14ac:dyDescent="0.2">
      <c r="A4126" s="5">
        <v>4065</v>
      </c>
      <c r="B4126" s="138">
        <f>'Acct Summary 7-8'!G10</f>
        <v>383742</v>
      </c>
      <c r="C4126" s="2" t="s">
        <v>594</v>
      </c>
      <c r="D4126" s="2" t="str">
        <f t="shared" si="63"/>
        <v>Error?</v>
      </c>
    </row>
    <row r="4127" spans="1:4" x14ac:dyDescent="0.2">
      <c r="A4127" s="5">
        <v>4066</v>
      </c>
      <c r="B4127" s="138">
        <f>'Acct Summary 7-8'!H10</f>
        <v>2767</v>
      </c>
      <c r="C4127" s="2" t="s">
        <v>594</v>
      </c>
      <c r="D4127" s="2" t="str">
        <f t="shared" si="63"/>
        <v>Error?</v>
      </c>
    </row>
    <row r="4128" spans="1:4" x14ac:dyDescent="0.2">
      <c r="A4128" s="5">
        <v>4067</v>
      </c>
      <c r="B4128" s="138">
        <f>'Acct Summary 7-8'!I10</f>
        <v>98424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5501163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19303146</v>
      </c>
      <c r="C4136" s="2" t="s">
        <v>594</v>
      </c>
      <c r="D4136" s="2" t="str">
        <f t="shared" si="63"/>
        <v>Error?</v>
      </c>
    </row>
    <row r="4137" spans="1:4" x14ac:dyDescent="0.2">
      <c r="A4137" s="5">
        <v>4076</v>
      </c>
      <c r="B4137" s="138">
        <f>'Acct Summary 7-8'!D19</f>
        <v>2056274</v>
      </c>
      <c r="C4137" s="2" t="s">
        <v>594</v>
      </c>
      <c r="D4137" s="2" t="str">
        <f t="shared" si="63"/>
        <v>Error?</v>
      </c>
    </row>
    <row r="4138" spans="1:4" x14ac:dyDescent="0.2">
      <c r="A4138" s="5">
        <v>4077</v>
      </c>
      <c r="B4138" s="138">
        <f>'Acct Summary 7-8'!E19</f>
        <v>2264587</v>
      </c>
      <c r="C4138" s="2" t="s">
        <v>594</v>
      </c>
      <c r="D4138" s="2" t="str">
        <f t="shared" si="63"/>
        <v>Error?</v>
      </c>
    </row>
    <row r="4139" spans="1:4" x14ac:dyDescent="0.2">
      <c r="A4139" s="5">
        <v>4078</v>
      </c>
      <c r="B4139" s="138">
        <f>'Acct Summary 7-8'!F19</f>
        <v>795485</v>
      </c>
      <c r="C4139" s="2" t="s">
        <v>594</v>
      </c>
      <c r="D4139" s="2" t="str">
        <f t="shared" si="63"/>
        <v>Error?</v>
      </c>
    </row>
    <row r="4140" spans="1:4" x14ac:dyDescent="0.2">
      <c r="A4140" s="5">
        <v>4079</v>
      </c>
      <c r="B4140" s="138">
        <f>'Acct Summary 7-8'!G19</f>
        <v>479230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7932965</v>
      </c>
      <c r="C4171" s="2" t="s">
        <v>594</v>
      </c>
      <c r="D4171" s="2" t="str">
        <f t="shared" si="64"/>
        <v>Error?</v>
      </c>
    </row>
    <row r="4172" spans="1:4" x14ac:dyDescent="0.2">
      <c r="A4172" s="5">
        <v>4111</v>
      </c>
      <c r="B4172" s="138">
        <f>'Short-Term Long-Term Debt 24'!J49</f>
        <v>6462611</v>
      </c>
      <c r="C4172" s="2" t="s">
        <v>594</v>
      </c>
      <c r="D4172" s="2" t="str">
        <f t="shared" si="64"/>
        <v>Error?</v>
      </c>
    </row>
    <row r="4173" spans="1:4" x14ac:dyDescent="0.2">
      <c r="A4173" s="5">
        <v>4112</v>
      </c>
      <c r="B4173" s="138">
        <f>'Short-Term Long-Term Debt 24'!H49</f>
        <v>663033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-142147</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52952</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52952</v>
      </c>
      <c r="C4202" s="2" t="s">
        <v>594</v>
      </c>
      <c r="D4202" s="2" t="str">
        <f t="shared" si="64"/>
        <v>Error?</v>
      </c>
    </row>
    <row r="4203" spans="1:4" x14ac:dyDescent="0.2">
      <c r="A4203" s="5">
        <v>4142</v>
      </c>
      <c r="B4203" s="138">
        <f>'Expenditures 15-22'!E139</f>
        <v>52952</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2587</v>
      </c>
      <c r="C4265" s="2" t="s">
        <v>594</v>
      </c>
      <c r="D4265" s="2" t="str">
        <f t="shared" si="65"/>
        <v>Error?</v>
      </c>
      <c r="E4265" s="128"/>
    </row>
    <row r="4266" spans="1:5" x14ac:dyDescent="0.2">
      <c r="A4266" s="12">
        <v>4205</v>
      </c>
      <c r="B4266" s="138">
        <f>('FP Info 3'!F10)*100000</f>
        <v>216.3</v>
      </c>
      <c r="C4266" s="2" t="s">
        <v>594</v>
      </c>
      <c r="D4266" s="2" t="str">
        <f t="shared" si="65"/>
        <v>Error?</v>
      </c>
      <c r="E4266" s="128"/>
    </row>
    <row r="4267" spans="1:5" x14ac:dyDescent="0.2">
      <c r="A4267" s="12">
        <v>4206</v>
      </c>
      <c r="B4267" s="138">
        <f>('FP Info 3'!H10)*100000</f>
        <v>74</v>
      </c>
      <c r="C4267" s="2" t="s">
        <v>594</v>
      </c>
      <c r="D4267" s="2" t="str">
        <f t="shared" si="65"/>
        <v>Error?</v>
      </c>
      <c r="E4267" s="128"/>
    </row>
    <row r="4268" spans="1:5" x14ac:dyDescent="0.2">
      <c r="A4268" s="12">
        <v>4207</v>
      </c>
      <c r="B4268" s="138">
        <f>('FP Info 3'!J10)*100000</f>
        <v>2877</v>
      </c>
      <c r="C4268" s="2" t="s">
        <v>594</v>
      </c>
      <c r="D4268" s="2" t="str">
        <f t="shared" si="65"/>
        <v>Error?</v>
      </c>
    </row>
    <row r="4269" spans="1:5" x14ac:dyDescent="0.2">
      <c r="A4269" s="12">
        <v>4208</v>
      </c>
      <c r="B4269" s="138">
        <f>'FP Info 3'!J16</f>
        <v>13650017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47311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19050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44353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12.2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1193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574488096</v>
      </c>
      <c r="D4995" s="2" t="str">
        <f t="shared" si="77"/>
        <v>Error?</v>
      </c>
    </row>
    <row r="4996" spans="1:4" x14ac:dyDescent="0.2">
      <c r="A4996" s="12">
        <v>4935</v>
      </c>
      <c r="B4996" s="138">
        <f>'FP Info 3'!H31</f>
        <v>39639678.624000005</v>
      </c>
      <c r="D4996" s="2" t="str">
        <f t="shared" si="77"/>
        <v>Error?</v>
      </c>
    </row>
    <row r="4997" spans="1:4" x14ac:dyDescent="0.2">
      <c r="A4997" s="12">
        <v>4936</v>
      </c>
      <c r="B4997" s="138">
        <f>'FP Info 3'!H37</f>
        <v>7932965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11941450</v>
      </c>
      <c r="D5061" s="2" t="str">
        <f t="shared" si="78"/>
        <v>Error?</v>
      </c>
    </row>
    <row r="5062" spans="1:4" x14ac:dyDescent="0.2">
      <c r="A5062" s="10">
        <v>5001</v>
      </c>
      <c r="D5062" s="2" t="str">
        <f t="shared" si="78"/>
        <v>OK</v>
      </c>
    </row>
    <row r="5063" spans="1:4" x14ac:dyDescent="0.2">
      <c r="A5063" s="5">
        <v>5002</v>
      </c>
      <c r="B5063" s="138">
        <f>'Revenues 9-14'!C7</f>
        <v>480154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12421604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58929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58929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77959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77959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3237</v>
      </c>
      <c r="D5094" s="2" t="str">
        <f t="shared" si="78"/>
        <v>Error?</v>
      </c>
    </row>
    <row r="5095" spans="1:4" x14ac:dyDescent="0.2">
      <c r="A5095" s="5">
        <v>5034</v>
      </c>
      <c r="B5095" s="138">
        <f>'Revenues 9-14'!C74</f>
        <v>9088</v>
      </c>
      <c r="D5095" s="2" t="str">
        <f t="shared" si="78"/>
        <v>Error?</v>
      </c>
    </row>
    <row r="5096" spans="1:4" x14ac:dyDescent="0.2">
      <c r="A5096" s="5">
        <v>5035</v>
      </c>
      <c r="B5096" s="138">
        <f>'Revenues 9-14'!C75</f>
        <v>215885</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86715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7905</v>
      </c>
      <c r="D5101" s="2" t="str">
        <f t="shared" si="78"/>
        <v>Error?</v>
      </c>
    </row>
    <row r="5102" spans="1:4" x14ac:dyDescent="0.2">
      <c r="A5102" s="5">
        <v>5041</v>
      </c>
      <c r="B5102" s="138">
        <f>'Revenues 9-14'!C82</f>
        <v>94620</v>
      </c>
      <c r="C5102" s="2" t="s">
        <v>594</v>
      </c>
      <c r="D5102" s="2" t="str">
        <f t="shared" si="78"/>
        <v>Error?</v>
      </c>
    </row>
    <row r="5103" spans="1:4" x14ac:dyDescent="0.2">
      <c r="A5103" s="5">
        <v>5042</v>
      </c>
      <c r="B5103" s="138">
        <f>'Revenues 9-14'!C84</f>
        <v>347001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347001</v>
      </c>
      <c r="C5112" s="2" t="s">
        <v>594</v>
      </c>
      <c r="D5112" s="2" t="str">
        <f t="shared" si="78"/>
        <v>Error?</v>
      </c>
    </row>
    <row r="5113" spans="1:4" x14ac:dyDescent="0.2">
      <c r="A5113" s="5">
        <v>5052</v>
      </c>
      <c r="B5113" s="138">
        <f>'Revenues 9-14'!C95</f>
        <v>36593</v>
      </c>
      <c r="D5113" s="2" t="str">
        <f t="shared" si="78"/>
        <v>Error?</v>
      </c>
    </row>
    <row r="5114" spans="1:4" x14ac:dyDescent="0.2">
      <c r="A5114" s="5">
        <v>5053</v>
      </c>
      <c r="B5114" s="138">
        <f>'Revenues 9-14'!C96</f>
        <v>19335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60475</v>
      </c>
      <c r="D5119" s="2" t="str">
        <f t="shared" ref="D5119:D5182" si="79">IF(ISBLANK(B5119),"OK",IF(A5119-B5119=0,"OK","Error?"))</f>
        <v>Error?</v>
      </c>
    </row>
    <row r="5120" spans="1:4" x14ac:dyDescent="0.2">
      <c r="A5120" s="5">
        <v>5059</v>
      </c>
      <c r="B5120" s="138">
        <f>'Revenues 9-14'!C108</f>
        <v>116703</v>
      </c>
      <c r="C5120" s="2" t="s">
        <v>594</v>
      </c>
      <c r="D5120" s="2" t="str">
        <f t="shared" si="79"/>
        <v>Error?</v>
      </c>
    </row>
    <row r="5121" spans="1:4" x14ac:dyDescent="0.2">
      <c r="A5121" s="5">
        <v>5060</v>
      </c>
      <c r="B5121" s="138">
        <f>'Revenues 9-14'!C109</f>
        <v>13332701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758159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758159</v>
      </c>
      <c r="C5132" s="2" t="s">
        <v>594</v>
      </c>
      <c r="D5132" s="2" t="str">
        <f t="shared" si="79"/>
        <v>Error?</v>
      </c>
    </row>
    <row r="5133" spans="1:4" x14ac:dyDescent="0.2">
      <c r="A5133" s="5">
        <v>5072</v>
      </c>
      <c r="B5133" s="138">
        <f>'Revenues 9-14'!C124</f>
        <v>155525</v>
      </c>
      <c r="D5133" s="2" t="str">
        <f t="shared" si="79"/>
        <v>Error?</v>
      </c>
    </row>
    <row r="5134" spans="1:4" x14ac:dyDescent="0.2">
      <c r="A5134" s="5">
        <v>5073</v>
      </c>
      <c r="B5134" s="138">
        <f>'Revenues 9-14'!C125</f>
        <v>95804</v>
      </c>
      <c r="D5134" s="2" t="str">
        <f t="shared" si="79"/>
        <v>Error?</v>
      </c>
    </row>
    <row r="5135" spans="1:4" x14ac:dyDescent="0.2">
      <c r="A5135" s="5">
        <v>5074</v>
      </c>
      <c r="B5135" s="138">
        <f>'Revenues 9-14'!C126</f>
        <v>192546</v>
      </c>
      <c r="D5135" s="2" t="str">
        <f t="shared" si="79"/>
        <v>Error?</v>
      </c>
    </row>
    <row r="5136" spans="1:4" x14ac:dyDescent="0.2">
      <c r="A5136" s="10">
        <v>5075</v>
      </c>
      <c r="D5136" s="2" t="str">
        <f t="shared" si="79"/>
        <v>OK</v>
      </c>
    </row>
    <row r="5137" spans="1:4" x14ac:dyDescent="0.2">
      <c r="A5137" s="5">
        <v>5076</v>
      </c>
      <c r="B5137" s="138">
        <f>'Revenues 9-14'!C127</f>
        <v>-3736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1908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442047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1328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1328</v>
      </c>
      <c r="C5161" s="2" t="s">
        <v>594</v>
      </c>
      <c r="D5161" s="2" t="str">
        <f t="shared" si="79"/>
        <v>Error?</v>
      </c>
    </row>
    <row r="5162" spans="1:4" x14ac:dyDescent="0.2">
      <c r="A5162" s="10">
        <v>5101</v>
      </c>
      <c r="D5162" s="2" t="str">
        <f t="shared" si="79"/>
        <v>OK</v>
      </c>
    </row>
    <row r="5163" spans="1:4" x14ac:dyDescent="0.2">
      <c r="A5163" s="5">
        <v>5102</v>
      </c>
      <c r="B5163" s="138">
        <f>'Revenues 9-14'!C142</f>
        <v>7993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7993</v>
      </c>
      <c r="C5165" s="2" t="s">
        <v>594</v>
      </c>
      <c r="D5165" s="2" t="str">
        <f t="shared" si="79"/>
        <v>Error?</v>
      </c>
    </row>
    <row r="5166" spans="1:4" x14ac:dyDescent="0.2">
      <c r="A5166" s="10">
        <v>5105</v>
      </c>
      <c r="D5166" s="2" t="str">
        <f t="shared" si="79"/>
        <v>OK</v>
      </c>
    </row>
    <row r="5167" spans="1:4" x14ac:dyDescent="0.2">
      <c r="A5167" s="5">
        <v>5106</v>
      </c>
      <c r="B5167" s="138">
        <f>'Revenues 9-14'!C145</f>
        <v>951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2113</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454432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1212591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90239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90239</v>
      </c>
      <c r="C5246" s="2" t="s">
        <v>594</v>
      </c>
      <c r="D5246" s="2" t="str">
        <f t="shared" si="80"/>
        <v>Error?</v>
      </c>
    </row>
    <row r="5247" spans="1:4" x14ac:dyDescent="0.2">
      <c r="A5247" s="5">
        <v>5186</v>
      </c>
      <c r="B5247" s="138">
        <f>'Revenues 9-14'!C203</f>
        <v>147481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147481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44130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574317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618447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968074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968074</v>
      </c>
      <c r="C5326" s="2" t="s">
        <v>594</v>
      </c>
      <c r="D5326" s="2" t="str">
        <f t="shared" si="82"/>
        <v>Error?</v>
      </c>
    </row>
    <row r="5327" spans="1:4" x14ac:dyDescent="0.2">
      <c r="A5327" s="5">
        <v>5266</v>
      </c>
      <c r="B5327" s="138">
        <f>'Revenues 9-14'!C275</f>
        <v>15513366</v>
      </c>
      <c r="C5327" s="2" t="s">
        <v>594</v>
      </c>
      <c r="D5327" s="2" t="str">
        <f t="shared" si="82"/>
        <v>Error?</v>
      </c>
    </row>
    <row r="5328" spans="1:4" x14ac:dyDescent="0.2">
      <c r="A5328" s="5">
        <v>5267</v>
      </c>
      <c r="B5328" s="138">
        <f>'Revenues 9-14'!D5</f>
        <v>1254440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1254440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25992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25992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24065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5194</v>
      </c>
      <c r="D5354" s="2" t="str">
        <f t="shared" si="82"/>
        <v>Error?</v>
      </c>
    </row>
    <row r="5355" spans="1:4" x14ac:dyDescent="0.2">
      <c r="A5355" s="5">
        <v>5294</v>
      </c>
      <c r="B5355" s="138">
        <f>'Revenues 9-14'!D108</f>
        <v>90961</v>
      </c>
      <c r="C5355" s="2" t="s">
        <v>594</v>
      </c>
      <c r="D5355" s="2" t="str">
        <f t="shared" si="82"/>
        <v>Error?</v>
      </c>
    </row>
    <row r="5356" spans="1:4" x14ac:dyDescent="0.2">
      <c r="A5356" s="5">
        <v>5295</v>
      </c>
      <c r="B5356" s="138">
        <f>'Revenues 9-14'!D109</f>
        <v>1371393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595000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595000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595000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1966393</v>
      </c>
      <c r="C5508" s="2" t="s">
        <v>594</v>
      </c>
      <c r="D5508" s="2" t="str">
        <f t="shared" si="85"/>
        <v>Error?</v>
      </c>
    </row>
    <row r="5509" spans="1:4" x14ac:dyDescent="0.2">
      <c r="A5509" s="5">
        <v>5448</v>
      </c>
      <c r="B5509" s="138">
        <f>'Revenues 9-14'!E5</f>
        <v>2325138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2325138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12071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12071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2337209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2337209</v>
      </c>
      <c r="C5552" s="2" t="s">
        <v>594</v>
      </c>
      <c r="D5552" s="2" t="str">
        <f t="shared" si="85"/>
        <v>Error?</v>
      </c>
    </row>
    <row r="5553" spans="1:4" x14ac:dyDescent="0.2">
      <c r="A5553" s="5">
        <v>5492</v>
      </c>
      <c r="B5553" s="138">
        <f>'Revenues 9-14'!F5</f>
        <v>384876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384876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165583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4250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169833</v>
      </c>
      <c r="C5579" s="2" t="s">
        <v>594</v>
      </c>
      <c r="D5579" s="2" t="str">
        <f t="shared" si="86"/>
        <v>Error?</v>
      </c>
    </row>
    <row r="5580" spans="1:4" x14ac:dyDescent="0.2">
      <c r="A5580" s="5">
        <v>5519</v>
      </c>
      <c r="B5580" s="138">
        <f>'Revenues 9-14'!F65</f>
        <v>16287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16287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1212</v>
      </c>
      <c r="D5586" s="2" t="str">
        <f t="shared" si="86"/>
        <v>Error?</v>
      </c>
    </row>
    <row r="5587" spans="1:4" x14ac:dyDescent="0.2">
      <c r="A5587" s="5">
        <v>5526</v>
      </c>
      <c r="B5587" s="138">
        <f>'Revenues 9-14'!F108</f>
        <v>1212</v>
      </c>
      <c r="C5587" s="2" t="s">
        <v>594</v>
      </c>
      <c r="D5587" s="2" t="str">
        <f t="shared" si="86"/>
        <v>Error?</v>
      </c>
    </row>
    <row r="5588" spans="1:4" x14ac:dyDescent="0.2">
      <c r="A5588" s="5">
        <v>5527</v>
      </c>
      <c r="B5588" s="138">
        <f>'Revenues 9-14'!F109</f>
        <v>572208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17052</v>
      </c>
      <c r="D5615" s="2" t="str">
        <f t="shared" si="86"/>
        <v>Error?</v>
      </c>
    </row>
    <row r="5616" spans="1:4" x14ac:dyDescent="0.2">
      <c r="A5616" s="10">
        <v>5555</v>
      </c>
      <c r="D5616" s="2" t="str">
        <f t="shared" si="86"/>
        <v>OK</v>
      </c>
    </row>
    <row r="5617" spans="1:4" x14ac:dyDescent="0.2">
      <c r="A5617" s="5">
        <v>5556</v>
      </c>
      <c r="B5617" s="138">
        <f>'Revenues 9-14'!F152</f>
        <v>346406</v>
      </c>
      <c r="D5617" s="2" t="str">
        <f t="shared" si="86"/>
        <v>Error?</v>
      </c>
    </row>
    <row r="5618" spans="1:4" x14ac:dyDescent="0.2">
      <c r="A5618" s="5">
        <v>5557</v>
      </c>
      <c r="B5618" s="138">
        <f>'Revenues 9-14'!F154</f>
        <v>363458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363458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363458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935666</v>
      </c>
      <c r="C5720" s="2" t="s">
        <v>594</v>
      </c>
      <c r="D5720" s="2" t="str">
        <f t="shared" si="88"/>
        <v>Error?</v>
      </c>
    </row>
    <row r="5721" spans="1:4" x14ac:dyDescent="0.2">
      <c r="A5721" s="5">
        <v>5660</v>
      </c>
      <c r="B5721" s="138">
        <f>'Revenues 9-14'!G5</f>
        <v>332375</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332375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48215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48215</v>
      </c>
      <c r="C5730" s="2" t="s">
        <v>594</v>
      </c>
      <c r="D5730" s="2" t="str">
        <f t="shared" si="88"/>
        <v>Error?</v>
      </c>
    </row>
    <row r="5731" spans="1:4" x14ac:dyDescent="0.2">
      <c r="A5731" s="5">
        <v>5670</v>
      </c>
      <c r="B5731" s="138">
        <f>'Revenues 9-14'!G65</f>
        <v>3152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3152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383742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2767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2767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2767</v>
      </c>
      <c r="C5915" s="2" t="s">
        <v>594</v>
      </c>
      <c r="D5915" s="2" t="str">
        <f t="shared" si="91"/>
        <v>Error?</v>
      </c>
    </row>
    <row r="5916" spans="1:4" x14ac:dyDescent="0.2">
      <c r="A5916" s="5">
        <v>5855</v>
      </c>
      <c r="B5916" s="138">
        <f>'Revenues 9-14'!I5</f>
        <v>70564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70564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27860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27860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98424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383742</v>
      </c>
      <c r="C6024" s="2" t="s">
        <v>594</v>
      </c>
      <c r="D6024" s="2" t="str">
        <f t="shared" si="93"/>
        <v>Error?</v>
      </c>
    </row>
    <row r="6025" spans="1:5" x14ac:dyDescent="0.2">
      <c r="A6025" s="5">
        <v>5964</v>
      </c>
      <c r="B6025" s="138">
        <f>'Revenues 9-14'!H109</f>
        <v>2767</v>
      </c>
      <c r="C6025" s="2" t="s">
        <v>594</v>
      </c>
      <c r="D6025" s="2" t="str">
        <f t="shared" si="93"/>
        <v>Error?</v>
      </c>
    </row>
    <row r="6026" spans="1:5" x14ac:dyDescent="0.2">
      <c r="A6026" s="5">
        <v>5965</v>
      </c>
      <c r="B6026" s="138">
        <f>'Revenues 9-14'!I109</f>
        <v>98424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203560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25632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1460.54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116906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116906</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116906</v>
      </c>
      <c r="D6216" s="2" t="str">
        <f t="shared" si="96"/>
        <v>Error?</v>
      </c>
      <c r="E6216" s="2" t="s">
        <v>199</v>
      </c>
    </row>
    <row r="6217" spans="1:5" x14ac:dyDescent="0.2">
      <c r="A6217">
        <v>6156</v>
      </c>
      <c r="B6217" s="138">
        <f>'Assets-Liab 5-6'!J4</f>
        <v>606</v>
      </c>
      <c r="D6217" s="2" t="str">
        <f t="shared" si="96"/>
        <v>Error?</v>
      </c>
      <c r="E6217" s="2" t="s">
        <v>199</v>
      </c>
    </row>
    <row r="6218" spans="1:5" x14ac:dyDescent="0.2">
      <c r="A6218">
        <v>6157</v>
      </c>
      <c r="B6218" s="138">
        <f>'Assets-Liab 5-6'!J5</f>
        <v>116300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146661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146661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146661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153628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153628</v>
      </c>
      <c r="D6229" s="2" t="str">
        <f t="shared" si="96"/>
        <v>Error?</v>
      </c>
      <c r="E6229" s="2" t="s">
        <v>199</v>
      </c>
    </row>
    <row r="6230" spans="1:5" x14ac:dyDescent="0.2">
      <c r="A6230">
        <v>6169</v>
      </c>
      <c r="B6230" s="138">
        <f>'Acct Summary 7-8'!J20</f>
        <v>-6967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-6967</v>
      </c>
      <c r="D6263" s="2" t="str">
        <f t="shared" si="96"/>
        <v>Error?</v>
      </c>
      <c r="E6263" s="2" t="s">
        <v>199</v>
      </c>
    </row>
    <row r="6264" spans="1:5" x14ac:dyDescent="0.2">
      <c r="A6264">
        <v>6203</v>
      </c>
      <c r="B6264" s="138">
        <f>'Acct Summary 7-8'!J79</f>
        <v>123873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116906</v>
      </c>
      <c r="D6266" s="2" t="str">
        <f t="shared" si="96"/>
        <v>Error?</v>
      </c>
      <c r="E6266" s="2" t="s">
        <v>199</v>
      </c>
    </row>
    <row r="6267" spans="1:5" x14ac:dyDescent="0.2">
      <c r="A6267">
        <v>6206</v>
      </c>
      <c r="B6267" s="138">
        <f>'Acct Summary 7-8'!C82</f>
        <v>1561947</v>
      </c>
      <c r="D6267" s="2" t="str">
        <f t="shared" si="96"/>
        <v>Error?</v>
      </c>
      <c r="E6267" s="2" t="s">
        <v>199</v>
      </c>
    </row>
    <row r="6268" spans="1:5" x14ac:dyDescent="0.2">
      <c r="A6268">
        <v>6207</v>
      </c>
      <c r="B6268" s="138">
        <f>'Acct Summary 7-8'!D82</f>
        <v>-89881</v>
      </c>
      <c r="D6268" s="2" t="str">
        <f t="shared" si="96"/>
        <v>Error?</v>
      </c>
      <c r="E6268" s="2" t="s">
        <v>199</v>
      </c>
    </row>
    <row r="6269" spans="1:5" x14ac:dyDescent="0.2">
      <c r="A6269">
        <v>6208</v>
      </c>
      <c r="B6269" s="138">
        <f>'Acct Summary 7-8'!E82</f>
        <v>72622</v>
      </c>
      <c r="D6269" s="2" t="str">
        <f t="shared" si="96"/>
        <v>Error?</v>
      </c>
      <c r="E6269" s="2" t="s">
        <v>199</v>
      </c>
    </row>
    <row r="6270" spans="1:5" x14ac:dyDescent="0.2">
      <c r="A6270">
        <v>6209</v>
      </c>
      <c r="B6270" s="138">
        <f>'Acct Summary 7-8'!F82</f>
        <v>140181</v>
      </c>
      <c r="D6270" s="2" t="str">
        <f t="shared" si="96"/>
        <v>Error?</v>
      </c>
      <c r="E6270" s="2" t="s">
        <v>199</v>
      </c>
    </row>
    <row r="6271" spans="1:5" x14ac:dyDescent="0.2">
      <c r="A6271">
        <v>6210</v>
      </c>
      <c r="B6271" s="138">
        <f>'Acct Summary 7-8'!G82</f>
        <v>-95488</v>
      </c>
      <c r="D6271" s="2" t="str">
        <f t="shared" ref="D6271:D6334" si="97">IF(ISBLANK(B6271),"OK",IF(A6271-B6271=0,"OK","Error?"))</f>
        <v>Error?</v>
      </c>
      <c r="E6271" s="2" t="s">
        <v>199</v>
      </c>
    </row>
    <row r="6272" spans="1:5" x14ac:dyDescent="0.2">
      <c r="A6272">
        <v>6211</v>
      </c>
      <c r="B6272" s="138">
        <f>'Acct Summary 7-8'!H82</f>
        <v>2767</v>
      </c>
      <c r="D6272" s="2" t="str">
        <f t="shared" si="97"/>
        <v>Error?</v>
      </c>
      <c r="E6272" s="2" t="s">
        <v>199</v>
      </c>
    </row>
    <row r="6273" spans="1:5" x14ac:dyDescent="0.2">
      <c r="A6273">
        <v>6212</v>
      </c>
      <c r="B6273" s="138">
        <f>'Acct Summary 7-8'!I82</f>
        <v>98424</v>
      </c>
      <c r="D6273" s="2" t="str">
        <f t="shared" si="97"/>
        <v>Error?</v>
      </c>
      <c r="E6273" s="2" t="s">
        <v>199</v>
      </c>
    </row>
    <row r="6274" spans="1:5" x14ac:dyDescent="0.2">
      <c r="A6274">
        <v>6213</v>
      </c>
      <c r="B6274" s="138">
        <f>'Acct Summary 7-8'!J82</f>
        <v>-6967</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0.19584464253315712</v>
      </c>
      <c r="D6276" s="2" t="str">
        <f t="shared" si="97"/>
        <v>Error?</v>
      </c>
      <c r="E6276" s="2" t="s">
        <v>199</v>
      </c>
    </row>
    <row r="6277" spans="1:5" x14ac:dyDescent="0.2">
      <c r="A6277">
        <v>6216</v>
      </c>
      <c r="B6277" s="138">
        <f>'Acct Summary 7-8'!D83</f>
        <v>-4.5424268459089298E-2</v>
      </c>
      <c r="D6277" s="2" t="str">
        <f t="shared" si="97"/>
        <v>Error?</v>
      </c>
      <c r="E6277" s="2" t="s">
        <v>199</v>
      </c>
    </row>
    <row r="6278" spans="1:5" x14ac:dyDescent="0.2">
      <c r="A6278">
        <v>6217</v>
      </c>
      <c r="B6278" s="138">
        <f>'Acct Summary 7-8'!E83</f>
        <v>4.9390826970919927E-2</v>
      </c>
      <c r="D6278" s="2" t="str">
        <f t="shared" si="97"/>
        <v>Error?</v>
      </c>
      <c r="E6278" s="2" t="s">
        <v>199</v>
      </c>
    </row>
    <row r="6279" spans="1:5" x14ac:dyDescent="0.2">
      <c r="A6279">
        <v>6218</v>
      </c>
      <c r="B6279" s="138">
        <f>'Acct Summary 7-8'!F83</f>
        <v>9.6410061017545984E-2</v>
      </c>
      <c r="D6279" s="2" t="str">
        <f t="shared" si="97"/>
        <v>Error?</v>
      </c>
      <c r="E6279" s="2" t="s">
        <v>199</v>
      </c>
    </row>
    <row r="6280" spans="1:5" x14ac:dyDescent="0.2">
      <c r="A6280">
        <v>6219</v>
      </c>
      <c r="B6280" s="138">
        <f>'Acct Summary 7-8'!G83</f>
        <v>-0.35597573841628671</v>
      </c>
      <c r="D6280" s="2" t="str">
        <f t="shared" si="97"/>
        <v>Error?</v>
      </c>
      <c r="E6280" s="2" t="s">
        <v>199</v>
      </c>
    </row>
    <row r="6281" spans="1:5" x14ac:dyDescent="0.2">
      <c r="A6281">
        <v>6220</v>
      </c>
      <c r="B6281" s="138">
        <f>'Acct Summary 7-8'!H83</f>
        <v>4.2315985869182893E-2</v>
      </c>
      <c r="D6281" s="2" t="str">
        <f t="shared" si="97"/>
        <v>Error?</v>
      </c>
      <c r="E6281" s="2" t="s">
        <v>199</v>
      </c>
    </row>
    <row r="6282" spans="1:5" x14ac:dyDescent="0.2">
      <c r="A6282">
        <v>6221</v>
      </c>
      <c r="B6282" s="138">
        <f>'Acct Summary 7-8'!I83</f>
        <v>4.3902634853938902E-2</v>
      </c>
      <c r="D6282" s="2" t="str">
        <f t="shared" si="97"/>
        <v>Error?</v>
      </c>
      <c r="E6282" s="2" t="s">
        <v>199</v>
      </c>
    </row>
    <row r="6283" spans="1:5" x14ac:dyDescent="0.2">
      <c r="A6283">
        <v>6222</v>
      </c>
      <c r="B6283" s="138">
        <f>'Acct Summary 7-8'!J83</f>
        <v>-5.9594888200776693E-2</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145860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145860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801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801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61702</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146661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66535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1917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85842</v>
      </c>
      <c r="D6848" s="2" t="str">
        <f t="shared" si="106"/>
        <v>Error?</v>
      </c>
    </row>
    <row r="6849" spans="1:4" x14ac:dyDescent="0.2">
      <c r="A6849">
        <v>6788</v>
      </c>
      <c r="B6849" s="138">
        <f>'Expenditures 15-22'!I8</f>
        <v>2191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4108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960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960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12986</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12986</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20416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20416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34362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38470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5730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5730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5730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153628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5730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146661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4328</v>
      </c>
      <c r="D7073" s="2" t="str">
        <f t="shared" si="109"/>
        <v>Error?</v>
      </c>
    </row>
    <row r="7074" spans="1:4" x14ac:dyDescent="0.2">
      <c r="A7074">
        <v>7013</v>
      </c>
      <c r="B7074" s="138">
        <f>'Expenditures 15-22'!K216</f>
        <v>4328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75627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75627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78001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78001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153628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153628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153628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153628</v>
      </c>
      <c r="D7224" s="2" t="str">
        <f t="shared" si="111"/>
        <v>Error?</v>
      </c>
    </row>
    <row r="7225" spans="1:4" x14ac:dyDescent="0.2">
      <c r="A7225">
        <v>7164</v>
      </c>
      <c r="B7225" s="138">
        <f>'Expenditures 15-22'!K343</f>
        <v>-6967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18307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1000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44200</v>
      </c>
      <c r="D7624" s="2" t="str">
        <f t="shared" si="124"/>
        <v>Error?</v>
      </c>
      <c r="E7624" s="2" t="s">
        <v>19</v>
      </c>
    </row>
    <row r="7625" spans="1:5" x14ac:dyDescent="0.2">
      <c r="A7625">
        <f t="shared" si="123"/>
        <v>7564</v>
      </c>
      <c r="B7625" s="138">
        <f>'Cap Outlay Deprec 26'!I17</f>
        <v>4420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903417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480860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807333</v>
      </c>
      <c r="D7759" s="2" t="str">
        <f t="shared" si="127"/>
        <v>Error?</v>
      </c>
      <c r="E7759" s="4" t="s">
        <v>1400</v>
      </c>
    </row>
    <row r="7760" spans="1:6" x14ac:dyDescent="0.2">
      <c r="A7760">
        <v>7699</v>
      </c>
      <c r="B7760" s="138">
        <f>'Aud Quest 2'!J90</f>
        <v>807334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1010294</v>
      </c>
      <c r="D7797" s="2" t="str">
        <f t="shared" si="127"/>
        <v>Error?</v>
      </c>
      <c r="E7797" s="4" t="s">
        <v>2020</v>
      </c>
    </row>
    <row r="7798" spans="1:5" x14ac:dyDescent="0.2">
      <c r="A7798">
        <v>7737</v>
      </c>
      <c r="B7798" s="138">
        <f>'Contracts Paid in CY 29'!F141</f>
        <v>150321</v>
      </c>
      <c r="D7798" s="2" t="str">
        <f t="shared" si="127"/>
        <v>Error?</v>
      </c>
      <c r="E7798" s="4" t="s">
        <v>2020</v>
      </c>
    </row>
    <row r="7799" spans="1:5" x14ac:dyDescent="0.2">
      <c r="A7799">
        <v>7738</v>
      </c>
      <c r="B7799" s="138">
        <f>'Contracts Paid in CY 29'!G141</f>
        <v>859973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60"/>
  <sheetViews>
    <sheetView showGridLines="0" showZeros="0" topLeftCell="A7"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Mokena School District 159</v>
      </c>
      <c r="B7" s="2421"/>
      <c r="C7" s="2421"/>
      <c r="D7" s="2422"/>
      <c r="E7" s="2423">
        <f>COVER!A13</f>
        <v>56099159002</v>
      </c>
      <c r="F7" s="2424"/>
      <c r="G7" s="2430" t="str">
        <f>COVER!T23</f>
        <v>065-033233</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Lauterbach &amp; Amen, LLP</v>
      </c>
      <c r="H9" s="2436"/>
      <c r="I9" s="2436"/>
      <c r="J9" s="2436"/>
      <c r="K9" s="2436"/>
      <c r="L9" s="2437"/>
    </row>
    <row r="10" spans="1:29" ht="13.5" customHeight="1" x14ac:dyDescent="0.2">
      <c r="A10" s="2410" t="str">
        <f>COVER!A38</f>
        <v>Dr. Omar Castillo</v>
      </c>
      <c r="B10" s="2411"/>
      <c r="C10" s="2411"/>
      <c r="D10" s="2411"/>
      <c r="E10" s="2411"/>
      <c r="F10" s="2412"/>
      <c r="G10" s="2404" t="str">
        <f>COVER!T17</f>
        <v>668 N River Road</v>
      </c>
      <c r="H10" s="2405"/>
      <c r="I10" s="2405"/>
      <c r="J10" s="2405"/>
      <c r="K10" s="2405"/>
      <c r="L10" s="2406"/>
    </row>
    <row r="11" spans="1:29" ht="13.5" customHeight="1" x14ac:dyDescent="0.2">
      <c r="A11" s="1185" t="s">
        <v>1599</v>
      </c>
      <c r="B11" s="1186"/>
      <c r="C11" s="1187"/>
      <c r="D11" s="1192"/>
      <c r="E11" s="1187"/>
      <c r="F11" s="1191"/>
      <c r="G11" s="2404" t="str">
        <f>COVER!T19</f>
        <v>Naperville</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mberan@lauterbachamen.com</v>
      </c>
      <c r="J13" s="2417"/>
      <c r="K13" s="2417"/>
      <c r="L13" s="2418"/>
    </row>
    <row r="14" spans="1:29" ht="13.5" customHeight="1" x14ac:dyDescent="0.2">
      <c r="A14" s="2404" t="str">
        <f>COVER!A19</f>
        <v>1244 Willow Crest Lane</v>
      </c>
      <c r="B14" s="2405"/>
      <c r="C14" s="2405"/>
      <c r="D14" s="2405"/>
      <c r="E14" s="2405"/>
      <c r="F14" s="2406"/>
      <c r="G14" s="1196" t="s">
        <v>1247</v>
      </c>
      <c r="H14" s="1194"/>
      <c r="I14" s="1194"/>
      <c r="J14" s="1194"/>
      <c r="K14" s="1194"/>
      <c r="L14" s="1195"/>
    </row>
    <row r="15" spans="1:29" ht="13.5" customHeight="1" x14ac:dyDescent="0.2">
      <c r="A15" s="2404" t="str">
        <f>COVER!A21</f>
        <v>Mokena School District 159</v>
      </c>
      <c r="B15" s="2405"/>
      <c r="C15" s="2405"/>
      <c r="D15" s="2405"/>
      <c r="E15" s="2405"/>
      <c r="F15" s="2406"/>
      <c r="G15" s="2401" t="str">
        <f>COVER!T15</f>
        <v>Matt Beran</v>
      </c>
      <c r="H15" s="2402"/>
      <c r="I15" s="2402"/>
      <c r="J15" s="2402"/>
      <c r="K15" s="2402"/>
      <c r="L15" s="2403"/>
    </row>
    <row r="16" spans="1:29" ht="12.2" customHeight="1" x14ac:dyDescent="0.2">
      <c r="A16" s="2426">
        <f>COVER!A25</f>
        <v>60448</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630-393-1483</v>
      </c>
      <c r="H18" s="2421"/>
      <c r="I18" s="2421"/>
      <c r="J18" s="2421"/>
      <c r="K18" s="2420" t="str">
        <f>COVER!X21</f>
        <v>630-393-2516</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1801</v>
      </c>
    </row>
    <row r="27" spans="1:13" s="1199" customFormat="1" ht="9" customHeight="1" x14ac:dyDescent="0.2">
      <c r="B27" s="1204"/>
      <c r="C27" s="1203"/>
    </row>
    <row r="28" spans="1:13" s="1199" customFormat="1" ht="12.2" customHeight="1" x14ac:dyDescent="0.2">
      <c r="A28" s="1206"/>
      <c r="B28" s="1202" t="s">
        <v>2077</v>
      </c>
      <c r="C28" s="1203" t="s">
        <v>1802</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t="s">
        <v>2077</v>
      </c>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8" zoomScale="125" zoomScaleNormal="125" workbookViewId="0">
      <selection activeCell="B127" sqref="B12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Mokena School District 159</v>
      </c>
      <c r="B1" s="2419"/>
      <c r="C1" s="2419"/>
      <c r="D1" s="2419"/>
    </row>
    <row r="2" spans="1:11" s="1215" customFormat="1" ht="12.75" x14ac:dyDescent="0.2">
      <c r="A2" s="2443">
        <f>'Single Audit Cover'!E7</f>
        <v>56099159002</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2077</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2077</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2077</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2077</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2077</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2077</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2077</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2077</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2077</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2131</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2131</v>
      </c>
      <c r="C42" s="1232">
        <v>11</v>
      </c>
      <c r="D42" s="1243" t="s">
        <v>1655</v>
      </c>
      <c r="E42" s="312"/>
    </row>
    <row r="43" spans="1:5" ht="3" customHeight="1" x14ac:dyDescent="0.2">
      <c r="A43" s="1222"/>
      <c r="B43" s="1239"/>
      <c r="C43" s="1240"/>
      <c r="D43" s="1221"/>
    </row>
    <row r="44" spans="1:5" x14ac:dyDescent="0.2">
      <c r="A44" s="1222"/>
      <c r="B44" s="1225" t="s">
        <v>2131</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2131</v>
      </c>
      <c r="C48" s="1226">
        <f>C44+1</f>
        <v>13</v>
      </c>
      <c r="D48" s="1237" t="s">
        <v>1656</v>
      </c>
    </row>
    <row r="49" spans="1:4" ht="3" customHeight="1" x14ac:dyDescent="0.2">
      <c r="A49" s="1222"/>
      <c r="B49" s="1229"/>
      <c r="C49" s="1226"/>
      <c r="D49" s="1237"/>
    </row>
    <row r="50" spans="1:4" x14ac:dyDescent="0.2">
      <c r="A50" s="1222"/>
      <c r="B50" s="1225" t="s">
        <v>2131</v>
      </c>
      <c r="C50" s="1226">
        <f>C48+1</f>
        <v>14</v>
      </c>
      <c r="D50" s="1237" t="s">
        <v>1274</v>
      </c>
    </row>
    <row r="51" spans="1:4" ht="3" customHeight="1" x14ac:dyDescent="0.2">
      <c r="A51" s="1222"/>
      <c r="B51" s="1229"/>
      <c r="C51" s="1226"/>
      <c r="D51" s="1237"/>
    </row>
    <row r="52" spans="1:4" x14ac:dyDescent="0.2">
      <c r="A52" s="1222"/>
      <c r="B52" s="1225" t="s">
        <v>2131</v>
      </c>
      <c r="C52" s="1226">
        <f>C50+1</f>
        <v>15</v>
      </c>
      <c r="D52" s="1237" t="s">
        <v>1273</v>
      </c>
    </row>
    <row r="53" spans="1:4" ht="3" customHeight="1" x14ac:dyDescent="0.2">
      <c r="A53" s="1222"/>
      <c r="B53" s="1229"/>
      <c r="C53" s="1226"/>
      <c r="D53" s="1237"/>
    </row>
    <row r="54" spans="1:4" x14ac:dyDescent="0.2">
      <c r="A54" s="1222"/>
      <c r="B54" s="1225" t="s">
        <v>2131</v>
      </c>
      <c r="C54" s="1226">
        <f>C52+1</f>
        <v>16</v>
      </c>
      <c r="D54" s="1237" t="s">
        <v>1272</v>
      </c>
    </row>
    <row r="55" spans="1:4" ht="3" customHeight="1" x14ac:dyDescent="0.2">
      <c r="A55" s="1222"/>
      <c r="B55" s="1229"/>
      <c r="C55" s="1226"/>
      <c r="D55" s="1237"/>
    </row>
    <row r="56" spans="1:4" x14ac:dyDescent="0.2">
      <c r="A56" s="1222"/>
      <c r="B56" s="1225" t="s">
        <v>2077</v>
      </c>
      <c r="C56" s="1226">
        <f>C54+1</f>
        <v>17</v>
      </c>
      <c r="D56" s="1221" t="s">
        <v>1811</v>
      </c>
    </row>
    <row r="57" spans="1:4" ht="10.5" customHeight="1" x14ac:dyDescent="0.2">
      <c r="A57" s="1222"/>
      <c r="D57" s="1237" t="s">
        <v>1812</v>
      </c>
    </row>
    <row r="58" spans="1:4" x14ac:dyDescent="0.2">
      <c r="A58" s="1222"/>
      <c r="C58" s="1244" t="s">
        <v>2077</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2077</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2131</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2131</v>
      </c>
      <c r="D69" s="1237" t="s">
        <v>1816</v>
      </c>
    </row>
    <row r="70" spans="1:4" x14ac:dyDescent="0.2">
      <c r="A70" s="1222"/>
      <c r="D70" s="1246" t="s">
        <v>1268</v>
      </c>
    </row>
    <row r="71" spans="1:4" ht="3" customHeight="1" x14ac:dyDescent="0.2">
      <c r="A71" s="1222"/>
      <c r="D71" s="1221"/>
    </row>
    <row r="72" spans="1:4" x14ac:dyDescent="0.2">
      <c r="A72" s="1222"/>
      <c r="B72" s="1225" t="s">
        <v>2077</v>
      </c>
      <c r="C72" s="1226">
        <f>C56+1</f>
        <v>18</v>
      </c>
      <c r="D72" s="1247" t="s">
        <v>1817</v>
      </c>
    </row>
    <row r="73" spans="1:4" ht="3" customHeight="1" x14ac:dyDescent="0.2">
      <c r="A73" s="1222"/>
      <c r="B73" s="1229"/>
      <c r="C73" s="1226"/>
      <c r="D73" s="1247"/>
    </row>
    <row r="74" spans="1:4" x14ac:dyDescent="0.2">
      <c r="A74" s="1222"/>
      <c r="B74" s="1225" t="s">
        <v>2077</v>
      </c>
      <c r="C74" s="1226">
        <f>C72+1</f>
        <v>19</v>
      </c>
      <c r="D74" s="1237" t="s">
        <v>1267</v>
      </c>
    </row>
    <row r="75" spans="1:4" ht="3" customHeight="1" x14ac:dyDescent="0.2">
      <c r="A75" s="1222"/>
      <c r="B75" s="1229"/>
      <c r="C75" s="1226"/>
      <c r="D75" s="1237"/>
    </row>
    <row r="76" spans="1:4" x14ac:dyDescent="0.2">
      <c r="A76" s="1222"/>
      <c r="B76" s="1225" t="s">
        <v>2077</v>
      </c>
      <c r="C76" s="1226">
        <f>C74+1</f>
        <v>20</v>
      </c>
      <c r="D76" s="1248" t="s">
        <v>1818</v>
      </c>
    </row>
    <row r="77" spans="1:4" ht="3" customHeight="1" x14ac:dyDescent="0.2">
      <c r="A77" s="1222"/>
      <c r="B77" s="1229"/>
      <c r="C77" s="1226"/>
      <c r="D77" s="1248"/>
    </row>
    <row r="78" spans="1:4" x14ac:dyDescent="0.2">
      <c r="A78" s="1222"/>
      <c r="B78" s="1225" t="s">
        <v>2077</v>
      </c>
      <c r="C78" s="1226">
        <f>C76+1</f>
        <v>21</v>
      </c>
      <c r="D78" s="1221" t="s">
        <v>1819</v>
      </c>
    </row>
    <row r="79" spans="1:4" ht="3" customHeight="1" x14ac:dyDescent="0.2">
      <c r="A79" s="1222"/>
      <c r="B79" s="1229"/>
      <c r="C79" s="1226"/>
      <c r="D79" s="1221"/>
    </row>
    <row r="80" spans="1:4" x14ac:dyDescent="0.2">
      <c r="A80" s="1222"/>
      <c r="B80" s="1225" t="s">
        <v>2077</v>
      </c>
      <c r="C80" s="1226">
        <f>C78+1</f>
        <v>22</v>
      </c>
      <c r="D80" s="1249" t="s">
        <v>1820</v>
      </c>
    </row>
    <row r="81" spans="1:4" ht="3" customHeight="1" x14ac:dyDescent="0.2">
      <c r="A81" s="1222"/>
      <c r="B81" s="1229"/>
      <c r="C81" s="1226"/>
      <c r="D81" s="1249"/>
    </row>
    <row r="82" spans="1:4" x14ac:dyDescent="0.2">
      <c r="A82" s="1222"/>
      <c r="B82" s="1225" t="s">
        <v>2077</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2077</v>
      </c>
      <c r="C85" s="1226">
        <f>C82+1</f>
        <v>24</v>
      </c>
      <c r="D85" s="1237" t="s">
        <v>1265</v>
      </c>
    </row>
    <row r="86" spans="1:4" ht="3" customHeight="1" x14ac:dyDescent="0.2">
      <c r="A86" s="1222"/>
      <c r="B86" s="1229"/>
      <c r="C86" s="1226"/>
      <c r="D86" s="1237"/>
    </row>
    <row r="87" spans="1:4" x14ac:dyDescent="0.2">
      <c r="A87" s="1222"/>
      <c r="B87" s="1225" t="s">
        <v>2077</v>
      </c>
      <c r="C87" s="1226">
        <f>C85+1</f>
        <v>25</v>
      </c>
      <c r="D87" s="1237" t="s">
        <v>1264</v>
      </c>
    </row>
    <row r="88" spans="1:4" ht="3" customHeight="1" x14ac:dyDescent="0.2">
      <c r="A88" s="1222"/>
      <c r="B88" s="1229"/>
      <c r="C88" s="1226"/>
      <c r="D88" s="1237"/>
    </row>
    <row r="89" spans="1:4" x14ac:dyDescent="0.2">
      <c r="A89" s="1222"/>
      <c r="B89" s="1225" t="s">
        <v>2077</v>
      </c>
      <c r="C89" s="1226">
        <f>C87+1</f>
        <v>26</v>
      </c>
      <c r="D89" s="1237" t="s">
        <v>1263</v>
      </c>
    </row>
    <row r="90" spans="1:4" ht="3" customHeight="1" x14ac:dyDescent="0.2">
      <c r="A90" s="1222"/>
      <c r="B90" s="1229"/>
      <c r="C90" s="1226"/>
      <c r="D90" s="1237"/>
    </row>
    <row r="91" spans="1:4" x14ac:dyDescent="0.2">
      <c r="A91" s="1222"/>
      <c r="B91" s="1225" t="s">
        <v>2131</v>
      </c>
      <c r="C91" s="1226">
        <f>C89+1</f>
        <v>27</v>
      </c>
      <c r="D91" s="1237" t="s">
        <v>1822</v>
      </c>
    </row>
    <row r="92" spans="1:4" x14ac:dyDescent="0.2">
      <c r="A92" s="1222"/>
      <c r="B92" s="1250"/>
      <c r="C92" s="1244" t="s">
        <v>2131</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2077</v>
      </c>
      <c r="C96" s="1226">
        <f>C91+1</f>
        <v>28</v>
      </c>
      <c r="D96" s="1237" t="s">
        <v>1823</v>
      </c>
    </row>
    <row r="97" spans="1:4" ht="3" customHeight="1" x14ac:dyDescent="0.2">
      <c r="A97" s="1222"/>
      <c r="B97" s="1229"/>
      <c r="C97" s="1226"/>
      <c r="D97" s="1237"/>
    </row>
    <row r="98" spans="1:4" x14ac:dyDescent="0.2">
      <c r="A98" s="1222"/>
      <c r="B98" s="1225" t="s">
        <v>2077</v>
      </c>
      <c r="C98" s="1226">
        <f>C96+1</f>
        <v>29</v>
      </c>
      <c r="D98" s="1251" t="s">
        <v>1824</v>
      </c>
    </row>
    <row r="99" spans="1:4" ht="3" customHeight="1" x14ac:dyDescent="0.2">
      <c r="A99" s="1222"/>
      <c r="B99" s="1229"/>
      <c r="C99" s="1226"/>
      <c r="D99" s="1251"/>
    </row>
    <row r="100" spans="1:4" x14ac:dyDescent="0.2">
      <c r="A100" s="1222"/>
      <c r="B100" s="1225" t="s">
        <v>2077</v>
      </c>
      <c r="C100" s="1226">
        <f>C98+1</f>
        <v>30</v>
      </c>
      <c r="D100" s="1237" t="s">
        <v>1825</v>
      </c>
    </row>
    <row r="101" spans="1:4" ht="3" customHeight="1" x14ac:dyDescent="0.2">
      <c r="A101" s="1222"/>
      <c r="B101" s="1229"/>
      <c r="C101" s="1226"/>
      <c r="D101" s="1252"/>
    </row>
    <row r="102" spans="1:4" x14ac:dyDescent="0.2">
      <c r="A102" s="1222"/>
      <c r="B102" s="1225" t="s">
        <v>2077</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2131</v>
      </c>
      <c r="C106" s="1226">
        <f>C102+1</f>
        <v>32</v>
      </c>
      <c r="D106" s="1221" t="s">
        <v>1661</v>
      </c>
    </row>
    <row r="107" spans="1:4" ht="3" customHeight="1" x14ac:dyDescent="0.2">
      <c r="A107" s="1222"/>
      <c r="B107" s="1229"/>
      <c r="C107" s="1226"/>
      <c r="D107" s="1221"/>
    </row>
    <row r="108" spans="1:4" x14ac:dyDescent="0.2">
      <c r="A108" s="1222"/>
      <c r="B108" s="1225" t="s">
        <v>2131</v>
      </c>
      <c r="C108" s="1226">
        <v>33</v>
      </c>
      <c r="D108" s="1221" t="s">
        <v>1826</v>
      </c>
    </row>
    <row r="109" spans="1:4" ht="3" customHeight="1" x14ac:dyDescent="0.2">
      <c r="A109" s="1222"/>
      <c r="B109" s="1229"/>
      <c r="C109" s="1226"/>
      <c r="D109" s="1221"/>
    </row>
    <row r="110" spans="1:4" x14ac:dyDescent="0.2">
      <c r="A110" s="1222"/>
      <c r="B110" s="1225" t="s">
        <v>2131</v>
      </c>
      <c r="C110" s="1226">
        <f>C108+1</f>
        <v>34</v>
      </c>
      <c r="D110" s="1221" t="s">
        <v>1260</v>
      </c>
    </row>
    <row r="111" spans="1:4" ht="3" customHeight="1" x14ac:dyDescent="0.2">
      <c r="A111" s="1222"/>
      <c r="B111" s="1229"/>
      <c r="C111" s="1226"/>
      <c r="D111" s="1221"/>
    </row>
    <row r="112" spans="1:4" x14ac:dyDescent="0.2">
      <c r="A112" s="1222"/>
      <c r="B112" s="1225" t="s">
        <v>2131</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2131</v>
      </c>
      <c r="C115" s="1226">
        <f>C112+1</f>
        <v>36</v>
      </c>
      <c r="D115" s="1237" t="s">
        <v>1257</v>
      </c>
    </row>
    <row r="116" spans="1:4" ht="3" customHeight="1" x14ac:dyDescent="0.2">
      <c r="A116" s="1222"/>
      <c r="B116" s="1229"/>
      <c r="C116" s="1226"/>
      <c r="D116" s="1237"/>
    </row>
    <row r="117" spans="1:4" x14ac:dyDescent="0.2">
      <c r="A117" s="1222"/>
      <c r="B117" s="1225" t="s">
        <v>2131</v>
      </c>
      <c r="C117" s="1226">
        <f>C115+1</f>
        <v>37</v>
      </c>
      <c r="D117" s="1237" t="s">
        <v>1827</v>
      </c>
    </row>
    <row r="118" spans="1:4" ht="3" customHeight="1" x14ac:dyDescent="0.2">
      <c r="A118" s="1222"/>
      <c r="B118" s="1229"/>
      <c r="C118" s="1226"/>
      <c r="D118" s="1237"/>
    </row>
    <row r="119" spans="1:4" x14ac:dyDescent="0.2">
      <c r="A119" s="1222"/>
      <c r="B119" s="1225" t="s">
        <v>2131</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2131</v>
      </c>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1"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Mokena School District 159</v>
      </c>
      <c r="B1" s="2446"/>
      <c r="C1" s="2446"/>
      <c r="D1" s="2446"/>
      <c r="E1" s="2446"/>
    </row>
    <row r="2" spans="1:5" x14ac:dyDescent="0.2">
      <c r="A2" s="2447">
        <f>'Single Audit Cover'!E7</f>
        <v>56099159002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968074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25632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-19050</v>
      </c>
    </row>
    <row r="19" spans="1:4" ht="13.5" thickBot="1" x14ac:dyDescent="0.25">
      <c r="A19" s="1265" t="s">
        <v>1297</v>
      </c>
      <c r="D19" s="1266">
        <f>SUM(D10:D17)</f>
        <v>974656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974656</v>
      </c>
    </row>
    <row r="33" spans="1:4" x14ac:dyDescent="0.2">
      <c r="D33" s="1269"/>
    </row>
    <row r="34" spans="1:4" x14ac:dyDescent="0.2">
      <c r="A34" s="317" t="s">
        <v>1294</v>
      </c>
    </row>
    <row r="35" spans="1:4" x14ac:dyDescent="0.2">
      <c r="A35" s="317" t="s">
        <v>1293</v>
      </c>
      <c r="B35" s="1258" t="s">
        <v>1292</v>
      </c>
      <c r="D35" s="1270">
        <f>' SEFA (2)'!F15</f>
        <v>974656</v>
      </c>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974656</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zoomScale="120" zoomScaleNormal="120" workbookViewId="0">
      <selection activeCell="D9" sqref="D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Mokena School District 159</v>
      </c>
      <c r="B1" s="2459"/>
      <c r="C1" s="2459"/>
      <c r="D1" s="2459"/>
      <c r="E1" s="2459"/>
      <c r="F1" s="2459"/>
    </row>
    <row r="2" spans="1:7" ht="13.5" customHeight="1" x14ac:dyDescent="0.2">
      <c r="A2" s="2460">
        <f>'Single Audit Cover'!E7</f>
        <v>56099159002</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t="s">
        <v>2077</v>
      </c>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2" t="s">
        <v>1835</v>
      </c>
      <c r="B32" s="2452"/>
      <c r="C32" s="2452"/>
      <c r="D32" s="2452"/>
      <c r="E32" s="2452"/>
      <c r="F32" s="2452"/>
    </row>
    <row r="33" spans="1:6" ht="13.5" customHeight="1" x14ac:dyDescent="0.2">
      <c r="A33" s="328" t="s">
        <v>1509</v>
      </c>
      <c r="B33" s="328"/>
      <c r="C33" s="1288">
        <v>25632</v>
      </c>
      <c r="D33" s="1927"/>
      <c r="E33" s="1286"/>
    </row>
    <row r="34" spans="1:6" ht="13.5" customHeight="1" x14ac:dyDescent="0.2">
      <c r="A34" s="328" t="s">
        <v>1949</v>
      </c>
      <c r="B34" s="328"/>
      <c r="C34" s="1289">
        <v>0</v>
      </c>
      <c r="D34" s="1927" t="s">
        <v>1671</v>
      </c>
      <c r="E34" s="2453">
        <f>+C33+C34</f>
        <v>25632</v>
      </c>
      <c r="F34" s="245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9"/>
      <c r="C50" s="1869"/>
      <c r="D50" s="1869"/>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3"/>
  <sheetViews>
    <sheetView showGridLines="0" topLeftCell="A13" zoomScaleNormal="100" workbookViewId="0">
      <selection activeCell="L6" sqref="L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Mokena School District 159</v>
      </c>
      <c r="C1" s="2463"/>
      <c r="D1" s="2463"/>
      <c r="E1" s="2463"/>
      <c r="F1" s="2463"/>
      <c r="G1" s="2463"/>
      <c r="H1" s="2463"/>
      <c r="I1" s="2463"/>
      <c r="J1" s="2463"/>
      <c r="K1" s="2463"/>
      <c r="L1" s="2463"/>
      <c r="M1" s="2463"/>
    </row>
    <row r="2" spans="2:14" ht="15" x14ac:dyDescent="0.2">
      <c r="B2" s="2460">
        <f>'Single Audit Cover'!E7</f>
        <v>56099159002</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2128</v>
      </c>
      <c r="C11" s="1338"/>
      <c r="D11" s="1339"/>
      <c r="E11" s="1340"/>
      <c r="F11" s="1340"/>
      <c r="G11" s="1340"/>
      <c r="H11" s="1340"/>
      <c r="I11" s="1340"/>
      <c r="J11" s="1340"/>
      <c r="K11" s="1340"/>
      <c r="L11" s="1340">
        <f>+G11+I11+K11</f>
        <v>0</v>
      </c>
      <c r="M11" s="1340"/>
    </row>
    <row r="12" spans="2:14" ht="20.100000000000001" customHeight="1" x14ac:dyDescent="0.2">
      <c r="B12" s="1956" t="s">
        <v>2129</v>
      </c>
      <c r="C12" s="1341"/>
      <c r="D12" s="1342"/>
      <c r="E12" s="1343"/>
      <c r="F12" s="1343"/>
      <c r="G12" s="1343"/>
      <c r="H12" s="1343"/>
      <c r="I12" s="1343"/>
      <c r="J12" s="1343"/>
      <c r="K12" s="1343"/>
      <c r="L12" s="1340">
        <f t="shared" ref="L12:L28" si="0">+G12+I12+K12</f>
        <v>0</v>
      </c>
      <c r="M12" s="1343"/>
    </row>
    <row r="13" spans="2:14" ht="20.100000000000001" customHeight="1" x14ac:dyDescent="0.2">
      <c r="B13" s="1957" t="s">
        <v>1118</v>
      </c>
      <c r="C13" s="1341">
        <v>10.555</v>
      </c>
      <c r="D13" s="1342" t="s">
        <v>2133</v>
      </c>
      <c r="E13" s="1343">
        <v>71389</v>
      </c>
      <c r="F13" s="1343">
        <v>12802</v>
      </c>
      <c r="G13" s="1343">
        <v>71389</v>
      </c>
      <c r="H13" s="1343">
        <v>0</v>
      </c>
      <c r="I13" s="1343">
        <v>12802</v>
      </c>
      <c r="J13" s="1343">
        <v>0</v>
      </c>
      <c r="K13" s="1343">
        <v>0</v>
      </c>
      <c r="L13" s="1340">
        <f t="shared" si="0"/>
        <v>84191</v>
      </c>
      <c r="M13" s="1343"/>
    </row>
    <row r="14" spans="2:14" ht="20.100000000000001" customHeight="1" x14ac:dyDescent="0.2">
      <c r="B14" s="1957" t="s">
        <v>1118</v>
      </c>
      <c r="C14" s="1341">
        <v>10.555</v>
      </c>
      <c r="D14" s="1342" t="s">
        <v>2132</v>
      </c>
      <c r="E14" s="1343">
        <v>0</v>
      </c>
      <c r="F14" s="1343">
        <v>-891</v>
      </c>
      <c r="G14" s="1343">
        <v>0</v>
      </c>
      <c r="H14" s="1343">
        <v>0</v>
      </c>
      <c r="I14" s="1343">
        <v>0</v>
      </c>
      <c r="J14" s="1343">
        <v>0</v>
      </c>
      <c r="K14" s="1343">
        <v>0</v>
      </c>
      <c r="L14" s="1340">
        <f t="shared" si="0"/>
        <v>0</v>
      </c>
      <c r="M14" s="1343"/>
    </row>
    <row r="15" spans="2:14" ht="20.100000000000001" customHeight="1" x14ac:dyDescent="0.2">
      <c r="B15" s="1957" t="s">
        <v>1118</v>
      </c>
      <c r="C15" s="1341">
        <v>10.555</v>
      </c>
      <c r="D15" s="1342" t="s">
        <v>2134</v>
      </c>
      <c r="E15" s="1343">
        <v>0</v>
      </c>
      <c r="F15" s="1343">
        <v>78327</v>
      </c>
      <c r="G15" s="1343">
        <v>0</v>
      </c>
      <c r="H15" s="1343">
        <v>0</v>
      </c>
      <c r="I15" s="1343">
        <v>78327</v>
      </c>
      <c r="J15" s="1343">
        <v>0</v>
      </c>
      <c r="K15" s="1343">
        <v>0</v>
      </c>
      <c r="L15" s="1340">
        <f t="shared" si="0"/>
        <v>78327</v>
      </c>
      <c r="M15" s="1343"/>
    </row>
    <row r="16" spans="2:14" ht="20.100000000000001" customHeight="1" x14ac:dyDescent="0.2">
      <c r="B16" s="1337" t="s">
        <v>2130</v>
      </c>
      <c r="C16" s="1341">
        <v>10.555</v>
      </c>
      <c r="D16" s="1342" t="s">
        <v>2131</v>
      </c>
      <c r="E16" s="1343">
        <v>31485</v>
      </c>
      <c r="F16" s="1343">
        <v>25632</v>
      </c>
      <c r="G16" s="1343">
        <v>31485</v>
      </c>
      <c r="H16" s="1343">
        <v>0</v>
      </c>
      <c r="I16" s="1343">
        <v>25632</v>
      </c>
      <c r="J16" s="1343">
        <v>0</v>
      </c>
      <c r="K16" s="1343">
        <v>0</v>
      </c>
      <c r="L16" s="1340">
        <f t="shared" si="0"/>
        <v>57117</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t="s">
        <v>2135</v>
      </c>
      <c r="C18" s="1341"/>
      <c r="D18" s="1342"/>
      <c r="E18" s="1343"/>
      <c r="F18" s="1343"/>
      <c r="G18" s="1343"/>
      <c r="H18" s="1343"/>
      <c r="I18" s="1343"/>
      <c r="J18" s="1343"/>
      <c r="K18" s="1343"/>
      <c r="L18" s="1340">
        <f t="shared" si="0"/>
        <v>0</v>
      </c>
      <c r="M18" s="1343"/>
    </row>
    <row r="19" spans="2:14" ht="20.100000000000001" customHeight="1" x14ac:dyDescent="0.2">
      <c r="B19" s="1956" t="s">
        <v>2136</v>
      </c>
      <c r="C19" s="1341"/>
      <c r="D19" s="1342"/>
      <c r="E19" s="1343"/>
      <c r="F19" s="1343"/>
      <c r="G19" s="1343"/>
      <c r="H19" s="1343"/>
      <c r="I19" s="1343"/>
      <c r="J19" s="1343"/>
      <c r="K19" s="1343"/>
      <c r="L19" s="1340">
        <f t="shared" si="0"/>
        <v>0</v>
      </c>
      <c r="M19" s="1343"/>
    </row>
    <row r="20" spans="2:14" ht="20.100000000000001" customHeight="1" x14ac:dyDescent="0.2">
      <c r="B20" s="1957" t="s">
        <v>974</v>
      </c>
      <c r="C20" s="1341">
        <v>84.01</v>
      </c>
      <c r="D20" s="1342" t="s">
        <v>2137</v>
      </c>
      <c r="E20" s="1343">
        <v>87998</v>
      </c>
      <c r="F20" s="1343">
        <v>50211</v>
      </c>
      <c r="G20" s="1343">
        <v>87998</v>
      </c>
      <c r="H20" s="1343">
        <v>0</v>
      </c>
      <c r="I20" s="1343">
        <v>50211</v>
      </c>
      <c r="J20" s="1343">
        <v>0</v>
      </c>
      <c r="K20" s="1343">
        <v>0</v>
      </c>
      <c r="L20" s="1340">
        <f t="shared" si="0"/>
        <v>138209</v>
      </c>
      <c r="M20" s="1343"/>
    </row>
    <row r="21" spans="2:14" ht="20.100000000000001" customHeight="1" x14ac:dyDescent="0.2">
      <c r="B21" s="1957" t="s">
        <v>974</v>
      </c>
      <c r="C21" s="1341">
        <v>84.01</v>
      </c>
      <c r="D21" s="1342" t="s">
        <v>2138</v>
      </c>
      <c r="E21" s="1343">
        <v>0</v>
      </c>
      <c r="F21" s="1343">
        <v>97270</v>
      </c>
      <c r="G21" s="1343">
        <v>0</v>
      </c>
      <c r="H21" s="1343">
        <v>0</v>
      </c>
      <c r="I21" s="1343">
        <v>97270</v>
      </c>
      <c r="J21" s="1343">
        <v>0</v>
      </c>
      <c r="K21" s="1343">
        <v>0</v>
      </c>
      <c r="L21" s="1340">
        <f t="shared" si="0"/>
        <v>97270</v>
      </c>
      <c r="M21" s="1343"/>
    </row>
    <row r="22" spans="2:14" ht="20.100000000000001" customHeight="1" x14ac:dyDescent="0.2">
      <c r="B22" s="1957" t="s">
        <v>2139</v>
      </c>
      <c r="C22" s="1341">
        <v>84.367000000000004</v>
      </c>
      <c r="D22" s="1342" t="s">
        <v>2140</v>
      </c>
      <c r="E22" s="1343">
        <v>35022</v>
      </c>
      <c r="F22" s="1343">
        <v>19904</v>
      </c>
      <c r="G22" s="1343">
        <v>35022</v>
      </c>
      <c r="H22" s="1343">
        <v>0</v>
      </c>
      <c r="I22" s="1343">
        <v>19904</v>
      </c>
      <c r="J22" s="1343">
        <v>0</v>
      </c>
      <c r="K22" s="1343">
        <v>0</v>
      </c>
      <c r="L22" s="1340">
        <f t="shared" si="0"/>
        <v>54926</v>
      </c>
      <c r="M22" s="1343"/>
    </row>
    <row r="23" spans="2:14" ht="20.100000000000001" customHeight="1" x14ac:dyDescent="0.2">
      <c r="B23" s="1957" t="s">
        <v>2139</v>
      </c>
      <c r="C23" s="1341">
        <v>84.367000000000004</v>
      </c>
      <c r="D23" s="1342" t="s">
        <v>2141</v>
      </c>
      <c r="E23" s="1343">
        <v>0</v>
      </c>
      <c r="F23" s="1343">
        <v>24449</v>
      </c>
      <c r="G23" s="1343">
        <v>0</v>
      </c>
      <c r="H23" s="1343">
        <v>0</v>
      </c>
      <c r="I23" s="1343">
        <v>24449</v>
      </c>
      <c r="J23" s="1343">
        <v>0</v>
      </c>
      <c r="K23" s="1343">
        <v>0</v>
      </c>
      <c r="L23" s="1340">
        <f t="shared" si="0"/>
        <v>24449</v>
      </c>
      <c r="M23" s="1343"/>
    </row>
    <row r="24" spans="2:14" ht="20.100000000000001" customHeight="1" x14ac:dyDescent="0.2">
      <c r="B24" s="1957" t="s">
        <v>2142</v>
      </c>
      <c r="C24" s="1341">
        <v>84.027000000000001</v>
      </c>
      <c r="D24" s="1342" t="s">
        <v>2131</v>
      </c>
      <c r="E24" s="1343">
        <v>0</v>
      </c>
      <c r="F24" s="1343">
        <v>446761</v>
      </c>
      <c r="G24" s="1343">
        <v>0</v>
      </c>
      <c r="H24" s="1343">
        <v>0</v>
      </c>
      <c r="I24" s="1343">
        <v>446761</v>
      </c>
      <c r="J24" s="1343">
        <v>0</v>
      </c>
      <c r="K24" s="1343">
        <v>0</v>
      </c>
      <c r="L24" s="1340">
        <f t="shared" si="0"/>
        <v>446761</v>
      </c>
      <c r="M24" s="1343"/>
    </row>
    <row r="25" spans="2:14" ht="20.100000000000001" customHeight="1" x14ac:dyDescent="0.2">
      <c r="B25" s="1957" t="s">
        <v>2149</v>
      </c>
      <c r="C25" s="1341" t="s">
        <v>2143</v>
      </c>
      <c r="D25" s="1342" t="s">
        <v>2144</v>
      </c>
      <c r="E25" s="1343">
        <v>17881</v>
      </c>
      <c r="F25" s="1343">
        <v>42303</v>
      </c>
      <c r="G25" s="1343">
        <v>17881</v>
      </c>
      <c r="H25" s="1343">
        <v>0</v>
      </c>
      <c r="I25" s="1343">
        <v>42303</v>
      </c>
      <c r="J25" s="1343">
        <v>0</v>
      </c>
      <c r="K25" s="1343">
        <v>0</v>
      </c>
      <c r="L25" s="1340">
        <f t="shared" si="0"/>
        <v>60184</v>
      </c>
      <c r="M25" s="1343"/>
    </row>
    <row r="26" spans="2:14" ht="20.100000000000001" customHeight="1" x14ac:dyDescent="0.2">
      <c r="B26" s="1957" t="s">
        <v>2149</v>
      </c>
      <c r="C26" s="1341" t="s">
        <v>2143</v>
      </c>
      <c r="D26" s="1342" t="s">
        <v>2145</v>
      </c>
      <c r="E26" s="1343">
        <v>0</v>
      </c>
      <c r="F26" s="1343">
        <v>85253</v>
      </c>
      <c r="G26" s="1343">
        <v>0</v>
      </c>
      <c r="H26" s="1343">
        <v>0</v>
      </c>
      <c r="I26" s="1343">
        <v>85253</v>
      </c>
      <c r="J26" s="1343">
        <v>0</v>
      </c>
      <c r="K26" s="1343">
        <v>0</v>
      </c>
      <c r="L26" s="1340">
        <f t="shared" si="0"/>
        <v>85253</v>
      </c>
      <c r="M26" s="1343"/>
    </row>
    <row r="27" spans="2:14" ht="20.100000000000001" customHeight="1" x14ac:dyDescent="0.2">
      <c r="B27" s="1957" t="s">
        <v>2142</v>
      </c>
      <c r="C27" s="1341">
        <v>84.173000000000002</v>
      </c>
      <c r="D27" s="1342" t="s">
        <v>2150</v>
      </c>
      <c r="E27" s="1343">
        <v>0</v>
      </c>
      <c r="F27" s="1343">
        <v>44130</v>
      </c>
      <c r="G27" s="1343">
        <f>E27</f>
        <v>0</v>
      </c>
      <c r="H27" s="1343">
        <v>0</v>
      </c>
      <c r="I27" s="1343">
        <f>F27</f>
        <v>44130</v>
      </c>
      <c r="J27" s="1343">
        <v>0</v>
      </c>
      <c r="K27" s="1343">
        <v>0</v>
      </c>
      <c r="L27" s="1340">
        <f t="shared" si="0"/>
        <v>44130</v>
      </c>
      <c r="M27" s="1343"/>
      <c r="N27" s="1344"/>
    </row>
    <row r="28" spans="2:14" ht="20.100000000000001" customHeight="1" x14ac:dyDescent="0.2">
      <c r="B28" s="1957" t="s">
        <v>2151</v>
      </c>
      <c r="C28" s="1341">
        <v>84.424000000000007</v>
      </c>
      <c r="D28" s="1342" t="s">
        <v>2152</v>
      </c>
      <c r="E28" s="1343">
        <v>0</v>
      </c>
      <c r="F28" s="1343">
        <v>1193</v>
      </c>
      <c r="G28" s="1343">
        <f>E28</f>
        <v>0</v>
      </c>
      <c r="H28" s="1343">
        <v>0</v>
      </c>
      <c r="I28" s="1343">
        <f>F28</f>
        <v>1193</v>
      </c>
      <c r="J28" s="1343">
        <v>0</v>
      </c>
      <c r="K28" s="1343">
        <v>0</v>
      </c>
      <c r="L28" s="1340">
        <f t="shared" si="0"/>
        <v>1193</v>
      </c>
      <c r="M28" s="1343"/>
      <c r="N28" s="1344"/>
    </row>
    <row r="29" spans="2:14" ht="12.75" customHeight="1" x14ac:dyDescent="0.2">
      <c r="B29" s="1345"/>
      <c r="C29" s="1346"/>
      <c r="D29" s="1347"/>
      <c r="E29" s="1348"/>
      <c r="F29" s="1348"/>
      <c r="G29" s="1348"/>
      <c r="H29" s="1348"/>
      <c r="I29" s="1348"/>
      <c r="J29" s="1348"/>
      <c r="K29" s="1348"/>
      <c r="L29" s="1348"/>
      <c r="M29" s="1348"/>
      <c r="N29" s="1344"/>
    </row>
    <row r="30" spans="2:14" x14ac:dyDescent="0.2">
      <c r="B30" s="1257"/>
      <c r="C30" s="1349"/>
      <c r="D30" s="1350"/>
      <c r="E30" s="1257"/>
      <c r="F30" s="1257"/>
      <c r="G30" s="1250"/>
      <c r="H30" s="1250"/>
      <c r="I30" s="1250"/>
      <c r="J30" s="1250"/>
      <c r="K30" s="1250"/>
      <c r="L30" s="1250"/>
      <c r="M30" s="1257"/>
      <c r="N30" s="1344"/>
    </row>
    <row r="31" spans="2:14" ht="13.5" customHeight="1" x14ac:dyDescent="0.2">
      <c r="B31" s="1282" t="s">
        <v>1840</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1951</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1841</v>
      </c>
      <c r="C38" s="1365"/>
      <c r="D38" s="1365"/>
      <c r="E38" s="1365"/>
      <c r="F38" s="1365"/>
      <c r="G38" s="1365"/>
      <c r="H38" s="1365"/>
      <c r="I38" s="1366"/>
      <c r="J38" s="1366"/>
      <c r="K38" s="1366"/>
      <c r="L38" s="1366"/>
      <c r="M38" s="1366"/>
    </row>
    <row r="39" spans="2:13" ht="11.25" customHeight="1" x14ac:dyDescent="0.2">
      <c r="B39" s="1367" t="s">
        <v>1666</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1842</v>
      </c>
      <c r="C41" s="1366"/>
      <c r="D41" s="1366"/>
      <c r="E41" s="1366"/>
      <c r="F41" s="1366"/>
      <c r="G41" s="1366"/>
      <c r="H41" s="1366"/>
      <c r="I41" s="1366"/>
      <c r="J41" s="1366"/>
      <c r="K41" s="1366"/>
      <c r="L41" s="1366"/>
      <c r="M41" s="1366"/>
    </row>
    <row r="42" spans="2:13" ht="11.25" customHeight="1" x14ac:dyDescent="0.2">
      <c r="B42" s="1300" t="s">
        <v>1667</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1843</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1844</v>
      </c>
      <c r="C46" s="1368"/>
      <c r="D46" s="1369"/>
      <c r="E46" s="1300"/>
      <c r="F46" s="1300"/>
      <c r="G46" s="1300"/>
      <c r="H46" s="1300"/>
      <c r="I46" s="1300"/>
      <c r="J46" s="1300"/>
      <c r="K46" s="1370"/>
      <c r="L46" s="1370"/>
      <c r="M46" s="1300"/>
    </row>
    <row r="47" spans="2:13" ht="11.25" customHeight="1" x14ac:dyDescent="0.2">
      <c r="B47" s="1300" t="s">
        <v>1668</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F89" sqref="F8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192546</v>
      </c>
      <c r="F88" s="276">
        <v>17052</v>
      </c>
      <c r="G88" s="276">
        <v>346406</v>
      </c>
      <c r="H88" s="276">
        <v>155525</v>
      </c>
      <c r="I88" s="276">
        <v>95804</v>
      </c>
      <c r="J88" s="277">
        <f>SUM(E88:I88)</f>
        <v>807333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807334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8CBF-AAEB-43CD-801F-55C519296C59}">
  <dimension ref="B1:N152"/>
  <sheetViews>
    <sheetView showGridLines="0" zoomScaleNormal="100" workbookViewId="0">
      <selection activeCell="M13" sqref="M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Mokena School District 159</v>
      </c>
      <c r="C1" s="2463"/>
      <c r="D1" s="2463"/>
      <c r="E1" s="2463"/>
      <c r="F1" s="2463"/>
      <c r="G1" s="2463"/>
      <c r="H1" s="2463"/>
      <c r="I1" s="2463"/>
      <c r="J1" s="2463"/>
      <c r="K1" s="2463"/>
      <c r="L1" s="2463"/>
      <c r="M1" s="2463"/>
    </row>
    <row r="2" spans="2:14" ht="15" x14ac:dyDescent="0.2">
      <c r="B2" s="2460">
        <f>'Single Audit Cover'!E7</f>
        <v>56099159002</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2146</v>
      </c>
      <c r="C11" s="1338"/>
      <c r="D11" s="1339"/>
      <c r="E11" s="1340"/>
      <c r="F11" s="1340"/>
      <c r="G11" s="1340"/>
      <c r="H11" s="1340"/>
      <c r="I11" s="1340"/>
      <c r="J11" s="1340"/>
      <c r="K11" s="1340"/>
      <c r="L11" s="1340">
        <f>+G11+I11+K11</f>
        <v>0</v>
      </c>
      <c r="M11" s="1340"/>
    </row>
    <row r="12" spans="2:14" ht="20.100000000000001" customHeight="1" x14ac:dyDescent="0.2">
      <c r="B12" s="1956" t="s">
        <v>2147</v>
      </c>
      <c r="C12" s="1341"/>
      <c r="D12" s="1342"/>
      <c r="E12" s="1343"/>
      <c r="F12" s="1343"/>
      <c r="G12" s="1343"/>
      <c r="H12" s="1343"/>
      <c r="I12" s="1343"/>
      <c r="J12" s="1343"/>
      <c r="K12" s="1343"/>
      <c r="L12" s="1340">
        <f t="shared" ref="L12:L27" si="0">+G12+I12+K12</f>
        <v>0</v>
      </c>
      <c r="M12" s="1343"/>
    </row>
    <row r="13" spans="2:14" ht="20.100000000000001" customHeight="1" x14ac:dyDescent="0.2">
      <c r="B13" s="1957" t="s">
        <v>2148</v>
      </c>
      <c r="C13" s="1341">
        <v>93.778000000000006</v>
      </c>
      <c r="D13" s="1342" t="s">
        <v>2131</v>
      </c>
      <c r="E13" s="1343">
        <v>0</v>
      </c>
      <c r="F13" s="1343">
        <v>47312</v>
      </c>
      <c r="G13" s="1343">
        <f>E13</f>
        <v>0</v>
      </c>
      <c r="H13" s="1343">
        <v>0</v>
      </c>
      <c r="I13" s="1343">
        <v>47311</v>
      </c>
      <c r="J13" s="1343">
        <v>0</v>
      </c>
      <c r="K13" s="1343">
        <v>0</v>
      </c>
      <c r="L13" s="1340">
        <f t="shared" si="0"/>
        <v>47311</v>
      </c>
      <c r="M13" s="1343">
        <v>0</v>
      </c>
    </row>
    <row r="14" spans="2:14" ht="20.100000000000001" customHeight="1" x14ac:dyDescent="0.2">
      <c r="B14" s="1957"/>
      <c r="C14" s="1341"/>
      <c r="D14" s="1342"/>
      <c r="E14" s="1343"/>
      <c r="F14" s="1343"/>
      <c r="G14" s="1343"/>
      <c r="H14" s="1343"/>
      <c r="I14" s="1343"/>
      <c r="J14" s="1343"/>
      <c r="K14" s="1343"/>
      <c r="L14" s="1340">
        <f t="shared" si="0"/>
        <v>0</v>
      </c>
      <c r="M14" s="1343"/>
    </row>
    <row r="15" spans="2:14" ht="20.100000000000001" customHeight="1" x14ac:dyDescent="0.2">
      <c r="B15" s="1957" t="s">
        <v>1223</v>
      </c>
      <c r="C15" s="1341"/>
      <c r="D15" s="1342"/>
      <c r="E15" s="1343">
        <f>SUM(' SEFA'!E13:E28)+' SEFA (2)'!E13</f>
        <v>243775</v>
      </c>
      <c r="F15" s="1343">
        <f>F13+SUM(' SEFA'!F13:F28)</f>
        <v>974656</v>
      </c>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956"/>
      <c r="C19" s="1341"/>
      <c r="D19" s="1342"/>
      <c r="E19" s="1343"/>
      <c r="F19" s="1343"/>
      <c r="G19" s="1343"/>
      <c r="H19" s="1343"/>
      <c r="I19" s="1343"/>
      <c r="J19" s="1343"/>
      <c r="K19" s="1343"/>
      <c r="L19" s="1340">
        <f t="shared" si="0"/>
        <v>0</v>
      </c>
      <c r="M19" s="1343"/>
    </row>
    <row r="20" spans="2:14" ht="20.100000000000001" customHeight="1" x14ac:dyDescent="0.2">
      <c r="B20" s="1957"/>
      <c r="C20" s="1341"/>
      <c r="D20" s="1342"/>
      <c r="E20" s="1343"/>
      <c r="F20" s="1343"/>
      <c r="G20" s="1343"/>
      <c r="H20" s="1343"/>
      <c r="I20" s="1343"/>
      <c r="J20" s="1343"/>
      <c r="K20" s="1343"/>
      <c r="L20" s="1340">
        <f t="shared" si="0"/>
        <v>0</v>
      </c>
      <c r="M20" s="1343"/>
    </row>
    <row r="21" spans="2:14" ht="20.100000000000001" customHeight="1" x14ac:dyDescent="0.2">
      <c r="B21" s="1957"/>
      <c r="C21" s="1341"/>
      <c r="D21" s="1342"/>
      <c r="E21" s="1343"/>
      <c r="F21" s="1343"/>
      <c r="G21" s="1343"/>
      <c r="H21" s="1343"/>
      <c r="I21" s="1343"/>
      <c r="J21" s="1343"/>
      <c r="K21" s="1343"/>
      <c r="L21" s="1340">
        <f t="shared" si="0"/>
        <v>0</v>
      </c>
      <c r="M21" s="1343"/>
    </row>
    <row r="22" spans="2:14" ht="20.100000000000001" customHeight="1" x14ac:dyDescent="0.2">
      <c r="B22" s="1957"/>
      <c r="C22" s="1341"/>
      <c r="D22" s="1342"/>
      <c r="E22" s="1343"/>
      <c r="F22" s="1343"/>
      <c r="G22" s="1343"/>
      <c r="H22" s="1343"/>
      <c r="I22" s="1343"/>
      <c r="J22" s="1343"/>
      <c r="K22" s="1343"/>
      <c r="L22" s="1340">
        <f t="shared" si="0"/>
        <v>0</v>
      </c>
      <c r="M22" s="1343"/>
    </row>
    <row r="23" spans="2:14" ht="20.100000000000001" customHeight="1" x14ac:dyDescent="0.2">
      <c r="B23" s="1957"/>
      <c r="C23" s="1341"/>
      <c r="D23" s="1342"/>
      <c r="E23" s="1343"/>
      <c r="F23" s="1343"/>
      <c r="G23" s="1343"/>
      <c r="H23" s="1343"/>
      <c r="I23" s="1343"/>
      <c r="J23" s="1343"/>
      <c r="K23" s="1343"/>
      <c r="L23" s="1340">
        <f t="shared" si="0"/>
        <v>0</v>
      </c>
      <c r="M23" s="1343"/>
    </row>
    <row r="24" spans="2:14" ht="20.100000000000001" customHeight="1" x14ac:dyDescent="0.2">
      <c r="B24" s="1957"/>
      <c r="C24" s="1341"/>
      <c r="D24" s="1342"/>
      <c r="E24" s="1343"/>
      <c r="F24" s="1343"/>
      <c r="G24" s="1343"/>
      <c r="H24" s="1343"/>
      <c r="I24" s="1343"/>
      <c r="J24" s="1343"/>
      <c r="K24" s="1343"/>
      <c r="L24" s="1340">
        <f t="shared" si="0"/>
        <v>0</v>
      </c>
      <c r="M24" s="1343"/>
    </row>
    <row r="25" spans="2:14" ht="20.100000000000001" customHeight="1" x14ac:dyDescent="0.2">
      <c r="B25" s="1957"/>
      <c r="C25" s="1341"/>
      <c r="D25" s="1342"/>
      <c r="E25" s="1343"/>
      <c r="F25" s="1343"/>
      <c r="G25" s="1343"/>
      <c r="H25" s="1343"/>
      <c r="I25" s="1343"/>
      <c r="J25" s="1343"/>
      <c r="K25" s="1343"/>
      <c r="L25" s="1340">
        <f t="shared" si="0"/>
        <v>0</v>
      </c>
      <c r="M25" s="1343"/>
    </row>
    <row r="26" spans="2:14" ht="20.100000000000001" customHeight="1" x14ac:dyDescent="0.2">
      <c r="B26" s="195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3" zoomScale="110" zoomScaleNormal="110" workbookViewId="0">
      <selection activeCell="E52" sqref="E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Mokena School District 159</v>
      </c>
      <c r="C1" s="2478"/>
      <c r="D1" s="2478"/>
      <c r="E1" s="2478"/>
      <c r="F1" s="2478"/>
      <c r="G1" s="2478"/>
      <c r="H1" s="2478"/>
      <c r="I1" s="2478"/>
      <c r="J1" s="1422"/>
    </row>
    <row r="2" spans="2:10" s="317" customFormat="1" ht="12.75" customHeight="1" x14ac:dyDescent="0.2">
      <c r="B2" s="2479">
        <f>'Single Audit Cover'!E7</f>
        <v>56099159002</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t="s">
        <v>2153</v>
      </c>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2077</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t="s">
        <v>2153</v>
      </c>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2077</v>
      </c>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v>84.027000000000001</v>
      </c>
      <c r="C38" s="2473" t="s">
        <v>2154</v>
      </c>
      <c r="D38" s="2474"/>
      <c r="E38" s="2474"/>
      <c r="F38" s="2475"/>
      <c r="G38" s="2488">
        <f>' SEFA'!F24+' SEFA'!F25+' SEFA'!F26</f>
        <v>574317</v>
      </c>
      <c r="H38" s="2489"/>
      <c r="I38" s="2490"/>
    </row>
    <row r="39" spans="2:9" ht="16.5" customHeight="1" x14ac:dyDescent="0.2">
      <c r="B39" s="1444">
        <v>84.173000000000002</v>
      </c>
      <c r="C39" s="2473" t="s">
        <v>2155</v>
      </c>
      <c r="D39" s="2474"/>
      <c r="E39" s="2474"/>
      <c r="F39" s="2475"/>
      <c r="G39" s="2476">
        <f>' SEFA'!F27</f>
        <v>44130</v>
      </c>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618447</v>
      </c>
      <c r="H43" s="2469"/>
      <c r="I43" s="2469"/>
    </row>
    <row r="44" spans="2:9" ht="12.75" customHeight="1" x14ac:dyDescent="0.2"/>
    <row r="45" spans="2:9" ht="12.75" customHeight="1" x14ac:dyDescent="0.2">
      <c r="B45" s="1435" t="s">
        <v>1952</v>
      </c>
      <c r="D45" s="2470">
        <f>' SEFA (2)'!F15</f>
        <v>974656</v>
      </c>
      <c r="E45" s="2471"/>
    </row>
    <row r="46" spans="2:9" ht="5.25" customHeight="1" x14ac:dyDescent="0.2">
      <c r="B46" s="1445"/>
      <c r="D46" s="1446"/>
      <c r="E46" s="1447"/>
    </row>
    <row r="47" spans="2:9" ht="12.75" customHeight="1" x14ac:dyDescent="0.2">
      <c r="B47" s="1300" t="s">
        <v>1676</v>
      </c>
      <c r="C47" s="1300"/>
      <c r="D47" s="1448">
        <f>+G43/D45</f>
        <v>0.63452849005187473</v>
      </c>
      <c r="E47" s="1449"/>
      <c r="F47" s="1450"/>
      <c r="I47" s="1451"/>
    </row>
    <row r="48" spans="2:9" ht="9.9499999999999993" customHeight="1" x14ac:dyDescent="0.2"/>
    <row r="49" spans="1:9" x14ac:dyDescent="0.2">
      <c r="B49" s="1368" t="s">
        <v>1335</v>
      </c>
      <c r="C49" s="1282"/>
      <c r="D49" s="1282"/>
      <c r="E49" s="2472">
        <v>750000</v>
      </c>
      <c r="F49" s="2472"/>
      <c r="G49" s="2472"/>
      <c r="H49" s="322"/>
    </row>
    <row r="51" spans="1:9" ht="13.5" customHeight="1" x14ac:dyDescent="0.2">
      <c r="B51" s="1368" t="s">
        <v>1334</v>
      </c>
      <c r="C51" s="1282"/>
      <c r="E51" s="1438" t="s">
        <v>2077</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Mokena School District 159</v>
      </c>
      <c r="C1" s="2477"/>
      <c r="D1" s="2477"/>
      <c r="E1" s="2477"/>
      <c r="F1" s="2477"/>
      <c r="G1" s="2477"/>
      <c r="H1" s="2477"/>
      <c r="I1" s="2477"/>
      <c r="J1" s="2477"/>
      <c r="K1" s="2477"/>
      <c r="L1" s="1374"/>
      <c r="M1" s="1374"/>
    </row>
    <row r="2" spans="1:13" ht="12" customHeight="1" x14ac:dyDescent="0.2">
      <c r="B2" s="2479">
        <f>'Single Audit Cover'!E7</f>
        <v>56099159002</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Mokena School District 159</v>
      </c>
      <c r="C1" s="2500"/>
      <c r="D1" s="2500"/>
      <c r="E1" s="2500"/>
      <c r="F1" s="2500"/>
      <c r="G1" s="2500"/>
      <c r="H1" s="2500"/>
      <c r="I1" s="2500"/>
      <c r="J1" s="2500"/>
      <c r="K1" s="2500"/>
      <c r="L1" s="1465"/>
    </row>
    <row r="2" spans="1:12" ht="12.75" customHeight="1" x14ac:dyDescent="0.2">
      <c r="B2" s="2501">
        <f>'Single Audit Cover'!E7</f>
        <v>56099159002</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Mokena School District 159</v>
      </c>
      <c r="C1" s="2477"/>
      <c r="D1" s="2477"/>
      <c r="E1" s="1491"/>
    </row>
    <row r="2" spans="2:5" s="1282" customFormat="1" ht="12.75" customHeight="1" x14ac:dyDescent="0.2">
      <c r="B2" s="2479">
        <f>'Single Audit Cover'!E7</f>
        <v>56099159002</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H50" sqref="H5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574488096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2.5870000000000001E-2</v>
      </c>
      <c r="E10" s="356" t="s">
        <v>1062</v>
      </c>
      <c r="F10" s="355">
        <v>2.163E-3</v>
      </c>
      <c r="G10" s="356" t="s">
        <v>1062</v>
      </c>
      <c r="H10" s="355">
        <v>7.3999999999999999E-4</v>
      </c>
      <c r="I10" s="356" t="s">
        <v>1063</v>
      </c>
      <c r="J10" s="1754">
        <f>ROUND(D10+F10+H10,5)</f>
        <v>2.877E-2</v>
      </c>
      <c r="K10" s="222"/>
      <c r="L10" s="355">
        <v>1.22E-4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18513849</v>
      </c>
      <c r="E16" s="356"/>
      <c r="F16" s="1755">
        <f>SUM('Acct Summary 7-8'!C17,'Acct Summary 7-8'!D17,'Acct Summary 7-8'!F17)</f>
        <v>16653742</v>
      </c>
      <c r="G16" s="356"/>
      <c r="H16" s="1755">
        <f>SUM(D16-F16)</f>
        <v>1860107</v>
      </c>
      <c r="I16" s="222"/>
      <c r="J16" s="1755">
        <f>SUM('Acct Summary 7-8'!C81,'Acct Summary 7-8'!D81,'Acct Summary 7-8'!F81,'Acct Summary 7-8'!I81)</f>
        <v>13650017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39639678.624000005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7932965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Mokena School District 159</v>
      </c>
      <c r="E7" s="391"/>
      <c r="G7" s="252"/>
      <c r="H7" s="387"/>
      <c r="I7" s="387"/>
      <c r="J7" s="387"/>
      <c r="K7" s="387"/>
      <c r="L7" s="329"/>
      <c r="M7" s="329"/>
      <c r="N7" s="329"/>
      <c r="O7" s="329"/>
      <c r="P7" s="329"/>
    </row>
    <row r="8" spans="1:18" ht="12.75" x14ac:dyDescent="0.2">
      <c r="A8" s="329"/>
      <c r="B8" s="329"/>
      <c r="C8" s="389" t="s">
        <v>1187</v>
      </c>
      <c r="D8" s="392">
        <f>COVER!A13</f>
        <v>56099159002</v>
      </c>
      <c r="E8" s="393"/>
      <c r="G8" s="329"/>
      <c r="H8" s="329"/>
      <c r="I8" s="329"/>
      <c r="J8" s="329"/>
      <c r="K8" s="329"/>
      <c r="L8" s="329"/>
      <c r="M8" s="329"/>
      <c r="N8" s="329"/>
      <c r="O8" s="329"/>
      <c r="P8" s="329"/>
    </row>
    <row r="9" spans="1:18" ht="12.75" x14ac:dyDescent="0.2">
      <c r="A9" s="329"/>
      <c r="B9" s="329"/>
      <c r="C9" s="389" t="s">
        <v>737</v>
      </c>
      <c r="D9" s="394" t="str">
        <f>COVER!A15</f>
        <v>Will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13650017</v>
      </c>
      <c r="I12" s="404"/>
      <c r="J12" s="404"/>
      <c r="K12" s="405">
        <f>TRUNC((H12/H13*100000),5)/100000</f>
        <v>0.73728682779999999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18513849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16653742</v>
      </c>
      <c r="I17" s="404"/>
      <c r="J17" s="416"/>
      <c r="K17" s="405">
        <f>TRUNC((H17/H18*100000),5)/100000</f>
        <v>0.89952888779999995</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18513849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13652748</v>
      </c>
      <c r="I24" s="422"/>
      <c r="J24" s="422"/>
      <c r="K24" s="423">
        <f>TRUNC(((H24/H25*100000)/100000),2)</f>
        <v>295.12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46260.394439999996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14048819.14363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7932965</v>
      </c>
      <c r="I32" s="420"/>
      <c r="J32" s="420"/>
      <c r="K32" s="423">
        <f>TRUNC(100-((((H32/H33*100))*100)/100),2)</f>
        <v>79.98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39639678.624000005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1862520</v>
      </c>
      <c r="D4" s="466">
        <v>507514</v>
      </c>
      <c r="E4" s="466">
        <v>204635</v>
      </c>
      <c r="F4" s="466">
        <v>477515</v>
      </c>
      <c r="G4" s="466">
        <v>106343</v>
      </c>
      <c r="H4" s="466">
        <v>2567</v>
      </c>
      <c r="I4" s="466">
        <v>529978</v>
      </c>
      <c r="J4" s="467">
        <v>606</v>
      </c>
      <c r="K4" s="466">
        <v>802</v>
      </c>
      <c r="L4" s="466">
        <v>13852</v>
      </c>
      <c r="M4" s="468"/>
      <c r="N4" s="469"/>
    </row>
    <row r="5" spans="1:14" x14ac:dyDescent="0.2">
      <c r="A5" s="463" t="s">
        <v>1049</v>
      </c>
      <c r="B5" s="470">
        <v>120</v>
      </c>
      <c r="C5" s="465">
        <v>6115650</v>
      </c>
      <c r="D5" s="466">
        <v>1471186</v>
      </c>
      <c r="E5" s="466">
        <v>1265719</v>
      </c>
      <c r="F5" s="466">
        <v>976493</v>
      </c>
      <c r="G5" s="466">
        <v>161900</v>
      </c>
      <c r="H5" s="466">
        <v>62822</v>
      </c>
      <c r="I5" s="466">
        <v>1711892</v>
      </c>
      <c r="J5" s="467">
        <v>116300</v>
      </c>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7978170</v>
      </c>
      <c r="D13" s="1759">
        <f t="shared" ref="D13:L13" si="0">SUM(D4:D12)</f>
        <v>1978700</v>
      </c>
      <c r="E13" s="1759">
        <f t="shared" si="0"/>
        <v>1470354</v>
      </c>
      <c r="F13" s="1759">
        <f t="shared" si="0"/>
        <v>1454008</v>
      </c>
      <c r="G13" s="1759">
        <f t="shared" si="0"/>
        <v>268243</v>
      </c>
      <c r="H13" s="1759">
        <f t="shared" si="0"/>
        <v>65389</v>
      </c>
      <c r="I13" s="1759">
        <f t="shared" si="0"/>
        <v>2241870</v>
      </c>
      <c r="J13" s="1759">
        <f t="shared" si="0"/>
        <v>116906</v>
      </c>
      <c r="K13" s="1759">
        <f t="shared" si="0"/>
        <v>802</v>
      </c>
      <c r="L13" s="1759">
        <f t="shared" si="0"/>
        <v>13852</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1092698</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29483208</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723912</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4880862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E38</f>
        <v>1470354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6462611</v>
      </c>
    </row>
    <row r="23" spans="1:14" ht="13.5" customHeight="1" thickBot="1" x14ac:dyDescent="0.25">
      <c r="A23" s="1758" t="s">
        <v>664</v>
      </c>
      <c r="B23" s="1763"/>
      <c r="C23" s="468"/>
      <c r="D23" s="468"/>
      <c r="E23" s="468"/>
      <c r="F23" s="468"/>
      <c r="G23" s="468"/>
      <c r="H23" s="468"/>
      <c r="I23" s="468"/>
      <c r="J23" s="468"/>
      <c r="K23" s="468"/>
      <c r="L23" s="468"/>
      <c r="M23" s="1710">
        <f>SUM(M15:M22)</f>
        <v>36180680</v>
      </c>
      <c r="N23" s="1710">
        <f>SUM(N21:N22)</f>
        <v>7932965</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2731</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2731</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7932965</v>
      </c>
    </row>
    <row r="37" spans="1:14" ht="13.5" thickBot="1" x14ac:dyDescent="0.25">
      <c r="A37" s="1758" t="s">
        <v>674</v>
      </c>
      <c r="B37" s="1763"/>
      <c r="C37" s="477"/>
      <c r="D37" s="477"/>
      <c r="E37" s="477"/>
      <c r="F37" s="477"/>
      <c r="G37" s="477"/>
      <c r="H37" s="477"/>
      <c r="I37" s="477"/>
      <c r="J37" s="477"/>
      <c r="K37" s="477"/>
      <c r="L37" s="480"/>
      <c r="M37" s="468"/>
      <c r="N37" s="1710">
        <f>SUM(N36:N36)</f>
        <v>7932965</v>
      </c>
    </row>
    <row r="38" spans="1:14" s="329" customFormat="1" ht="13.5" customHeight="1" thickTop="1" x14ac:dyDescent="0.2">
      <c r="A38" s="496" t="s">
        <v>440</v>
      </c>
      <c r="B38" s="483">
        <v>714</v>
      </c>
      <c r="C38" s="466"/>
      <c r="D38" s="466">
        <v>1978700</v>
      </c>
      <c r="E38" s="466">
        <v>1470354</v>
      </c>
      <c r="F38" s="466">
        <v>1454008</v>
      </c>
      <c r="G38" s="466">
        <v>268243</v>
      </c>
      <c r="H38" s="466">
        <v>65389</v>
      </c>
      <c r="I38" s="466">
        <v>2241870</v>
      </c>
      <c r="J38" s="467">
        <v>116906</v>
      </c>
      <c r="K38" s="466">
        <v>802</v>
      </c>
      <c r="L38" s="481">
        <v>13852</v>
      </c>
      <c r="M38" s="497"/>
      <c r="N38" s="497"/>
    </row>
    <row r="39" spans="1:14" s="329" customFormat="1" ht="13.5" customHeight="1" x14ac:dyDescent="0.2">
      <c r="A39" s="496" t="s">
        <v>360</v>
      </c>
      <c r="B39" s="483">
        <v>730</v>
      </c>
      <c r="C39" s="466">
        <v>7975439</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36180680</v>
      </c>
      <c r="N40" s="497"/>
    </row>
    <row r="41" spans="1:14" ht="13.5" customHeight="1" thickBot="1" x14ac:dyDescent="0.25">
      <c r="A41" s="1758" t="s">
        <v>676</v>
      </c>
      <c r="B41" s="1728"/>
      <c r="C41" s="1710">
        <f>(SUM(C34,C37,C38,C39))</f>
        <v>7978170</v>
      </c>
      <c r="D41" s="1710">
        <f t="shared" ref="D41:L41" si="2">SUM(D34,D37,D38:D39)</f>
        <v>1978700</v>
      </c>
      <c r="E41" s="1710">
        <f t="shared" si="2"/>
        <v>1470354</v>
      </c>
      <c r="F41" s="1710">
        <f t="shared" si="2"/>
        <v>1454008</v>
      </c>
      <c r="G41" s="1710">
        <f t="shared" si="2"/>
        <v>268243</v>
      </c>
      <c r="H41" s="1710">
        <f t="shared" si="2"/>
        <v>65389</v>
      </c>
      <c r="I41" s="1710">
        <f t="shared" si="2"/>
        <v>2241870</v>
      </c>
      <c r="J41" s="1710">
        <f t="shared" si="2"/>
        <v>116906</v>
      </c>
      <c r="K41" s="1710">
        <f t="shared" si="2"/>
        <v>802</v>
      </c>
      <c r="L41" s="1710">
        <f t="shared" si="2"/>
        <v>13852</v>
      </c>
      <c r="M41" s="1710">
        <f>SUM(M40)</f>
        <v>36180680</v>
      </c>
      <c r="N41" s="1710">
        <f>SUM(N37)</f>
        <v>7932965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1579</v>
      </c>
      <c r="B4" s="1954">
        <v>1000</v>
      </c>
      <c r="C4" s="1764">
        <f>'Revenues 9-14'!C109</f>
        <v>13332701</v>
      </c>
      <c r="D4" s="1764">
        <f>'Revenues 9-14'!D109</f>
        <v>1371393</v>
      </c>
      <c r="E4" s="1764">
        <f>'Revenues 9-14'!E109</f>
        <v>2337209</v>
      </c>
      <c r="F4" s="1764">
        <f>'Revenues 9-14'!F109</f>
        <v>572208</v>
      </c>
      <c r="G4" s="1764">
        <f>'Revenues 9-14'!G109</f>
        <v>383742</v>
      </c>
      <c r="H4" s="1764">
        <f>'Revenues 9-14'!H109</f>
        <v>2767</v>
      </c>
      <c r="I4" s="1764">
        <f>'Revenues 9-14'!I109</f>
        <v>98424</v>
      </c>
      <c r="J4" s="1764">
        <f>'Revenues 9-14'!J109</f>
        <v>146661</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1212591</v>
      </c>
      <c r="D6" s="1765">
        <f>'Revenues 9-14'!D173</f>
        <v>595000</v>
      </c>
      <c r="E6" s="1765">
        <f>'Revenues 9-14'!E173</f>
        <v>0</v>
      </c>
      <c r="F6" s="1765">
        <f>'Revenues 9-14'!F173</f>
        <v>363458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968074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15513366</v>
      </c>
      <c r="D8" s="1710">
        <f t="shared" ref="D8:K8" si="0">SUM(D4:D7)</f>
        <v>1966393</v>
      </c>
      <c r="E8" s="1710">
        <f t="shared" si="0"/>
        <v>2337209</v>
      </c>
      <c r="F8" s="1710">
        <f t="shared" si="0"/>
        <v>935666</v>
      </c>
      <c r="G8" s="1710">
        <f t="shared" si="0"/>
        <v>383742</v>
      </c>
      <c r="H8" s="1710">
        <f t="shared" si="0"/>
        <v>2767</v>
      </c>
      <c r="I8" s="1710">
        <f t="shared" si="0"/>
        <v>98424</v>
      </c>
      <c r="J8" s="1710">
        <f t="shared" si="0"/>
        <v>146661</v>
      </c>
      <c r="K8" s="1710">
        <f t="shared" si="0"/>
        <v>0</v>
      </c>
      <c r="L8" s="347"/>
    </row>
    <row r="9" spans="1:13" ht="15.75" thickTop="1" x14ac:dyDescent="0.2">
      <c r="A9" s="514" t="s">
        <v>1752</v>
      </c>
      <c r="B9" s="515">
        <v>3998</v>
      </c>
      <c r="C9" s="481">
        <v>5501163</v>
      </c>
      <c r="D9" s="516"/>
      <c r="E9" s="481"/>
      <c r="F9" s="481"/>
      <c r="G9" s="517"/>
      <c r="H9" s="481"/>
      <c r="I9" s="509" t="s">
        <v>1231</v>
      </c>
      <c r="J9" s="478"/>
      <c r="K9" s="481"/>
      <c r="L9" s="347"/>
    </row>
    <row r="10" spans="1:13" s="519" customFormat="1" ht="13.5" thickBot="1" x14ac:dyDescent="0.25">
      <c r="A10" s="1758" t="s">
        <v>1235</v>
      </c>
      <c r="B10" s="1731"/>
      <c r="C10" s="1710">
        <f>SUM(C8:C9)</f>
        <v>21014529</v>
      </c>
      <c r="D10" s="1710">
        <f t="shared" ref="D10:K10" si="1">SUM(D8:D9)</f>
        <v>1966393</v>
      </c>
      <c r="E10" s="1710">
        <f t="shared" si="1"/>
        <v>2337209</v>
      </c>
      <c r="F10" s="1710">
        <f t="shared" si="1"/>
        <v>935666</v>
      </c>
      <c r="G10" s="1710">
        <f t="shared" si="1"/>
        <v>383742</v>
      </c>
      <c r="H10" s="1710">
        <f t="shared" si="1"/>
        <v>2767</v>
      </c>
      <c r="I10" s="1710">
        <f t="shared" si="1"/>
        <v>98424</v>
      </c>
      <c r="J10" s="1710">
        <f t="shared" si="1"/>
        <v>146661</v>
      </c>
      <c r="K10" s="1710">
        <f t="shared" si="1"/>
        <v>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9003714</v>
      </c>
      <c r="D12" s="520" t="s">
        <v>1231</v>
      </c>
      <c r="E12" s="468" t="s">
        <v>1231</v>
      </c>
      <c r="F12" s="468" t="s">
        <v>1231</v>
      </c>
      <c r="G12" s="1764">
        <f>'Expenditures 15-22'!K229</f>
        <v>219736</v>
      </c>
      <c r="H12" s="521"/>
      <c r="I12" s="468" t="s">
        <v>1231</v>
      </c>
      <c r="J12" s="468" t="s">
        <v>1231</v>
      </c>
      <c r="K12" s="521" t="s">
        <v>1231</v>
      </c>
      <c r="L12" s="347"/>
    </row>
    <row r="13" spans="1:13" ht="15.75" customHeight="1" x14ac:dyDescent="0.2">
      <c r="A13" s="1598" t="s">
        <v>477</v>
      </c>
      <c r="B13" s="1600">
        <v>2000</v>
      </c>
      <c r="C13" s="1765">
        <f>'Expenditures 15-22'!K74</f>
        <v>3312894</v>
      </c>
      <c r="D13" s="1765">
        <f>'Expenditures 15-22'!K129</f>
        <v>2003322</v>
      </c>
      <c r="E13" s="469" t="s">
        <v>1231</v>
      </c>
      <c r="F13" s="1765">
        <f>'Expenditures 15-22'!K184</f>
        <v>749805</v>
      </c>
      <c r="G13" s="1765">
        <f>'Expenditures 15-22'!K279</f>
        <v>259494</v>
      </c>
      <c r="H13" s="1765">
        <f>'Expenditures 15-22'!K303</f>
        <v>0</v>
      </c>
      <c r="I13" s="468" t="s">
        <v>1231</v>
      </c>
      <c r="J13" s="1765">
        <f>'Expenditures 15-22'!K330</f>
        <v>153628</v>
      </c>
      <c r="K13" s="1769">
        <f>'Expenditures 15-22'!K352</f>
        <v>0</v>
      </c>
      <c r="L13" s="347"/>
    </row>
    <row r="14" spans="1:13" ht="15.75" customHeight="1" x14ac:dyDescent="0.2">
      <c r="A14" s="1598" t="s">
        <v>469</v>
      </c>
      <c r="B14" s="1600">
        <v>3000</v>
      </c>
      <c r="C14" s="1765">
        <f>'Expenditures 15-22'!K75</f>
        <v>34709</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1450666</v>
      </c>
      <c r="D15" s="1765">
        <f>'Expenditures 15-22'!K139</f>
        <v>52952</v>
      </c>
      <c r="E15" s="1765">
        <f>'Expenditures 15-22'!K160</f>
        <v>0</v>
      </c>
      <c r="F15" s="1765">
        <f>'Expenditures 15-22'!K196</f>
        <v>45680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2264587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13801983</v>
      </c>
      <c r="D17" s="1710">
        <f t="shared" si="2"/>
        <v>2056274</v>
      </c>
      <c r="E17" s="1710">
        <f t="shared" si="2"/>
        <v>2264587</v>
      </c>
      <c r="F17" s="1710">
        <f t="shared" si="2"/>
        <v>795485</v>
      </c>
      <c r="G17" s="1710">
        <f t="shared" si="2"/>
        <v>479230</v>
      </c>
      <c r="H17" s="1710">
        <f t="shared" si="2"/>
        <v>0</v>
      </c>
      <c r="I17" s="468"/>
      <c r="J17" s="1710">
        <f>SUM(J12:J16)</f>
        <v>153628</v>
      </c>
      <c r="K17" s="1710">
        <f>SUM(K12:K16)</f>
        <v>0</v>
      </c>
      <c r="L17" s="347"/>
    </row>
    <row r="18" spans="1:12" ht="15" customHeight="1" thickTop="1" x14ac:dyDescent="0.2">
      <c r="A18" s="1766" t="s">
        <v>1753</v>
      </c>
      <c r="B18" s="1767">
        <v>4180</v>
      </c>
      <c r="C18" s="1764">
        <f t="shared" ref="C18:H18" si="3">C9</f>
        <v>5501163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19303146</v>
      </c>
      <c r="D19" s="1710">
        <f t="shared" si="4"/>
        <v>2056274</v>
      </c>
      <c r="E19" s="1710">
        <f t="shared" si="4"/>
        <v>2264587</v>
      </c>
      <c r="F19" s="1710">
        <f t="shared" si="4"/>
        <v>795485</v>
      </c>
      <c r="G19" s="1710">
        <f t="shared" si="4"/>
        <v>479230</v>
      </c>
      <c r="H19" s="1710">
        <f t="shared" si="4"/>
        <v>0</v>
      </c>
      <c r="I19" s="468"/>
      <c r="J19" s="1710">
        <f>SUM(J17:J18)</f>
        <v>153628</v>
      </c>
      <c r="K19" s="1710">
        <f>SUM(K17:K18)</f>
        <v>0</v>
      </c>
      <c r="L19" s="347"/>
    </row>
    <row r="20" spans="1:12" ht="16.5" thickTop="1" thickBot="1" x14ac:dyDescent="0.25">
      <c r="A20" s="2143" t="s">
        <v>1754</v>
      </c>
      <c r="B20" s="2144"/>
      <c r="C20" s="1768">
        <f>C8-C17</f>
        <v>1711383</v>
      </c>
      <c r="D20" s="1768">
        <f t="shared" ref="D20:K20" si="5">D8-D17</f>
        <v>-89881</v>
      </c>
      <c r="E20" s="1768">
        <f t="shared" si="5"/>
        <v>72622</v>
      </c>
      <c r="F20" s="1768">
        <f t="shared" si="5"/>
        <v>140181</v>
      </c>
      <c r="G20" s="1768">
        <f t="shared" si="5"/>
        <v>-95488</v>
      </c>
      <c r="H20" s="1768">
        <f t="shared" si="5"/>
        <v>2767</v>
      </c>
      <c r="I20" s="1768">
        <f t="shared" si="5"/>
        <v>98424</v>
      </c>
      <c r="J20" s="1768">
        <f t="shared" si="5"/>
        <v>-6967</v>
      </c>
      <c r="K20" s="1768">
        <f t="shared" si="5"/>
        <v>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v>149436</v>
      </c>
      <c r="D75" s="531"/>
      <c r="E75" s="530"/>
      <c r="F75" s="532"/>
      <c r="G75" s="532"/>
      <c r="H75" s="532"/>
      <c r="I75" s="530"/>
      <c r="J75" s="530"/>
      <c r="K75" s="532"/>
      <c r="L75" s="524"/>
    </row>
    <row r="76" spans="1:12" s="485" customFormat="1" ht="14.25" thickTop="1" thickBot="1" x14ac:dyDescent="0.25">
      <c r="A76" s="2133" t="s">
        <v>460</v>
      </c>
      <c r="B76" s="2134"/>
      <c r="C76" s="1725">
        <f t="shared" ref="C76:K76" si="7">SUM(C47:C75)</f>
        <v>149436</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-149436</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1561947</v>
      </c>
      <c r="D78" s="1724">
        <f t="shared" si="9"/>
        <v>-89881</v>
      </c>
      <c r="E78" s="1724">
        <f t="shared" si="9"/>
        <v>72622</v>
      </c>
      <c r="F78" s="1724">
        <f t="shared" si="9"/>
        <v>140181</v>
      </c>
      <c r="G78" s="1724">
        <f t="shared" si="9"/>
        <v>-95488</v>
      </c>
      <c r="H78" s="1724">
        <f t="shared" si="9"/>
        <v>2767</v>
      </c>
      <c r="I78" s="1724">
        <f t="shared" si="9"/>
        <v>98424</v>
      </c>
      <c r="J78" s="1724">
        <f t="shared" si="9"/>
        <v>-6967</v>
      </c>
      <c r="K78" s="1724">
        <f t="shared" si="9"/>
        <v>0</v>
      </c>
      <c r="L78" s="533"/>
    </row>
    <row r="79" spans="1:12" ht="13.5" thickTop="1" x14ac:dyDescent="0.2">
      <c r="A79" s="1516" t="s">
        <v>2073</v>
      </c>
      <c r="B79" s="534"/>
      <c r="C79" s="478">
        <v>6413492</v>
      </c>
      <c r="D79" s="535">
        <v>2068581</v>
      </c>
      <c r="E79" s="535">
        <v>1397732</v>
      </c>
      <c r="F79" s="535">
        <v>1313827</v>
      </c>
      <c r="G79" s="535">
        <v>363731</v>
      </c>
      <c r="H79" s="535">
        <v>62622</v>
      </c>
      <c r="I79" s="535">
        <v>2143446</v>
      </c>
      <c r="J79" s="535">
        <v>123873</v>
      </c>
      <c r="K79" s="535">
        <v>802</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7975439</v>
      </c>
      <c r="D81" s="1710">
        <f>SUM(D78:D80)</f>
        <v>1978700</v>
      </c>
      <c r="E81" s="1710">
        <f t="shared" ref="E81:K81" si="10">SUM(E78:E80)</f>
        <v>1470354</v>
      </c>
      <c r="F81" s="1710">
        <f t="shared" si="10"/>
        <v>1454008</v>
      </c>
      <c r="G81" s="1710">
        <f t="shared" si="10"/>
        <v>268243</v>
      </c>
      <c r="H81" s="1710">
        <f t="shared" si="10"/>
        <v>65389</v>
      </c>
      <c r="I81" s="1710">
        <f t="shared" si="10"/>
        <v>2241870</v>
      </c>
      <c r="J81" s="1710">
        <f t="shared" si="10"/>
        <v>116906</v>
      </c>
      <c r="K81" s="1710">
        <f t="shared" si="10"/>
        <v>802</v>
      </c>
      <c r="L81" s="347"/>
    </row>
    <row r="82" spans="1:12" ht="0.75" customHeight="1" thickTop="1" thickBot="1" x14ac:dyDescent="0.25">
      <c r="A82" s="536" t="s">
        <v>361</v>
      </c>
      <c r="B82" s="537"/>
      <c r="C82" s="538">
        <f>(C81-C79)</f>
        <v>1561947</v>
      </c>
      <c r="D82" s="538">
        <f t="shared" ref="D82:K82" si="11">(D81-D79)</f>
        <v>-89881</v>
      </c>
      <c r="E82" s="538">
        <f t="shared" si="11"/>
        <v>72622</v>
      </c>
      <c r="F82" s="538">
        <f t="shared" si="11"/>
        <v>140181</v>
      </c>
      <c r="G82" s="538">
        <f t="shared" si="11"/>
        <v>-95488</v>
      </c>
      <c r="H82" s="538">
        <f t="shared" si="11"/>
        <v>2767</v>
      </c>
      <c r="I82" s="538">
        <f t="shared" si="11"/>
        <v>98424</v>
      </c>
      <c r="J82" s="538">
        <f t="shared" si="11"/>
        <v>-6967</v>
      </c>
      <c r="K82" s="538">
        <f t="shared" si="11"/>
        <v>0</v>
      </c>
    </row>
    <row r="83" spans="1:12" ht="14.25" hidden="1" thickTop="1" thickBot="1" x14ac:dyDescent="0.25">
      <c r="A83" s="539" t="s">
        <v>362</v>
      </c>
      <c r="B83" s="464"/>
      <c r="C83" s="540">
        <f>C82/C81</f>
        <v>0.19584464253315712</v>
      </c>
      <c r="D83" s="540">
        <f t="shared" ref="D83:K83" si="12">D82/D81</f>
        <v>-4.5424268459089298E-2</v>
      </c>
      <c r="E83" s="540">
        <f t="shared" si="12"/>
        <v>4.9390826970919927E-2</v>
      </c>
      <c r="F83" s="540">
        <f t="shared" si="12"/>
        <v>9.6410061017545984E-2</v>
      </c>
      <c r="G83" s="540">
        <f t="shared" si="12"/>
        <v>-0.35597573841628671</v>
      </c>
      <c r="H83" s="540">
        <f t="shared" si="12"/>
        <v>4.2315985869182893E-2</v>
      </c>
      <c r="I83" s="540">
        <f t="shared" si="12"/>
        <v>4.3902634853938902E-2</v>
      </c>
      <c r="J83" s="540">
        <f t="shared" si="12"/>
        <v>-5.9594888200776693E-2</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G5" sqref="G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11941450</v>
      </c>
      <c r="D5" s="481">
        <v>1254440</v>
      </c>
      <c r="E5" s="466">
        <v>2325138</v>
      </c>
      <c r="F5" s="548">
        <v>384876</v>
      </c>
      <c r="G5" s="466">
        <v>332375</v>
      </c>
      <c r="H5" s="466"/>
      <c r="I5" s="466">
        <v>70564</v>
      </c>
      <c r="J5" s="467">
        <v>145860</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480154</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12421604</v>
      </c>
      <c r="D12" s="1729">
        <f t="shared" si="0"/>
        <v>1254440</v>
      </c>
      <c r="E12" s="1729">
        <f t="shared" si="0"/>
        <v>2325138</v>
      </c>
      <c r="F12" s="1729">
        <f t="shared" si="0"/>
        <v>384876</v>
      </c>
      <c r="G12" s="1729">
        <f t="shared" si="0"/>
        <v>332375</v>
      </c>
      <c r="H12" s="1729">
        <f t="shared" si="0"/>
        <v>0</v>
      </c>
      <c r="I12" s="1729">
        <f t="shared" si="0"/>
        <v>70564</v>
      </c>
      <c r="J12" s="1729">
        <f t="shared" si="0"/>
        <v>145860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58929</v>
      </c>
      <c r="D16" s="466"/>
      <c r="E16" s="466"/>
      <c r="F16" s="466"/>
      <c r="G16" s="466">
        <v>48215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58929</v>
      </c>
      <c r="D18" s="1732">
        <f t="shared" ref="D18:K18" si="1">SUM(D14:D17)</f>
        <v>0</v>
      </c>
      <c r="E18" s="1732">
        <f t="shared" si="1"/>
        <v>0</v>
      </c>
      <c r="F18" s="1732">
        <f t="shared" si="1"/>
        <v>0</v>
      </c>
      <c r="G18" s="1732">
        <f t="shared" si="1"/>
        <v>48215</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165583</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4250</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169833</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77959</v>
      </c>
      <c r="D65" s="466">
        <v>25992</v>
      </c>
      <c r="E65" s="466">
        <v>12071</v>
      </c>
      <c r="F65" s="467">
        <v>16287</v>
      </c>
      <c r="G65" s="466">
        <v>3152</v>
      </c>
      <c r="H65" s="466">
        <v>2767</v>
      </c>
      <c r="I65" s="466">
        <v>27860</v>
      </c>
      <c r="J65" s="467">
        <v>801</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77959</v>
      </c>
      <c r="D67" s="1710">
        <f t="shared" ref="D67:K67" si="2">SUM(D65:D66)</f>
        <v>25992</v>
      </c>
      <c r="E67" s="1710">
        <f t="shared" si="2"/>
        <v>12071</v>
      </c>
      <c r="F67" s="1710">
        <f t="shared" si="2"/>
        <v>16287</v>
      </c>
      <c r="G67" s="1710">
        <f t="shared" si="2"/>
        <v>3152</v>
      </c>
      <c r="H67" s="1710">
        <f t="shared" si="2"/>
        <v>2767</v>
      </c>
      <c r="I67" s="1710">
        <f t="shared" si="2"/>
        <v>27860</v>
      </c>
      <c r="J67" s="1710">
        <f t="shared" si="2"/>
        <v>801</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203560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3237</v>
      </c>
      <c r="D73" s="468"/>
      <c r="E73" s="468"/>
      <c r="F73" s="468"/>
      <c r="G73" s="468"/>
      <c r="H73" s="468"/>
      <c r="I73" s="468"/>
      <c r="J73" s="468"/>
      <c r="K73" s="468"/>
    </row>
    <row r="74" spans="1:11" ht="12.75" customHeight="1" x14ac:dyDescent="0.2">
      <c r="A74" s="463" t="s">
        <v>25</v>
      </c>
      <c r="B74" s="470">
        <v>1690</v>
      </c>
      <c r="C74" s="551">
        <f>9012+76</f>
        <v>9088</v>
      </c>
      <c r="D74" s="468"/>
      <c r="E74" s="468"/>
      <c r="F74" s="468"/>
      <c r="G74" s="468"/>
      <c r="H74" s="468"/>
      <c r="I74" s="468"/>
      <c r="J74" s="468"/>
      <c r="K74" s="468"/>
    </row>
    <row r="75" spans="1:11" ht="12.75" customHeight="1" thickBot="1" x14ac:dyDescent="0.25">
      <c r="A75" s="1730" t="s">
        <v>569</v>
      </c>
      <c r="B75" s="1731"/>
      <c r="C75" s="1710">
        <f>SUM(C69:C74)</f>
        <v>215885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13601+37480+35634</f>
        <v>86715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f>7902+3</f>
        <v>7905</v>
      </c>
      <c r="D81" s="466"/>
      <c r="E81" s="468"/>
      <c r="F81" s="468"/>
      <c r="G81" s="468"/>
      <c r="H81" s="468"/>
      <c r="I81" s="468"/>
      <c r="J81" s="468"/>
      <c r="K81" s="468"/>
    </row>
    <row r="82" spans="1:11" ht="12.75" customHeight="1" thickBot="1" x14ac:dyDescent="0.25">
      <c r="A82" s="1730" t="s">
        <v>259</v>
      </c>
      <c r="B82" s="1731"/>
      <c r="C82" s="1729">
        <f>SUM(C77:C81)</f>
        <v>94620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347001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347001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36593</v>
      </c>
      <c r="D95" s="551">
        <v>24065</v>
      </c>
      <c r="E95" s="521"/>
      <c r="F95" s="521"/>
      <c r="G95" s="521"/>
      <c r="H95" s="521"/>
      <c r="I95" s="521"/>
      <c r="J95" s="521"/>
      <c r="K95" s="521"/>
    </row>
    <row r="96" spans="1:11" ht="12.75" customHeight="1" x14ac:dyDescent="0.2">
      <c r="A96" s="463" t="s">
        <v>409</v>
      </c>
      <c r="B96" s="470">
        <v>1920</v>
      </c>
      <c r="C96" s="551">
        <v>19335</v>
      </c>
      <c r="D96" s="551"/>
      <c r="E96" s="479"/>
      <c r="F96" s="478"/>
      <c r="G96" s="478"/>
      <c r="H96" s="478"/>
      <c r="I96" s="478"/>
      <c r="J96" s="478"/>
      <c r="K96" s="478"/>
    </row>
    <row r="97" spans="1:12" ht="12.75" customHeight="1" x14ac:dyDescent="0.2">
      <c r="A97" s="1517" t="s">
        <v>262</v>
      </c>
      <c r="B97" s="559">
        <v>1930</v>
      </c>
      <c r="C97" s="489"/>
      <c r="D97" s="467">
        <v>61702</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300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4470+9348+23961+22697-1</f>
        <v>60475</v>
      </c>
      <c r="D107" s="466">
        <v>5194</v>
      </c>
      <c r="E107" s="466"/>
      <c r="F107" s="466">
        <v>1212</v>
      </c>
      <c r="G107" s="466"/>
      <c r="H107" s="466"/>
      <c r="I107" s="466"/>
      <c r="J107" s="467"/>
      <c r="K107" s="466"/>
    </row>
    <row r="108" spans="1:12" ht="12.75" customHeight="1" thickBot="1" x14ac:dyDescent="0.25">
      <c r="A108" s="1730" t="s">
        <v>508</v>
      </c>
      <c r="B108" s="1734"/>
      <c r="C108" s="1729">
        <f>SUM(C95:C107)</f>
        <v>116703</v>
      </c>
      <c r="D108" s="1729">
        <f t="shared" ref="D108:K108" si="3">SUM(D95:D107)</f>
        <v>90961</v>
      </c>
      <c r="E108" s="1729">
        <f t="shared" si="3"/>
        <v>0</v>
      </c>
      <c r="F108" s="1729">
        <f t="shared" si="3"/>
        <v>1212</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13332701</v>
      </c>
      <c r="D109" s="1737">
        <f t="shared" si="4"/>
        <v>1371393</v>
      </c>
      <c r="E109" s="1737">
        <f t="shared" si="4"/>
        <v>2337209</v>
      </c>
      <c r="F109" s="1737">
        <f t="shared" si="4"/>
        <v>572208</v>
      </c>
      <c r="G109" s="1737">
        <f t="shared" si="4"/>
        <v>383742</v>
      </c>
      <c r="H109" s="1737">
        <f t="shared" si="4"/>
        <v>2767</v>
      </c>
      <c r="I109" s="1737">
        <f t="shared" si="4"/>
        <v>98424</v>
      </c>
      <c r="J109" s="1737">
        <f t="shared" si="4"/>
        <v>146661</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758159</v>
      </c>
      <c r="D117" s="481">
        <v>595000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758159</v>
      </c>
      <c r="D121" s="1729">
        <f t="shared" si="5"/>
        <v>595000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155525</v>
      </c>
      <c r="D124" s="561"/>
      <c r="E124" s="468"/>
      <c r="F124" s="548"/>
      <c r="G124" s="468"/>
      <c r="H124" s="468"/>
      <c r="I124" s="468"/>
      <c r="J124" s="468"/>
      <c r="K124" s="468"/>
    </row>
    <row r="125" spans="1:11" ht="12.75" customHeight="1" x14ac:dyDescent="0.2">
      <c r="A125" s="463" t="s">
        <v>1521</v>
      </c>
      <c r="B125" s="562">
        <v>3105</v>
      </c>
      <c r="C125" s="466">
        <v>95804</v>
      </c>
      <c r="D125" s="561"/>
      <c r="E125" s="468"/>
      <c r="F125" s="466"/>
      <c r="G125" s="468"/>
      <c r="H125" s="468"/>
      <c r="I125" s="468"/>
      <c r="J125" s="468"/>
      <c r="K125" s="468"/>
    </row>
    <row r="126" spans="1:11" ht="12.75" customHeight="1" x14ac:dyDescent="0.2">
      <c r="A126" s="463" t="s">
        <v>922</v>
      </c>
      <c r="B126" s="562">
        <v>3110</v>
      </c>
      <c r="C126" s="551">
        <v>192546</v>
      </c>
      <c r="D126" s="466"/>
      <c r="E126" s="468"/>
      <c r="F126" s="466"/>
      <c r="G126" s="468"/>
      <c r="H126" s="468"/>
      <c r="I126" s="468"/>
      <c r="J126" s="468"/>
      <c r="K126" s="468"/>
    </row>
    <row r="127" spans="1:11" ht="12.75" customHeight="1" x14ac:dyDescent="0.2">
      <c r="A127" s="463" t="s">
        <v>107</v>
      </c>
      <c r="B127" s="562">
        <v>3120</v>
      </c>
      <c r="C127" s="466">
        <v>-3736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1908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442047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1328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1328</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7993</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7993</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951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17052</v>
      </c>
      <c r="G151" s="467"/>
      <c r="H151" s="468"/>
      <c r="I151" s="468"/>
      <c r="J151" s="468"/>
      <c r="K151" s="468"/>
    </row>
    <row r="152" spans="1:11" ht="12.75" customHeight="1" x14ac:dyDescent="0.2">
      <c r="A152" s="463" t="s">
        <v>1117</v>
      </c>
      <c r="B152" s="562">
        <v>3510</v>
      </c>
      <c r="C152" s="551"/>
      <c r="D152" s="466"/>
      <c r="E152" s="561"/>
      <c r="F152" s="466">
        <v>346406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363458</v>
      </c>
      <c r="G154" s="1729">
        <f>SUM(G151:G153)</f>
        <v>0</v>
      </c>
      <c r="H154" s="468"/>
      <c r="I154" s="468"/>
      <c r="J154" s="468"/>
      <c r="K154" s="468"/>
    </row>
    <row r="155" spans="1:11" ht="12.75" customHeight="1" thickTop="1" thickBot="1" x14ac:dyDescent="0.25">
      <c r="A155" s="1522" t="s">
        <v>398</v>
      </c>
      <c r="B155" s="574">
        <v>3610</v>
      </c>
      <c r="C155" s="576">
        <v>2113</v>
      </c>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454432</v>
      </c>
      <c r="D172" s="1744">
        <f t="shared" si="6"/>
        <v>0</v>
      </c>
      <c r="E172" s="1744">
        <f t="shared" si="6"/>
        <v>0</v>
      </c>
      <c r="F172" s="1744">
        <f t="shared" si="6"/>
        <v>363458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1212591</v>
      </c>
      <c r="D173" s="1737">
        <f>SUM(D121,D172)</f>
        <v>595000</v>
      </c>
      <c r="E173" s="1737">
        <f>SUM(E121,E172)</f>
        <v>0</v>
      </c>
      <c r="F173" s="1737">
        <f t="shared" ref="F173:K173" si="7">SUM(F121,F172)</f>
        <v>363458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90239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90239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147481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147481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v>44130</v>
      </c>
      <c r="D219" s="466"/>
      <c r="E219" s="468"/>
      <c r="F219" s="466"/>
      <c r="G219" s="466"/>
      <c r="H219" s="468"/>
      <c r="I219" s="468"/>
      <c r="J219" s="468"/>
      <c r="K219" s="468"/>
    </row>
    <row r="220" spans="1:11" ht="12.75" customHeight="1" x14ac:dyDescent="0.2">
      <c r="A220" s="463" t="s">
        <v>1529</v>
      </c>
      <c r="B220" s="557">
        <v>4620</v>
      </c>
      <c r="C220" s="551">
        <v>574317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618447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44353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47311</v>
      </c>
      <c r="D270" s="576"/>
      <c r="E270" s="468"/>
      <c r="F270" s="576"/>
      <c r="G270" s="576"/>
      <c r="H270" s="468"/>
      <c r="I270" s="468"/>
      <c r="J270" s="468"/>
      <c r="K270" s="468"/>
    </row>
    <row r="271" spans="1:11" ht="12.75" customHeight="1" thickTop="1" thickBot="1" x14ac:dyDescent="0.25">
      <c r="A271" s="463" t="s">
        <v>395</v>
      </c>
      <c r="B271" s="470">
        <v>4992</v>
      </c>
      <c r="C271" s="575">
        <v>19050</v>
      </c>
      <c r="D271" s="576"/>
      <c r="E271" s="468"/>
      <c r="F271" s="576"/>
      <c r="G271" s="576"/>
      <c r="H271" s="468"/>
      <c r="I271" s="468"/>
      <c r="J271" s="468"/>
      <c r="K271" s="468"/>
    </row>
    <row r="272" spans="1:11" s="594" customFormat="1" ht="12.75" customHeight="1" thickTop="1" thickBot="1" x14ac:dyDescent="0.25">
      <c r="A272" s="563" t="s">
        <v>77</v>
      </c>
      <c r="B272" s="557">
        <v>4999</v>
      </c>
      <c r="C272" s="575">
        <v>1193</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968074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968074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15513366</v>
      </c>
      <c r="D275" s="1737">
        <f t="shared" si="12"/>
        <v>1966393</v>
      </c>
      <c r="E275" s="1737">
        <f t="shared" si="12"/>
        <v>2337209</v>
      </c>
      <c r="F275" s="1737">
        <f t="shared" si="12"/>
        <v>935666</v>
      </c>
      <c r="G275" s="1737">
        <f t="shared" si="12"/>
        <v>383742</v>
      </c>
      <c r="H275" s="1737">
        <f t="shared" si="12"/>
        <v>2767</v>
      </c>
      <c r="I275" s="1737">
        <f t="shared" si="12"/>
        <v>98424</v>
      </c>
      <c r="J275" s="1737">
        <f t="shared" si="12"/>
        <v>146661</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0" activePane="bottomLeft" state="frozen"/>
      <selection activeCell="A47" sqref="A47"/>
      <selection pane="bottomLeft" activeCell="A302" sqref="A30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5315267</v>
      </c>
      <c r="D5" s="466">
        <v>865478</v>
      </c>
      <c r="E5" s="466">
        <v>16085</v>
      </c>
      <c r="F5" s="466">
        <v>394668</v>
      </c>
      <c r="G5" s="466">
        <v>0</v>
      </c>
      <c r="H5" s="466">
        <v>394</v>
      </c>
      <c r="I5" s="467">
        <v>1917</v>
      </c>
      <c r="J5" s="467">
        <v>0</v>
      </c>
      <c r="K5" s="1693">
        <f>SUM(C5:J5)</f>
        <v>6593809</v>
      </c>
      <c r="L5" s="466">
        <v>6671013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66535</v>
      </c>
      <c r="D7" s="467">
        <v>18307</v>
      </c>
      <c r="E7" s="467"/>
      <c r="F7" s="467">
        <v>1000</v>
      </c>
      <c r="G7" s="467"/>
      <c r="H7" s="467"/>
      <c r="I7" s="467"/>
      <c r="J7" s="467"/>
      <c r="K7" s="1693">
        <f t="shared" ref="K7:K32" si="0">SUM(C7:J7)</f>
        <v>85842</v>
      </c>
      <c r="L7" s="466">
        <v>84009</v>
      </c>
    </row>
    <row r="8" spans="1:14" x14ac:dyDescent="0.2">
      <c r="A8" s="1526" t="s">
        <v>166</v>
      </c>
      <c r="B8" s="615">
        <v>1200</v>
      </c>
      <c r="C8" s="466">
        <v>1452288</v>
      </c>
      <c r="D8" s="466">
        <v>301783</v>
      </c>
      <c r="E8" s="466">
        <v>269285</v>
      </c>
      <c r="F8" s="466">
        <v>15602</v>
      </c>
      <c r="G8" s="466"/>
      <c r="H8" s="466">
        <v>1754</v>
      </c>
      <c r="I8" s="467">
        <v>2191</v>
      </c>
      <c r="J8" s="467"/>
      <c r="K8" s="1693">
        <f t="shared" si="0"/>
        <v>2042903</v>
      </c>
      <c r="L8" s="466">
        <v>2106414</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145593</v>
      </c>
      <c r="D10" s="466">
        <v>10577</v>
      </c>
      <c r="E10" s="466"/>
      <c r="F10" s="466">
        <v>2142</v>
      </c>
      <c r="G10" s="466"/>
      <c r="H10" s="466"/>
      <c r="I10" s="467"/>
      <c r="J10" s="467"/>
      <c r="K10" s="1693">
        <f t="shared" si="0"/>
        <v>158312</v>
      </c>
      <c r="L10" s="466">
        <v>162345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v>1264</v>
      </c>
    </row>
    <row r="14" spans="1:14" x14ac:dyDescent="0.2">
      <c r="A14" s="1526" t="s">
        <v>1020</v>
      </c>
      <c r="B14" s="615">
        <v>1500</v>
      </c>
      <c r="C14" s="466"/>
      <c r="D14" s="466"/>
      <c r="E14" s="466">
        <v>10084</v>
      </c>
      <c r="F14" s="466">
        <v>25669</v>
      </c>
      <c r="G14" s="466"/>
      <c r="H14" s="466">
        <v>4204</v>
      </c>
      <c r="I14" s="467"/>
      <c r="J14" s="467"/>
      <c r="K14" s="1693">
        <f t="shared" si="0"/>
        <v>39957</v>
      </c>
      <c r="L14" s="466">
        <v>42950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64450</v>
      </c>
      <c r="D18" s="466">
        <v>752</v>
      </c>
      <c r="E18" s="466">
        <v>33</v>
      </c>
      <c r="F18" s="466">
        <v>17656</v>
      </c>
      <c r="G18" s="466"/>
      <c r="H18" s="466"/>
      <c r="I18" s="467"/>
      <c r="J18" s="467"/>
      <c r="K18" s="1693">
        <f t="shared" si="0"/>
        <v>82891</v>
      </c>
      <c r="L18" s="466">
        <v>84971</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7044133</v>
      </c>
      <c r="D33" s="1692">
        <f t="shared" ref="D33:L33" si="1">SUM(D5:D32)</f>
        <v>1196897</v>
      </c>
      <c r="E33" s="1692">
        <f t="shared" si="1"/>
        <v>295487</v>
      </c>
      <c r="F33" s="1692">
        <f t="shared" si="1"/>
        <v>456737</v>
      </c>
      <c r="G33" s="1692">
        <f t="shared" si="1"/>
        <v>0</v>
      </c>
      <c r="H33" s="1692">
        <f t="shared" si="1"/>
        <v>6352</v>
      </c>
      <c r="I33" s="1692">
        <f t="shared" si="1"/>
        <v>4108</v>
      </c>
      <c r="J33" s="1692">
        <f t="shared" si="1"/>
        <v>0</v>
      </c>
      <c r="K33" s="1692">
        <f t="shared" si="1"/>
        <v>9003714</v>
      </c>
      <c r="L33" s="1692">
        <f t="shared" si="1"/>
        <v>9152966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196414</v>
      </c>
      <c r="D36" s="481">
        <v>45089</v>
      </c>
      <c r="E36" s="481"/>
      <c r="F36" s="481"/>
      <c r="G36" s="481"/>
      <c r="H36" s="481"/>
      <c r="I36" s="467"/>
      <c r="J36" s="467"/>
      <c r="K36" s="1693">
        <f t="shared" ref="K36:K41" si="2">SUM(C36:J36)</f>
        <v>241503</v>
      </c>
      <c r="L36" s="466">
        <v>242235</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127512</v>
      </c>
      <c r="D38" s="466">
        <v>19470</v>
      </c>
      <c r="E38" s="466"/>
      <c r="F38" s="466">
        <v>4568</v>
      </c>
      <c r="G38" s="466"/>
      <c r="H38" s="466"/>
      <c r="I38" s="467"/>
      <c r="J38" s="467"/>
      <c r="K38" s="1693">
        <f t="shared" si="2"/>
        <v>151550</v>
      </c>
      <c r="L38" s="466">
        <v>139228</v>
      </c>
    </row>
    <row r="39" spans="1:14" x14ac:dyDescent="0.2">
      <c r="A39" s="1526" t="s">
        <v>208</v>
      </c>
      <c r="B39" s="615">
        <v>2140</v>
      </c>
      <c r="C39" s="466">
        <v>57471</v>
      </c>
      <c r="D39" s="466">
        <v>9383</v>
      </c>
      <c r="E39" s="466"/>
      <c r="F39" s="466"/>
      <c r="G39" s="466"/>
      <c r="H39" s="466"/>
      <c r="I39" s="467"/>
      <c r="J39" s="467"/>
      <c r="K39" s="1693">
        <f t="shared" si="2"/>
        <v>66854</v>
      </c>
      <c r="L39" s="466">
        <v>68300</v>
      </c>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v>-8</v>
      </c>
      <c r="E41" s="466"/>
      <c r="F41" s="466"/>
      <c r="G41" s="466"/>
      <c r="H41" s="466"/>
      <c r="I41" s="467"/>
      <c r="J41" s="467"/>
      <c r="K41" s="1693">
        <f t="shared" si="2"/>
        <v>-8</v>
      </c>
      <c r="L41" s="466">
        <v>52084</v>
      </c>
    </row>
    <row r="42" spans="1:14" ht="12.75" customHeight="1" thickBot="1" x14ac:dyDescent="0.25">
      <c r="A42" s="1690" t="s">
        <v>581</v>
      </c>
      <c r="B42" s="1691" t="s">
        <v>740</v>
      </c>
      <c r="C42" s="1692">
        <f>SUM(C36:C41)</f>
        <v>381397</v>
      </c>
      <c r="D42" s="1692">
        <f t="shared" ref="D42:L42" si="3">SUM(D36:D41)</f>
        <v>73934</v>
      </c>
      <c r="E42" s="1692">
        <f t="shared" si="3"/>
        <v>0</v>
      </c>
      <c r="F42" s="1692">
        <f t="shared" si="3"/>
        <v>4568</v>
      </c>
      <c r="G42" s="1692">
        <f t="shared" si="3"/>
        <v>0</v>
      </c>
      <c r="H42" s="1692">
        <f t="shared" si="3"/>
        <v>0</v>
      </c>
      <c r="I42" s="1692">
        <f t="shared" si="3"/>
        <v>0</v>
      </c>
      <c r="J42" s="1692">
        <f t="shared" si="3"/>
        <v>0</v>
      </c>
      <c r="K42" s="1692">
        <f t="shared" si="3"/>
        <v>459899</v>
      </c>
      <c r="L42" s="1692">
        <f t="shared" si="3"/>
        <v>501847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262544</v>
      </c>
      <c r="D44" s="481">
        <v>42410</v>
      </c>
      <c r="E44" s="481">
        <v>90278</v>
      </c>
      <c r="F44" s="481">
        <v>27873</v>
      </c>
      <c r="G44" s="481"/>
      <c r="H44" s="481"/>
      <c r="I44" s="467"/>
      <c r="J44" s="467"/>
      <c r="K44" s="1694">
        <f>SUM(C44:J44)</f>
        <v>423105</v>
      </c>
      <c r="L44" s="481">
        <v>487836</v>
      </c>
    </row>
    <row r="45" spans="1:14" x14ac:dyDescent="0.2">
      <c r="A45" s="1526" t="s">
        <v>869</v>
      </c>
      <c r="B45" s="615">
        <v>2220</v>
      </c>
      <c r="C45" s="466"/>
      <c r="D45" s="466"/>
      <c r="E45" s="466"/>
      <c r="F45" s="466">
        <v>8440</v>
      </c>
      <c r="G45" s="466"/>
      <c r="H45" s="466"/>
      <c r="I45" s="467"/>
      <c r="J45" s="467"/>
      <c r="K45" s="1694">
        <f>SUM(C45:J45)</f>
        <v>8440</v>
      </c>
      <c r="L45" s="466">
        <v>11550</v>
      </c>
    </row>
    <row r="46" spans="1:14" x14ac:dyDescent="0.2">
      <c r="A46" s="1526" t="s">
        <v>870</v>
      </c>
      <c r="B46" s="615">
        <v>2230</v>
      </c>
      <c r="C46" s="466"/>
      <c r="D46" s="466"/>
      <c r="E46" s="466"/>
      <c r="F46" s="466">
        <v>5001</v>
      </c>
      <c r="G46" s="466"/>
      <c r="H46" s="466"/>
      <c r="I46" s="467"/>
      <c r="J46" s="467"/>
      <c r="K46" s="1694">
        <f>SUM(C46:J46)</f>
        <v>5001</v>
      </c>
      <c r="L46" s="466">
        <v>7500</v>
      </c>
    </row>
    <row r="47" spans="1:14" ht="12.75" customHeight="1" thickBot="1" x14ac:dyDescent="0.25">
      <c r="A47" s="1690" t="s">
        <v>582</v>
      </c>
      <c r="B47" s="1691" t="s">
        <v>32</v>
      </c>
      <c r="C47" s="1692">
        <f>SUM(C44:C46)</f>
        <v>262544</v>
      </c>
      <c r="D47" s="1692">
        <f t="shared" ref="D47:K47" si="4">SUM(D44:D46)</f>
        <v>42410</v>
      </c>
      <c r="E47" s="1692">
        <f t="shared" si="4"/>
        <v>90278</v>
      </c>
      <c r="F47" s="1692">
        <f t="shared" si="4"/>
        <v>41314</v>
      </c>
      <c r="G47" s="1692">
        <f t="shared" si="4"/>
        <v>0</v>
      </c>
      <c r="H47" s="1692">
        <f t="shared" si="4"/>
        <v>0</v>
      </c>
      <c r="I47" s="1692">
        <f t="shared" si="4"/>
        <v>0</v>
      </c>
      <c r="J47" s="1692">
        <f t="shared" si="4"/>
        <v>0</v>
      </c>
      <c r="K47" s="1692">
        <f t="shared" si="4"/>
        <v>436546</v>
      </c>
      <c r="L47" s="1692">
        <f>SUM(L44:L46)</f>
        <v>506886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1939</v>
      </c>
      <c r="D49" s="481"/>
      <c r="E49" s="481">
        <v>111609</v>
      </c>
      <c r="F49" s="481">
        <v>19209</v>
      </c>
      <c r="G49" s="481"/>
      <c r="H49" s="481">
        <v>15340</v>
      </c>
      <c r="I49" s="467"/>
      <c r="J49" s="467"/>
      <c r="K49" s="1694">
        <f>SUM(C49:J49)</f>
        <v>148097</v>
      </c>
      <c r="L49" s="481">
        <v>153300</v>
      </c>
    </row>
    <row r="50" spans="1:14" x14ac:dyDescent="0.2">
      <c r="A50" s="1526" t="s">
        <v>872</v>
      </c>
      <c r="B50" s="615">
        <v>2320</v>
      </c>
      <c r="C50" s="466">
        <v>268977</v>
      </c>
      <c r="D50" s="466">
        <v>72038</v>
      </c>
      <c r="E50" s="466">
        <v>7248</v>
      </c>
      <c r="F50" s="466">
        <v>4001</v>
      </c>
      <c r="G50" s="466"/>
      <c r="H50" s="466"/>
      <c r="I50" s="467">
        <v>960</v>
      </c>
      <c r="J50" s="467"/>
      <c r="K50" s="1694">
        <f>SUM(C50:J50)</f>
        <v>353224</v>
      </c>
      <c r="L50" s="466">
        <v>360001</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270916</v>
      </c>
      <c r="D53" s="1692">
        <f t="shared" ref="D53:L53" si="5">SUM(D49:D52)</f>
        <v>72038</v>
      </c>
      <c r="E53" s="1692">
        <f t="shared" si="5"/>
        <v>118857</v>
      </c>
      <c r="F53" s="1692">
        <f t="shared" si="5"/>
        <v>23210</v>
      </c>
      <c r="G53" s="1692">
        <f t="shared" si="5"/>
        <v>0</v>
      </c>
      <c r="H53" s="1692">
        <f t="shared" si="5"/>
        <v>15340</v>
      </c>
      <c r="I53" s="1692">
        <f t="shared" si="5"/>
        <v>960</v>
      </c>
      <c r="J53" s="1692">
        <f t="shared" si="5"/>
        <v>0</v>
      </c>
      <c r="K53" s="1692">
        <f t="shared" si="5"/>
        <v>501321</v>
      </c>
      <c r="L53" s="1692">
        <f t="shared" si="5"/>
        <v>513301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693990</v>
      </c>
      <c r="D55" s="481">
        <v>261002</v>
      </c>
      <c r="E55" s="481">
        <v>10869</v>
      </c>
      <c r="F55" s="481">
        <v>4384</v>
      </c>
      <c r="G55" s="481"/>
      <c r="H55" s="481">
        <v>1260</v>
      </c>
      <c r="I55" s="467">
        <v>12986</v>
      </c>
      <c r="J55" s="467"/>
      <c r="K55" s="1694">
        <f>SUM(C55:J55)</f>
        <v>984491</v>
      </c>
      <c r="L55" s="481">
        <v>965085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693990</v>
      </c>
      <c r="D57" s="1696">
        <f t="shared" ref="D57:K57" si="6">SUM(D55:D56)</f>
        <v>261002</v>
      </c>
      <c r="E57" s="1696">
        <f t="shared" si="6"/>
        <v>10869</v>
      </c>
      <c r="F57" s="1696">
        <f t="shared" si="6"/>
        <v>4384</v>
      </c>
      <c r="G57" s="1696">
        <f t="shared" si="6"/>
        <v>0</v>
      </c>
      <c r="H57" s="1696">
        <f t="shared" si="6"/>
        <v>1260</v>
      </c>
      <c r="I57" s="1696">
        <f t="shared" si="6"/>
        <v>12986</v>
      </c>
      <c r="J57" s="1696">
        <f t="shared" si="6"/>
        <v>0</v>
      </c>
      <c r="K57" s="1696">
        <f t="shared" si="6"/>
        <v>984491</v>
      </c>
      <c r="L57" s="1692">
        <f>SUM(L55:L56)</f>
        <v>965085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53684</v>
      </c>
      <c r="D59" s="481">
        <v>17963</v>
      </c>
      <c r="E59" s="481">
        <v>7012</v>
      </c>
      <c r="F59" s="481">
        <v>897</v>
      </c>
      <c r="G59" s="481"/>
      <c r="H59" s="481"/>
      <c r="I59" s="467"/>
      <c r="J59" s="467"/>
      <c r="K59" s="1694">
        <f t="shared" ref="K59:K64" si="7">SUM(C59:J59)</f>
        <v>79556</v>
      </c>
      <c r="L59" s="481">
        <v>81144</v>
      </c>
      <c r="M59" s="610"/>
      <c r="N59" s="610"/>
    </row>
    <row r="60" spans="1:14" s="343" customFormat="1" x14ac:dyDescent="0.2">
      <c r="A60" s="1526" t="s">
        <v>483</v>
      </c>
      <c r="B60" s="615">
        <v>2520</v>
      </c>
      <c r="C60" s="466">
        <v>88902</v>
      </c>
      <c r="D60" s="466">
        <v>19453</v>
      </c>
      <c r="E60" s="466">
        <v>22840</v>
      </c>
      <c r="F60" s="466">
        <v>499</v>
      </c>
      <c r="G60" s="466"/>
      <c r="H60" s="466"/>
      <c r="I60" s="467"/>
      <c r="J60" s="467"/>
      <c r="K60" s="1694">
        <f t="shared" si="7"/>
        <v>131694</v>
      </c>
      <c r="L60" s="466">
        <v>128453</v>
      </c>
      <c r="M60" s="610"/>
      <c r="N60" s="610"/>
    </row>
    <row r="61" spans="1:14" s="343" customFormat="1" x14ac:dyDescent="0.2">
      <c r="A61" s="1526" t="s">
        <v>206</v>
      </c>
      <c r="B61" s="615">
        <v>2540</v>
      </c>
      <c r="C61" s="466"/>
      <c r="D61" s="466"/>
      <c r="E61" s="466">
        <v>29481</v>
      </c>
      <c r="F61" s="466"/>
      <c r="G61" s="466"/>
      <c r="H61" s="466"/>
      <c r="I61" s="467"/>
      <c r="J61" s="467"/>
      <c r="K61" s="1694">
        <f t="shared" si="7"/>
        <v>29481</v>
      </c>
      <c r="L61" s="466">
        <v>30500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164747</v>
      </c>
      <c r="D63" s="466">
        <v>17302</v>
      </c>
      <c r="E63" s="466">
        <v>3406</v>
      </c>
      <c r="F63" s="466">
        <v>110436</v>
      </c>
      <c r="G63" s="466"/>
      <c r="H63" s="466">
        <v>692</v>
      </c>
      <c r="I63" s="467"/>
      <c r="J63" s="467"/>
      <c r="K63" s="1694">
        <f t="shared" si="7"/>
        <v>296583</v>
      </c>
      <c r="L63" s="466">
        <v>328677</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307333</v>
      </c>
      <c r="D65" s="1692">
        <f t="shared" ref="D65:L65" si="8">SUM(D59:D64)</f>
        <v>54718</v>
      </c>
      <c r="E65" s="1692">
        <f t="shared" si="8"/>
        <v>62739</v>
      </c>
      <c r="F65" s="1692">
        <f t="shared" si="8"/>
        <v>111832</v>
      </c>
      <c r="G65" s="1692">
        <f t="shared" si="8"/>
        <v>0</v>
      </c>
      <c r="H65" s="1692">
        <f t="shared" si="8"/>
        <v>692</v>
      </c>
      <c r="I65" s="1692">
        <f t="shared" si="8"/>
        <v>0</v>
      </c>
      <c r="J65" s="1692">
        <f t="shared" si="8"/>
        <v>0</v>
      </c>
      <c r="K65" s="1692">
        <f t="shared" si="8"/>
        <v>537314</v>
      </c>
      <c r="L65" s="1692">
        <f t="shared" si="8"/>
        <v>568774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3375</v>
      </c>
      <c r="D69" s="466"/>
      <c r="E69" s="466">
        <v>44353</v>
      </c>
      <c r="F69" s="466"/>
      <c r="G69" s="466"/>
      <c r="H69" s="466"/>
      <c r="I69" s="467"/>
      <c r="J69" s="467"/>
      <c r="K69" s="1694">
        <f>SUM(C69:J69)</f>
        <v>47728</v>
      </c>
      <c r="L69" s="466">
        <v>60000</v>
      </c>
      <c r="M69" s="610"/>
      <c r="N69" s="610"/>
    </row>
    <row r="70" spans="1:14" s="343" customFormat="1" x14ac:dyDescent="0.2">
      <c r="A70" s="1526" t="s">
        <v>423</v>
      </c>
      <c r="B70" s="615">
        <v>2640</v>
      </c>
      <c r="C70" s="466"/>
      <c r="D70" s="466"/>
      <c r="E70" s="466">
        <v>847</v>
      </c>
      <c r="F70" s="466"/>
      <c r="G70" s="466"/>
      <c r="H70" s="466"/>
      <c r="I70" s="467"/>
      <c r="J70" s="467"/>
      <c r="K70" s="1694">
        <f>SUM(C70:J70)</f>
        <v>847</v>
      </c>
      <c r="L70" s="466">
        <v>1000</v>
      </c>
      <c r="M70" s="610"/>
      <c r="N70" s="610"/>
    </row>
    <row r="71" spans="1:14" s="343" customFormat="1" x14ac:dyDescent="0.2">
      <c r="A71" s="1526" t="s">
        <v>424</v>
      </c>
      <c r="B71" s="615">
        <v>2660</v>
      </c>
      <c r="C71" s="466">
        <v>156617</v>
      </c>
      <c r="D71" s="466">
        <v>48408</v>
      </c>
      <c r="E71" s="466">
        <v>70492</v>
      </c>
      <c r="F71" s="466">
        <v>41958</v>
      </c>
      <c r="G71" s="466"/>
      <c r="H71" s="466"/>
      <c r="I71" s="467">
        <v>20416</v>
      </c>
      <c r="J71" s="467"/>
      <c r="K71" s="1694">
        <f>SUM(C71:J71)</f>
        <v>337891</v>
      </c>
      <c r="L71" s="466">
        <v>502987</v>
      </c>
      <c r="M71" s="610"/>
      <c r="N71" s="610"/>
    </row>
    <row r="72" spans="1:14" s="343" customFormat="1" ht="12.75" customHeight="1" thickBot="1" x14ac:dyDescent="0.25">
      <c r="A72" s="1690" t="s">
        <v>37</v>
      </c>
      <c r="B72" s="1697" t="s">
        <v>36</v>
      </c>
      <c r="C72" s="1692">
        <f>SUM(C67:C71)</f>
        <v>159992</v>
      </c>
      <c r="D72" s="1692">
        <f t="shared" ref="D72:K72" si="9">SUM(D67:D71)</f>
        <v>48408</v>
      </c>
      <c r="E72" s="1692">
        <f t="shared" si="9"/>
        <v>115692</v>
      </c>
      <c r="F72" s="1692">
        <f t="shared" si="9"/>
        <v>41958</v>
      </c>
      <c r="G72" s="1692">
        <f t="shared" si="9"/>
        <v>0</v>
      </c>
      <c r="H72" s="1692">
        <f t="shared" si="9"/>
        <v>0</v>
      </c>
      <c r="I72" s="1692">
        <f t="shared" si="9"/>
        <v>20416</v>
      </c>
      <c r="J72" s="1692">
        <f t="shared" si="9"/>
        <v>0</v>
      </c>
      <c r="K72" s="1692">
        <f t="shared" si="9"/>
        <v>386466</v>
      </c>
      <c r="L72" s="1692">
        <f>SUM(L67:L71)</f>
        <v>563987</v>
      </c>
      <c r="M72" s="610"/>
      <c r="N72" s="610"/>
    </row>
    <row r="73" spans="1:14" s="343" customFormat="1" ht="14.25" thickTop="1" thickBot="1" x14ac:dyDescent="0.25">
      <c r="A73" s="1532" t="s">
        <v>1037</v>
      </c>
      <c r="B73" s="633" t="s">
        <v>595</v>
      </c>
      <c r="C73" s="573"/>
      <c r="D73" s="573"/>
      <c r="E73" s="573"/>
      <c r="F73" s="573"/>
      <c r="G73" s="573"/>
      <c r="H73" s="573">
        <v>6857</v>
      </c>
      <c r="I73" s="531"/>
      <c r="J73" s="531"/>
      <c r="K73" s="1692">
        <f>SUM(C73:J73)</f>
        <v>6857</v>
      </c>
      <c r="L73" s="576">
        <v>1600</v>
      </c>
      <c r="M73" s="610"/>
      <c r="N73" s="610"/>
    </row>
    <row r="74" spans="1:14" ht="12.75" customHeight="1" thickTop="1" thickBot="1" x14ac:dyDescent="0.25">
      <c r="A74" s="1690" t="s">
        <v>865</v>
      </c>
      <c r="B74" s="1698">
        <v>2000</v>
      </c>
      <c r="C74" s="1699">
        <f>SUM(C42,C47,C53,C57,C65,C72,C73)</f>
        <v>2076172</v>
      </c>
      <c r="D74" s="1699">
        <f t="shared" ref="D74:K74" si="10">SUM(D42,D47,D53,D57,D65,D72,D73)</f>
        <v>552510</v>
      </c>
      <c r="E74" s="1699">
        <f t="shared" si="10"/>
        <v>398435</v>
      </c>
      <c r="F74" s="1699">
        <f t="shared" si="10"/>
        <v>227266</v>
      </c>
      <c r="G74" s="1699">
        <f t="shared" si="10"/>
        <v>0</v>
      </c>
      <c r="H74" s="1699">
        <f t="shared" si="10"/>
        <v>24149</v>
      </c>
      <c r="I74" s="1699">
        <f t="shared" si="10"/>
        <v>34362</v>
      </c>
      <c r="J74" s="1699">
        <f t="shared" si="10"/>
        <v>0</v>
      </c>
      <c r="K74" s="1699">
        <f t="shared" si="10"/>
        <v>3312894</v>
      </c>
      <c r="L74" s="1699">
        <f>SUM(L42,L47,L53,L57,L65,L72,L73)</f>
        <v>3621480</v>
      </c>
    </row>
    <row r="75" spans="1:14" s="259" customFormat="1" ht="15.75" customHeight="1" thickTop="1" thickBot="1" x14ac:dyDescent="0.25">
      <c r="A75" s="1632" t="s">
        <v>49</v>
      </c>
      <c r="B75" s="1633" t="s">
        <v>596</v>
      </c>
      <c r="C75" s="573">
        <v>26289</v>
      </c>
      <c r="D75" s="573">
        <v>2655</v>
      </c>
      <c r="E75" s="573">
        <v>900</v>
      </c>
      <c r="F75" s="573">
        <v>4865</v>
      </c>
      <c r="G75" s="573"/>
      <c r="H75" s="573"/>
      <c r="I75" s="531"/>
      <c r="J75" s="531"/>
      <c r="K75" s="1692">
        <f>SUM(C75:J75)</f>
        <v>34709</v>
      </c>
      <c r="L75" s="576">
        <v>33637</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1064188</v>
      </c>
      <c r="F79" s="617"/>
      <c r="G79" s="617"/>
      <c r="H79" s="466">
        <v>386478</v>
      </c>
      <c r="I79" s="477"/>
      <c r="J79" s="477"/>
      <c r="K79" s="1693">
        <f t="shared" si="11"/>
        <v>1450666</v>
      </c>
      <c r="L79" s="466">
        <v>1696110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1064188</v>
      </c>
      <c r="F84" s="617"/>
      <c r="G84" s="617"/>
      <c r="H84" s="1692">
        <f>SUM(H78:H83)</f>
        <v>386478</v>
      </c>
      <c r="I84" s="477"/>
      <c r="J84" s="477"/>
      <c r="K84" s="1692">
        <f>SUM(K78:K83)</f>
        <v>1450666</v>
      </c>
      <c r="L84" s="1692">
        <f>SUM(L78:L83)</f>
        <v>1696110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1064188</v>
      </c>
      <c r="F102" s="617"/>
      <c r="G102" s="617"/>
      <c r="H102" s="1699">
        <f>SUM(H84,H92,H100,H101)</f>
        <v>386478</v>
      </c>
      <c r="I102" s="477"/>
      <c r="J102" s="477"/>
      <c r="K102" s="1699">
        <f>SUM(K84,K92,K100,K101)</f>
        <v>1450666</v>
      </c>
      <c r="L102" s="1699">
        <f>SUM(L84,L92,L100,L101)</f>
        <v>1696110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9146594</v>
      </c>
      <c r="D114" s="1692">
        <f t="shared" ref="D114:K114" si="13">SUM(D33,D74,D75,D102,D112,D113)</f>
        <v>1752062</v>
      </c>
      <c r="E114" s="1692">
        <f t="shared" si="13"/>
        <v>1759010</v>
      </c>
      <c r="F114" s="1692">
        <f t="shared" si="13"/>
        <v>688868</v>
      </c>
      <c r="G114" s="1692">
        <f t="shared" si="13"/>
        <v>0</v>
      </c>
      <c r="H114" s="1692">
        <f>SUM(H33,H74,H75,H102,H112,H113)</f>
        <v>416979</v>
      </c>
      <c r="I114" s="1692">
        <f t="shared" si="13"/>
        <v>38470</v>
      </c>
      <c r="J114" s="1692">
        <f t="shared" si="13"/>
        <v>0</v>
      </c>
      <c r="K114" s="1692">
        <f t="shared" si="13"/>
        <v>13801983</v>
      </c>
      <c r="L114" s="1692">
        <f>SUM(L33,L74,L75,L102,L112,L113)</f>
        <v>14504193</v>
      </c>
    </row>
    <row r="115" spans="1:14" ht="13.5" thickTop="1" x14ac:dyDescent="0.2">
      <c r="A115" s="2198" t="s">
        <v>1053</v>
      </c>
      <c r="B115" s="2199"/>
      <c r="C115" s="619"/>
      <c r="D115" s="619"/>
      <c r="E115" s="619"/>
      <c r="F115" s="619"/>
      <c r="G115" s="619"/>
      <c r="H115" s="619"/>
      <c r="I115" s="619"/>
      <c r="J115" s="619"/>
      <c r="K115" s="1706">
        <f>'Revenues 9-14'!C275-'Expenditures 15-22'!K114</f>
        <v>1711383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66108</v>
      </c>
      <c r="D124" s="466">
        <v>20886</v>
      </c>
      <c r="E124" s="466">
        <v>1131425</v>
      </c>
      <c r="F124" s="466">
        <v>520705</v>
      </c>
      <c r="G124" s="466">
        <v>258468</v>
      </c>
      <c r="H124" s="466"/>
      <c r="I124" s="467">
        <v>5730</v>
      </c>
      <c r="J124" s="467"/>
      <c r="K124" s="1692">
        <f>SUM(C124:J124)</f>
        <v>2003322</v>
      </c>
      <c r="L124" s="466">
        <v>2129685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66108</v>
      </c>
      <c r="D127" s="1692">
        <f t="shared" ref="D127:L127" si="14">SUM(D122:D126)</f>
        <v>20886</v>
      </c>
      <c r="E127" s="1692">
        <f t="shared" si="14"/>
        <v>1131425</v>
      </c>
      <c r="F127" s="1692">
        <f t="shared" si="14"/>
        <v>520705</v>
      </c>
      <c r="G127" s="1692">
        <f t="shared" si="14"/>
        <v>258468</v>
      </c>
      <c r="H127" s="1692">
        <f t="shared" si="14"/>
        <v>0</v>
      </c>
      <c r="I127" s="1692">
        <f t="shared" si="14"/>
        <v>5730</v>
      </c>
      <c r="J127" s="1692">
        <f t="shared" si="14"/>
        <v>0</v>
      </c>
      <c r="K127" s="1692">
        <f t="shared" si="14"/>
        <v>2003322</v>
      </c>
      <c r="L127" s="1692">
        <f t="shared" si="14"/>
        <v>2129685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66108</v>
      </c>
      <c r="D129" s="1699">
        <f t="shared" ref="D129:L129" si="15">SUM(D120,D127,D128)</f>
        <v>20886</v>
      </c>
      <c r="E129" s="1699">
        <f t="shared" si="15"/>
        <v>1131425</v>
      </c>
      <c r="F129" s="1699">
        <f t="shared" si="15"/>
        <v>520705</v>
      </c>
      <c r="G129" s="1699">
        <f t="shared" si="15"/>
        <v>258468</v>
      </c>
      <c r="H129" s="1699">
        <f t="shared" si="15"/>
        <v>0</v>
      </c>
      <c r="I129" s="1699">
        <f t="shared" si="15"/>
        <v>5730</v>
      </c>
      <c r="J129" s="1699">
        <f t="shared" si="15"/>
        <v>0</v>
      </c>
      <c r="K129" s="1699">
        <f t="shared" si="15"/>
        <v>2003322</v>
      </c>
      <c r="L129" s="1699">
        <f t="shared" si="15"/>
        <v>2129685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v>52952</v>
      </c>
      <c r="F134" s="617"/>
      <c r="G134" s="617"/>
      <c r="H134" s="481"/>
      <c r="I134" s="477"/>
      <c r="J134" s="617"/>
      <c r="K134" s="1694">
        <f>SUM(E134,H134)</f>
        <v>52952</v>
      </c>
      <c r="L134" s="481">
        <v>67338</v>
      </c>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52952</v>
      </c>
      <c r="F137" s="617"/>
      <c r="G137" s="617"/>
      <c r="H137" s="1692">
        <f>SUM(H133:H136)</f>
        <v>0</v>
      </c>
      <c r="I137" s="477"/>
      <c r="J137" s="617"/>
      <c r="K137" s="1692">
        <f>SUM(K133:K136)</f>
        <v>52952</v>
      </c>
      <c r="L137" s="1692">
        <f>SUM(L133:L136)</f>
        <v>67338</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52952</v>
      </c>
      <c r="F139" s="617"/>
      <c r="G139" s="617"/>
      <c r="H139" s="1701">
        <f>SUM(H137:H138)</f>
        <v>0</v>
      </c>
      <c r="I139" s="477"/>
      <c r="J139" s="617"/>
      <c r="K139" s="1694">
        <f>SUM(K137,K138)</f>
        <v>52952</v>
      </c>
      <c r="L139" s="1701">
        <f>SUM(L137,L138)</f>
        <v>67338</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66108</v>
      </c>
      <c r="D151" s="1692">
        <f t="shared" ref="D151:K151" si="16">SUM(D129,D130,D139,D149,D150)</f>
        <v>20886</v>
      </c>
      <c r="E151" s="1692">
        <f t="shared" si="16"/>
        <v>1184377</v>
      </c>
      <c r="F151" s="1692">
        <f t="shared" si="16"/>
        <v>520705</v>
      </c>
      <c r="G151" s="1692">
        <f t="shared" si="16"/>
        <v>258468</v>
      </c>
      <c r="H151" s="1692">
        <f t="shared" si="16"/>
        <v>0</v>
      </c>
      <c r="I151" s="1692">
        <f t="shared" si="16"/>
        <v>5730</v>
      </c>
      <c r="J151" s="1692">
        <f t="shared" si="16"/>
        <v>0</v>
      </c>
      <c r="K151" s="1692">
        <f t="shared" si="16"/>
        <v>2056274</v>
      </c>
      <c r="L151" s="1692">
        <f>SUM(L129,L130,L139,L149,L150)</f>
        <v>2197023</v>
      </c>
    </row>
    <row r="152" spans="1:14" ht="12.75" customHeight="1" thickTop="1" x14ac:dyDescent="0.2">
      <c r="A152" s="2191" t="s">
        <v>1240</v>
      </c>
      <c r="B152" s="2192"/>
      <c r="C152" s="619"/>
      <c r="D152" s="619"/>
      <c r="E152" s="619"/>
      <c r="F152" s="619"/>
      <c r="G152" s="619"/>
      <c r="H152" s="619"/>
      <c r="I152" s="619"/>
      <c r="J152" s="617"/>
      <c r="K152" s="1706">
        <f>'Revenues 9-14'!D275-'Expenditures 15-22'!K151</f>
        <v>-89881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1601554</v>
      </c>
      <c r="I169" s="617"/>
      <c r="J169" s="617"/>
      <c r="K169" s="1693">
        <f>SUM(C169:H169)</f>
        <v>1601554</v>
      </c>
      <c r="L169" s="657">
        <v>1601554</v>
      </c>
    </row>
    <row r="170" spans="1:14" ht="33.75" customHeight="1" x14ac:dyDescent="0.2">
      <c r="A170" s="670" t="s">
        <v>1769</v>
      </c>
      <c r="B170" s="672" t="s">
        <v>31</v>
      </c>
      <c r="C170" s="617"/>
      <c r="D170" s="617"/>
      <c r="E170" s="617"/>
      <c r="F170" s="617"/>
      <c r="G170" s="617"/>
      <c r="H170" s="569">
        <v>663033</v>
      </c>
      <c r="I170" s="617"/>
      <c r="J170" s="617"/>
      <c r="K170" s="1693">
        <f>SUM(C170:J170)</f>
        <v>663033</v>
      </c>
      <c r="L170" s="569">
        <v>663033</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2264587</v>
      </c>
      <c r="I172" s="639"/>
      <c r="J172" s="617"/>
      <c r="K172" s="1699">
        <f>SUM(K168,K169,K170,K171)</f>
        <v>2264587</v>
      </c>
      <c r="L172" s="1699">
        <f>SUM(L168,L169,L170,L171)</f>
        <v>2264587</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2264587</v>
      </c>
      <c r="I174" s="639"/>
      <c r="J174" s="617"/>
      <c r="K174" s="1699">
        <f>SUM(K160,K172,K173)</f>
        <v>2264587</v>
      </c>
      <c r="L174" s="1699">
        <f>SUM(L160,L172,L173)</f>
        <v>2264587</v>
      </c>
    </row>
    <row r="175" spans="1:14" ht="13.5" thickTop="1" x14ac:dyDescent="0.2">
      <c r="A175" s="2198" t="s">
        <v>1053</v>
      </c>
      <c r="B175" s="2199"/>
      <c r="C175" s="617"/>
      <c r="D175" s="617"/>
      <c r="E175" s="617"/>
      <c r="F175" s="617"/>
      <c r="G175" s="617"/>
      <c r="H175" s="619"/>
      <c r="I175" s="617"/>
      <c r="J175" s="617"/>
      <c r="K175" s="1706">
        <f>'Revenues 9-14'!E275-'Expenditures 15-22'!K174</f>
        <v>72622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331286</v>
      </c>
      <c r="D182" s="466">
        <v>20908</v>
      </c>
      <c r="E182" s="466">
        <v>354808</v>
      </c>
      <c r="F182" s="466">
        <v>42803</v>
      </c>
      <c r="G182" s="466"/>
      <c r="H182" s="466"/>
      <c r="I182" s="467"/>
      <c r="J182" s="467"/>
      <c r="K182" s="1693">
        <f>SUM(C182:J182)</f>
        <v>749805</v>
      </c>
      <c r="L182" s="466">
        <v>869823</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331286</v>
      </c>
      <c r="D184" s="1699">
        <f t="shared" ref="D184:J184" si="17">SUM(D180,D182,D183)</f>
        <v>20908</v>
      </c>
      <c r="E184" s="1699">
        <f t="shared" si="17"/>
        <v>354808</v>
      </c>
      <c r="F184" s="1699">
        <f t="shared" si="17"/>
        <v>42803</v>
      </c>
      <c r="G184" s="1699">
        <f t="shared" si="17"/>
        <v>0</v>
      </c>
      <c r="H184" s="1699">
        <f t="shared" si="17"/>
        <v>0</v>
      </c>
      <c r="I184" s="1699">
        <f t="shared" si="17"/>
        <v>0</v>
      </c>
      <c r="J184" s="1699">
        <f t="shared" si="17"/>
        <v>0</v>
      </c>
      <c r="K184" s="1699">
        <f>SUM(K180,K182,K183)</f>
        <v>749805</v>
      </c>
      <c r="L184" s="1699">
        <f>SUM(L180, L182:L183)</f>
        <v>869823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v>45680</v>
      </c>
      <c r="F189" s="617"/>
      <c r="G189" s="617"/>
      <c r="H189" s="466"/>
      <c r="I189" s="477"/>
      <c r="J189" s="617"/>
      <c r="K189" s="1693">
        <f t="shared" si="18"/>
        <v>45680</v>
      </c>
      <c r="L189" s="466">
        <v>45946</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45680</v>
      </c>
      <c r="F194" s="617"/>
      <c r="G194" s="617"/>
      <c r="H194" s="1692">
        <f>SUM(H188:H193)</f>
        <v>0</v>
      </c>
      <c r="I194" s="477"/>
      <c r="J194" s="617"/>
      <c r="K194" s="1692">
        <f>SUM(K188:K193)</f>
        <v>45680</v>
      </c>
      <c r="L194" s="1692">
        <f>SUM(L188:L193)</f>
        <v>45946</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45680</v>
      </c>
      <c r="F196" s="617"/>
      <c r="G196" s="617"/>
      <c r="H196" s="1699">
        <f>SUM(H194,H195)</f>
        <v>0</v>
      </c>
      <c r="I196" s="477"/>
      <c r="J196" s="617"/>
      <c r="K196" s="1699">
        <f>SUM(K194,K195)</f>
        <v>45680</v>
      </c>
      <c r="L196" s="1699">
        <f>SUM(L194,L195)</f>
        <v>45946</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331286</v>
      </c>
      <c r="D210" s="1692">
        <f>SUM(D184,D185)</f>
        <v>20908</v>
      </c>
      <c r="E210" s="1692">
        <f>SUM(E184,E185,E196)</f>
        <v>400488</v>
      </c>
      <c r="F210" s="1692">
        <f>SUM(F184,F185)</f>
        <v>42803</v>
      </c>
      <c r="G210" s="1692">
        <f>SUM(G184,G185)</f>
        <v>0</v>
      </c>
      <c r="H210" s="1692">
        <f>SUM(H184,H185,H196,H208,H209)</f>
        <v>0</v>
      </c>
      <c r="I210" s="1692">
        <f>SUM(I184,I185)</f>
        <v>0</v>
      </c>
      <c r="J210" s="1692">
        <f>SUM(J184,J185)</f>
        <v>0</v>
      </c>
      <c r="K210" s="1693">
        <f>SUM(K184,K185,K196,K208,K209)</f>
        <v>795485</v>
      </c>
      <c r="L210" s="1692">
        <f>SUM(L184,L185,L196,L208,L209)</f>
        <v>915769</v>
      </c>
    </row>
    <row r="211" spans="1:14" ht="13.5" thickTop="1" x14ac:dyDescent="0.2">
      <c r="A211" s="2198" t="s">
        <v>1053</v>
      </c>
      <c r="B211" s="2199"/>
      <c r="C211" s="619"/>
      <c r="D211" s="619"/>
      <c r="E211" s="619"/>
      <c r="F211" s="619"/>
      <c r="G211" s="619"/>
      <c r="H211" s="619"/>
      <c r="I211" s="617"/>
      <c r="J211" s="617"/>
      <c r="K211" s="1706">
        <f>'Revenues 9-14'!F275-'Expenditures 15-22'!K210</f>
        <v>140181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112035</v>
      </c>
      <c r="E215" s="617"/>
      <c r="F215" s="617"/>
      <c r="G215" s="617"/>
      <c r="H215" s="617"/>
      <c r="I215" s="617"/>
      <c r="J215" s="617"/>
      <c r="K215" s="1693">
        <f>D215</f>
        <v>112035</v>
      </c>
      <c r="L215" s="466">
        <v>116571</v>
      </c>
    </row>
    <row r="216" spans="1:14" x14ac:dyDescent="0.2">
      <c r="A216" s="1526" t="s">
        <v>165</v>
      </c>
      <c r="B216" s="615" t="s">
        <v>1024</v>
      </c>
      <c r="C216" s="617"/>
      <c r="D216" s="467">
        <v>4328</v>
      </c>
      <c r="E216" s="617"/>
      <c r="F216" s="617"/>
      <c r="G216" s="617"/>
      <c r="H216" s="617"/>
      <c r="I216" s="617"/>
      <c r="J216" s="617"/>
      <c r="K216" s="1693">
        <f t="shared" ref="K216:K228" si="19">D216</f>
        <v>4328</v>
      </c>
      <c r="L216" s="466">
        <v>4075</v>
      </c>
    </row>
    <row r="217" spans="1:14" x14ac:dyDescent="0.2">
      <c r="A217" s="1526" t="s">
        <v>166</v>
      </c>
      <c r="B217" s="615">
        <v>1200</v>
      </c>
      <c r="C217" s="617"/>
      <c r="D217" s="466">
        <v>95512</v>
      </c>
      <c r="E217" s="617"/>
      <c r="F217" s="617"/>
      <c r="G217" s="617"/>
      <c r="H217" s="617"/>
      <c r="I217" s="617"/>
      <c r="J217" s="617"/>
      <c r="K217" s="1693">
        <f t="shared" si="19"/>
        <v>95512</v>
      </c>
      <c r="L217" s="466">
        <v>89525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3954</v>
      </c>
      <c r="E219" s="617"/>
      <c r="F219" s="617"/>
      <c r="G219" s="617"/>
      <c r="H219" s="617"/>
      <c r="I219" s="617"/>
      <c r="J219" s="617"/>
      <c r="K219" s="1693">
        <f t="shared" si="19"/>
        <v>3954</v>
      </c>
      <c r="L219" s="466">
        <v>4961</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3907</v>
      </c>
      <c r="E227" s="617"/>
      <c r="F227" s="617"/>
      <c r="G227" s="617"/>
      <c r="H227" s="617"/>
      <c r="I227" s="617"/>
      <c r="J227" s="617"/>
      <c r="K227" s="1693">
        <f t="shared" si="19"/>
        <v>3907</v>
      </c>
      <c r="L227" s="466">
        <f>8486-4961</f>
        <v>3525</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219736</v>
      </c>
      <c r="E229" s="617"/>
      <c r="F229" s="617"/>
      <c r="G229" s="617"/>
      <c r="H229" s="617"/>
      <c r="I229" s="617"/>
      <c r="J229" s="617"/>
      <c r="K229" s="1692">
        <f>SUM(K215:K228)</f>
        <v>219736</v>
      </c>
      <c r="L229" s="1692">
        <f>SUM(L215:L228)</f>
        <v>218657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2744</v>
      </c>
      <c r="E232" s="617"/>
      <c r="F232" s="617"/>
      <c r="G232" s="617"/>
      <c r="H232" s="617"/>
      <c r="I232" s="617"/>
      <c r="J232" s="617"/>
      <c r="K232" s="1693">
        <f t="shared" ref="K232:K237" si="20">D232</f>
        <v>2744</v>
      </c>
      <c r="L232" s="466">
        <v>2500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26237</v>
      </c>
      <c r="E234" s="617"/>
      <c r="F234" s="617"/>
      <c r="G234" s="617"/>
      <c r="H234" s="617"/>
      <c r="I234" s="617"/>
      <c r="J234" s="617"/>
      <c r="K234" s="1693">
        <f t="shared" si="20"/>
        <v>26237</v>
      </c>
      <c r="L234" s="466">
        <v>22946</v>
      </c>
    </row>
    <row r="235" spans="1:12" x14ac:dyDescent="0.2">
      <c r="A235" s="1526" t="s">
        <v>208</v>
      </c>
      <c r="B235" s="615">
        <v>2140</v>
      </c>
      <c r="C235" s="617"/>
      <c r="D235" s="466">
        <v>824</v>
      </c>
      <c r="E235" s="617"/>
      <c r="F235" s="617"/>
      <c r="G235" s="617"/>
      <c r="H235" s="617"/>
      <c r="I235" s="617"/>
      <c r="J235" s="617"/>
      <c r="K235" s="1693">
        <f t="shared" si="20"/>
        <v>824</v>
      </c>
      <c r="L235" s="466">
        <v>745</v>
      </c>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v>272</v>
      </c>
    </row>
    <row r="238" spans="1:12" ht="12.75" customHeight="1" thickBot="1" x14ac:dyDescent="0.25">
      <c r="A238" s="1690" t="s">
        <v>581</v>
      </c>
      <c r="B238" s="1697" t="s">
        <v>740</v>
      </c>
      <c r="C238" s="617"/>
      <c r="D238" s="1692">
        <f>SUM(D232:D237)</f>
        <v>29805</v>
      </c>
      <c r="E238" s="617"/>
      <c r="F238" s="617"/>
      <c r="G238" s="617"/>
      <c r="H238" s="617"/>
      <c r="I238" s="617"/>
      <c r="J238" s="617"/>
      <c r="K238" s="1692">
        <f>SUM(K232:K237)</f>
        <v>29805</v>
      </c>
      <c r="L238" s="1692">
        <f>SUM(L232:L237)</f>
        <v>26463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11104</v>
      </c>
      <c r="E240" s="617"/>
      <c r="F240" s="617"/>
      <c r="G240" s="617"/>
      <c r="H240" s="617"/>
      <c r="I240" s="617"/>
      <c r="J240" s="617"/>
      <c r="K240" s="1694">
        <f>D240</f>
        <v>11104</v>
      </c>
      <c r="L240" s="481">
        <v>10818</v>
      </c>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11104</v>
      </c>
      <c r="E243" s="617"/>
      <c r="F243" s="617"/>
      <c r="G243" s="617"/>
      <c r="H243" s="617"/>
      <c r="I243" s="617"/>
      <c r="J243" s="617"/>
      <c r="K243" s="1692">
        <f>SUM(K240:K242)</f>
        <v>11104</v>
      </c>
      <c r="L243" s="1692">
        <f>SUM(L240:L242)</f>
        <v>10818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370</v>
      </c>
      <c r="E245" s="617"/>
      <c r="F245" s="617"/>
      <c r="G245" s="617"/>
      <c r="H245" s="617"/>
      <c r="I245" s="617"/>
      <c r="J245" s="617"/>
      <c r="K245" s="1694">
        <f>D245</f>
        <v>370</v>
      </c>
      <c r="L245" s="481">
        <v>500</v>
      </c>
    </row>
    <row r="246" spans="1:12" x14ac:dyDescent="0.2">
      <c r="A246" s="1526" t="s">
        <v>872</v>
      </c>
      <c r="B246" s="615">
        <v>2320</v>
      </c>
      <c r="C246" s="617"/>
      <c r="D246" s="466">
        <v>16327</v>
      </c>
      <c r="E246" s="617"/>
      <c r="F246" s="617"/>
      <c r="G246" s="617"/>
      <c r="H246" s="617"/>
      <c r="I246" s="617"/>
      <c r="J246" s="617"/>
      <c r="K246" s="1694">
        <f t="shared" ref="K246:K256" si="21">D246</f>
        <v>16327</v>
      </c>
      <c r="L246" s="466">
        <f>16302-500</f>
        <v>15802</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16697</v>
      </c>
      <c r="E257" s="617"/>
      <c r="F257" s="617"/>
      <c r="G257" s="617"/>
      <c r="H257" s="617"/>
      <c r="I257" s="617"/>
      <c r="J257" s="617"/>
      <c r="K257" s="1692">
        <f>SUM(K245:K256)</f>
        <v>16697</v>
      </c>
      <c r="L257" s="1692">
        <f>SUM(L245:L256)</f>
        <v>16302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54343</v>
      </c>
      <c r="E259" s="617"/>
      <c r="F259" s="617"/>
      <c r="G259" s="617"/>
      <c r="H259" s="617"/>
      <c r="I259" s="617"/>
      <c r="J259" s="617"/>
      <c r="K259" s="1694">
        <f>D259</f>
        <v>54343</v>
      </c>
      <c r="L259" s="481">
        <v>52858</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54343</v>
      </c>
      <c r="E261" s="617"/>
      <c r="F261" s="617"/>
      <c r="G261" s="617"/>
      <c r="H261" s="617"/>
      <c r="I261" s="617"/>
      <c r="J261" s="617"/>
      <c r="K261" s="1692">
        <f>SUM(K259:K260)</f>
        <v>54343</v>
      </c>
      <c r="L261" s="1692">
        <f>SUM(L259:L260)</f>
        <v>52858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3793</v>
      </c>
      <c r="E263" s="617"/>
      <c r="F263" s="617"/>
      <c r="G263" s="617"/>
      <c r="H263" s="617"/>
      <c r="I263" s="617"/>
      <c r="J263" s="617"/>
      <c r="K263" s="1694">
        <f>D263</f>
        <v>3793</v>
      </c>
      <c r="L263" s="481">
        <v>3504</v>
      </c>
    </row>
    <row r="264" spans="1:14" x14ac:dyDescent="0.2">
      <c r="A264" s="1526" t="s">
        <v>483</v>
      </c>
      <c r="B264" s="686">
        <v>2520</v>
      </c>
      <c r="C264" s="617"/>
      <c r="D264" s="466">
        <v>17526</v>
      </c>
      <c r="E264" s="617"/>
      <c r="F264" s="617"/>
      <c r="G264" s="617"/>
      <c r="H264" s="617"/>
      <c r="I264" s="617"/>
      <c r="J264" s="617"/>
      <c r="K264" s="1694">
        <f t="shared" ref="K264:K269" si="22">D264</f>
        <v>17526</v>
      </c>
      <c r="L264" s="466">
        <v>18890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5772</v>
      </c>
      <c r="E266" s="617"/>
      <c r="F266" s="617"/>
      <c r="G266" s="617"/>
      <c r="H266" s="617"/>
      <c r="I266" s="617"/>
      <c r="J266" s="617"/>
      <c r="K266" s="1694">
        <f t="shared" si="22"/>
        <v>5772</v>
      </c>
      <c r="L266" s="466">
        <v>25000</v>
      </c>
    </row>
    <row r="267" spans="1:14" x14ac:dyDescent="0.2">
      <c r="A267" s="1526" t="s">
        <v>1010</v>
      </c>
      <c r="B267" s="615">
        <v>2550</v>
      </c>
      <c r="C267" s="617"/>
      <c r="D267" s="466">
        <v>59676</v>
      </c>
      <c r="E267" s="617"/>
      <c r="F267" s="617"/>
      <c r="G267" s="617"/>
      <c r="H267" s="617"/>
      <c r="I267" s="617"/>
      <c r="J267" s="617"/>
      <c r="K267" s="1694">
        <f t="shared" si="22"/>
        <v>59676</v>
      </c>
      <c r="L267" s="466">
        <v>63213</v>
      </c>
    </row>
    <row r="268" spans="1:14" x14ac:dyDescent="0.2">
      <c r="A268" s="1526" t="s">
        <v>102</v>
      </c>
      <c r="B268" s="615">
        <v>2560</v>
      </c>
      <c r="C268" s="617"/>
      <c r="D268" s="466">
        <v>28375</v>
      </c>
      <c r="E268" s="617"/>
      <c r="F268" s="617"/>
      <c r="G268" s="617"/>
      <c r="H268" s="617"/>
      <c r="I268" s="617"/>
      <c r="J268" s="617"/>
      <c r="K268" s="1694">
        <f t="shared" si="22"/>
        <v>28375</v>
      </c>
      <c r="L268" s="466">
        <v>28732</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115142</v>
      </c>
      <c r="E270" s="617"/>
      <c r="F270" s="617"/>
      <c r="G270" s="617"/>
      <c r="H270" s="617"/>
      <c r="I270" s="617"/>
      <c r="J270" s="617"/>
      <c r="K270" s="1692">
        <f>SUM(K263:K269)</f>
        <v>115142</v>
      </c>
      <c r="L270" s="1692">
        <f>SUM(L263:L269)</f>
        <v>139339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258</v>
      </c>
      <c r="E274" s="617"/>
      <c r="F274" s="617"/>
      <c r="G274" s="617"/>
      <c r="H274" s="617"/>
      <c r="I274" s="617"/>
      <c r="J274" s="617"/>
      <c r="K274" s="1694">
        <f>D274</f>
        <v>258</v>
      </c>
      <c r="L274" s="466">
        <v>0</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f>32403-258</f>
        <v>32145</v>
      </c>
      <c r="E276" s="617"/>
      <c r="F276" s="617"/>
      <c r="G276" s="617"/>
      <c r="H276" s="617"/>
      <c r="I276" s="617"/>
      <c r="J276" s="617"/>
      <c r="K276" s="1694">
        <f>D276</f>
        <v>32145</v>
      </c>
      <c r="L276" s="466">
        <v>31721</v>
      </c>
    </row>
    <row r="277" spans="1:12" ht="12.75" customHeight="1" thickBot="1" x14ac:dyDescent="0.25">
      <c r="A277" s="1713" t="s">
        <v>37</v>
      </c>
      <c r="B277" s="1691" t="s">
        <v>36</v>
      </c>
      <c r="C277" s="617"/>
      <c r="D277" s="1692">
        <f>SUM(D272:D276)</f>
        <v>32403</v>
      </c>
      <c r="E277" s="617"/>
      <c r="F277" s="617"/>
      <c r="G277" s="617"/>
      <c r="H277" s="617"/>
      <c r="I277" s="617"/>
      <c r="J277" s="617"/>
      <c r="K277" s="1692">
        <f>SUM(K272:K276)</f>
        <v>32403</v>
      </c>
      <c r="L277" s="1692">
        <f>SUM(L272:L276)</f>
        <v>31721</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259494</v>
      </c>
      <c r="E279" s="617"/>
      <c r="F279" s="617"/>
      <c r="G279" s="617"/>
      <c r="H279" s="617"/>
      <c r="I279" s="617"/>
      <c r="J279" s="617"/>
      <c r="K279" s="1699">
        <f>SUM(K238,K243,K257,K261,K270,K277,K278)</f>
        <v>259494</v>
      </c>
      <c r="L279" s="1699">
        <f>SUM(L238,L243,L257,L261,L270,L277,L278)</f>
        <v>277501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479230</v>
      </c>
      <c r="E295" s="617"/>
      <c r="F295" s="617"/>
      <c r="G295" s="617"/>
      <c r="H295" s="1692">
        <f>H293</f>
        <v>0</v>
      </c>
      <c r="I295" s="617"/>
      <c r="J295" s="617"/>
      <c r="K295" s="1692">
        <f>SUM(K229,K279,K280,K285,K293,K294)</f>
        <v>479230</v>
      </c>
      <c r="L295" s="1692">
        <f>SUM(L229,L279,L280,L285,L293,L294)</f>
        <v>496158</v>
      </c>
    </row>
    <row r="296" spans="1:14" ht="13.5" thickTop="1" x14ac:dyDescent="0.2">
      <c r="A296" s="2198" t="s">
        <v>1053</v>
      </c>
      <c r="B296" s="2199"/>
      <c r="C296" s="617"/>
      <c r="D296" s="619"/>
      <c r="E296" s="617"/>
      <c r="F296" s="617"/>
      <c r="G296" s="617"/>
      <c r="H296" s="688"/>
      <c r="I296" s="617"/>
      <c r="J296" s="617"/>
      <c r="K296" s="1706">
        <f>'Revenues 9-14'!G275-'Expenditures 15-22'!K295</f>
        <v>-95488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2767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75627</v>
      </c>
      <c r="F320" s="467"/>
      <c r="G320" s="467"/>
      <c r="H320" s="467"/>
      <c r="I320" s="467"/>
      <c r="J320" s="467"/>
      <c r="K320" s="1693">
        <f t="shared" ref="K320:K327" si="24">SUM(C320:J320)</f>
        <v>75627</v>
      </c>
      <c r="L320" s="467">
        <v>75000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78001</v>
      </c>
      <c r="F322" s="467"/>
      <c r="G322" s="467"/>
      <c r="H322" s="467"/>
      <c r="I322" s="467"/>
      <c r="J322" s="467"/>
      <c r="K322" s="1693">
        <f t="shared" si="24"/>
        <v>78001</v>
      </c>
      <c r="L322" s="467">
        <v>78001</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100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153628</v>
      </c>
      <c r="F330" s="1692">
        <f t="shared" si="25"/>
        <v>0</v>
      </c>
      <c r="G330" s="1692">
        <f t="shared" si="25"/>
        <v>0</v>
      </c>
      <c r="H330" s="1692">
        <f t="shared" si="25"/>
        <v>0</v>
      </c>
      <c r="I330" s="1692">
        <f t="shared" si="25"/>
        <v>0</v>
      </c>
      <c r="J330" s="1692">
        <f t="shared" si="25"/>
        <v>0</v>
      </c>
      <c r="K330" s="1692">
        <f>SUM(K319:K329)</f>
        <v>153628</v>
      </c>
      <c r="L330" s="1692">
        <f>SUM(L319:L329)</f>
        <v>153101</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153628</v>
      </c>
      <c r="F342" s="1692">
        <f>SUM(F330)</f>
        <v>0</v>
      </c>
      <c r="G342" s="1692">
        <f>SUM(G330)</f>
        <v>0</v>
      </c>
      <c r="H342" s="1692">
        <f>SUM(H330,H334,H340)</f>
        <v>0</v>
      </c>
      <c r="I342" s="1692">
        <f>SUM(I330)</f>
        <v>0</v>
      </c>
      <c r="J342" s="1692">
        <f>SUM(J330)</f>
        <v>0</v>
      </c>
      <c r="K342" s="1692">
        <f>SUM(K330,K334,K340)</f>
        <v>153628</v>
      </c>
      <c r="L342" s="1699">
        <f>SUM(L330,L340,L341)</f>
        <v>153101</v>
      </c>
    </row>
    <row r="343" spans="1:14" ht="12.75" customHeight="1" thickTop="1" x14ac:dyDescent="0.2">
      <c r="A343" s="2184" t="s">
        <v>1053</v>
      </c>
      <c r="B343" s="2185"/>
      <c r="C343" s="617"/>
      <c r="D343" s="617"/>
      <c r="E343" s="617"/>
      <c r="F343" s="617"/>
      <c r="G343" s="617"/>
      <c r="H343" s="617"/>
      <c r="I343" s="617"/>
      <c r="J343" s="617"/>
      <c r="K343" s="1706">
        <f>'Revenues 9-14'!J275-'Expenditures 15-22'!K342</f>
        <v>-6967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8" t="s">
        <v>1053</v>
      </c>
      <c r="B368" s="2199"/>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microsoft.com/office/2006/metadata/properties"/>
    <ds:schemaRef ds:uri="http://schemas.microsoft.com/office/2006/documentManagement/types"/>
    <ds:schemaRef ds:uri="http://schemas.microsoft.com/office/infopath/2007/PartnerControls"/>
    <ds:schemaRef ds:uri="http://schemas.microsoft.com/sharepoint/v3"/>
    <ds:schemaRef ds:uri="http://purl.org/dc/terms/"/>
    <ds:schemaRef ds:uri="4d435f69-8686-490b-bd6d-b153bf22ab50"/>
    <ds:schemaRef ds:uri="6ce3111e-7420-4802-b50a-75d4e9a0b980"/>
    <ds:schemaRef ds:uri="http://schemas.openxmlformats.org/package/2006/metadata/core-properties"/>
    <ds:schemaRef ds:uri="http://www.w3.org/XML/1998/namespace"/>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2018-06-12T16:04:16Z</cp:lastPrinted>
  <dcterms:created xsi:type="dcterms:W3CDTF">2003-10-29T19:06:34Z</dcterms:created>
  <dcterms:modified xsi:type="dcterms:W3CDTF">2019-08-21T21:21:04Z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03A</vt:lpwstr>
  </property>
</Properties>
</file>