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SD_Files\"/>
    </mc:Choice>
  </mc:AlternateContent>
  <bookViews>
    <workbookView xWindow="0" yWindow="0" windowWidth="20490" windowHeight="775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F17" i="181" l="1"/>
  <c r="H15" i="145" l="1"/>
  <c r="H14" i="145"/>
  <c r="H12" i="145"/>
  <c r="H12" i="11" l="1"/>
  <c r="I12" i="11"/>
  <c r="I13" i="11"/>
  <c r="D13" i="11"/>
  <c r="D12" i="11"/>
  <c r="M19"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G17" i="181" l="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6833" i="106" s="1"/>
  <c r="D6833" i="106" s="1"/>
  <c r="B7761" i="106"/>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6" i="108"/>
  <c r="G26" i="108"/>
  <c r="E27" i="108"/>
  <c r="G27" i="108"/>
  <c r="F31" i="108"/>
  <c r="G28" i="108"/>
  <c r="G30"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D22" i="37" l="1"/>
  <c r="G14" i="4"/>
  <c r="B2609" i="106" s="1"/>
  <c r="D2609" i="106" s="1"/>
  <c r="B7076" i="106"/>
  <c r="D7076" i="106" s="1"/>
  <c r="F71" i="34"/>
  <c r="D24" i="37"/>
  <c r="B4270" i="106" s="1"/>
  <c r="D4270" i="106" s="1"/>
  <c r="F42" i="34"/>
  <c r="D69" i="36"/>
  <c r="E33" i="108"/>
  <c r="B6289" i="106"/>
  <c r="D6289" i="106" s="1"/>
  <c r="K24" i="12"/>
  <c r="B7733" i="106" s="1"/>
  <c r="D7733" i="106" s="1"/>
  <c r="F52" i="34"/>
  <c r="F35" i="34"/>
  <c r="E30" i="108"/>
  <c r="F70" i="34"/>
  <c r="D36" i="108"/>
  <c r="F36" i="108"/>
  <c r="H33" i="118"/>
  <c r="L15" i="11"/>
  <c r="B3459" i="106" s="1"/>
  <c r="D3459" i="106" s="1"/>
  <c r="L13" i="11"/>
  <c r="B2060" i="106" s="1"/>
  <c r="D2060" i="106" s="1"/>
  <c r="F21" i="8"/>
  <c r="H28" i="118"/>
  <c r="D6103" i="106"/>
  <c r="N22" i="3"/>
  <c r="B283" i="106" s="1"/>
  <c r="D283" i="106" s="1"/>
  <c r="L22" i="37"/>
  <c r="G15" i="145"/>
  <c r="L5" i="11"/>
  <c r="B2056" i="106" s="1"/>
  <c r="D2056" i="106" s="1"/>
  <c r="I24" i="12"/>
  <c r="F19" i="7"/>
  <c r="B1807" i="106" s="1"/>
  <c r="D1807" i="106" s="1"/>
  <c r="F56" i="34"/>
  <c r="B7047" i="106"/>
  <c r="D7047" i="106" s="1"/>
  <c r="D14" i="4"/>
  <c r="B2570" i="106" s="1"/>
  <c r="D2570" i="106" s="1"/>
  <c r="F69" i="34"/>
  <c r="F36" i="34"/>
  <c r="B7074" i="106"/>
  <c r="D7074" i="106" s="1"/>
  <c r="J352" i="29"/>
  <c r="J367" i="29" s="1"/>
  <c r="B7245" i="106" s="1"/>
  <c r="D7245" i="106" s="1"/>
  <c r="D12" i="7"/>
  <c r="B1769" i="106" s="1"/>
  <c r="D1769" i="106" s="1"/>
  <c r="D9" i="7"/>
  <c r="B1767" i="106" s="1"/>
  <c r="D1767" i="106" s="1"/>
  <c r="D68" i="36"/>
  <c r="J22" i="37"/>
  <c r="F41" i="34"/>
  <c r="H342" i="29"/>
  <c r="B7221" i="106" s="1"/>
  <c r="D7221" i="106" s="1"/>
  <c r="B6995" i="106"/>
  <c r="D6995" i="106" s="1"/>
  <c r="B7235" i="106"/>
  <c r="D7235" i="106" s="1"/>
  <c r="J210" i="29"/>
  <c r="B7072" i="106" s="1"/>
  <c r="D7072" i="106" s="1"/>
  <c r="F50" i="34"/>
  <c r="D27" i="108"/>
  <c r="C342" i="29"/>
  <c r="B7216" i="106" s="1"/>
  <c r="D7216" i="106" s="1"/>
  <c r="B1223" i="106"/>
  <c r="D1223" i="106" s="1"/>
  <c r="F46" i="34"/>
  <c r="F44" i="34"/>
  <c r="B3647" i="106"/>
  <c r="D3647" i="106" s="1"/>
  <c r="F106" i="34"/>
  <c r="D15" i="7"/>
  <c r="B1772" i="106" s="1"/>
  <c r="D1772" i="106" s="1"/>
  <c r="D4" i="7"/>
  <c r="B1760" i="106" s="1"/>
  <c r="D1760" i="106" s="1"/>
  <c r="D5" i="4"/>
  <c r="B3406" i="106" s="1"/>
  <c r="D3406" i="106" s="1"/>
  <c r="F128" i="34"/>
  <c r="H173" i="5"/>
  <c r="B5906" i="106" s="1"/>
  <c r="D5906" i="106" s="1"/>
  <c r="I210" i="29"/>
  <c r="B7071" i="106" s="1"/>
  <c r="D7071" i="106" s="1"/>
  <c r="F37" i="34"/>
  <c r="G29" i="108"/>
  <c r="E174" i="29"/>
  <c r="B1309" i="106" s="1"/>
  <c r="D1309" i="106" s="1"/>
  <c r="D17" i="7"/>
  <c r="B4104" i="106" s="1"/>
  <c r="D4104" i="106" s="1"/>
  <c r="D13" i="7"/>
  <c r="B3726" i="106" s="1"/>
  <c r="D3726" i="106" s="1"/>
  <c r="B5096" i="106"/>
  <c r="D5096" i="106" s="1"/>
  <c r="B1746" i="106"/>
  <c r="D1746" i="106" s="1"/>
  <c r="G5" i="4"/>
  <c r="B3409" i="106" s="1"/>
  <c r="D3409" i="106" s="1"/>
  <c r="J77" i="4"/>
  <c r="B6262" i="106" s="1"/>
  <c r="D6262" i="106" s="1"/>
  <c r="B1329" i="106"/>
  <c r="D1329" i="106" s="1"/>
  <c r="F61" i="34"/>
  <c r="F66" i="34"/>
  <c r="L367" i="29"/>
  <c r="G38" i="108"/>
  <c r="G34" i="108"/>
  <c r="H112" i="29"/>
  <c r="B7018" i="106" s="1"/>
  <c r="D7018" i="106" s="1"/>
  <c r="F45" i="34"/>
  <c r="G39" i="108"/>
  <c r="E29" i="108"/>
  <c r="F14" i="4"/>
  <c r="B2597" i="106" s="1"/>
  <c r="D2597" i="106" s="1"/>
  <c r="L342" i="29"/>
  <c r="F64" i="34"/>
  <c r="F62" i="34"/>
  <c r="F49" i="34"/>
  <c r="F34" i="34"/>
  <c r="E38" i="108"/>
  <c r="I342" i="29"/>
  <c r="B7222" i="106" s="1"/>
  <c r="D7222" i="106" s="1"/>
  <c r="H365" i="29"/>
  <c r="B7242" i="106" s="1"/>
  <c r="D7242" i="106" s="1"/>
  <c r="B3619" i="106"/>
  <c r="D3619" i="106" s="1"/>
  <c r="K285" i="29"/>
  <c r="B3724" i="106" s="1"/>
  <c r="D3724" i="106" s="1"/>
  <c r="D5" i="7"/>
  <c r="B1761" i="106" s="1"/>
  <c r="D1761" i="106" s="1"/>
  <c r="D11" i="7"/>
  <c r="B1768" i="106" s="1"/>
  <c r="D1768" i="106" s="1"/>
  <c r="F127" i="34"/>
  <c r="D7" i="7"/>
  <c r="B1763" i="106" s="1"/>
  <c r="D1763" i="106" s="1"/>
  <c r="F111" i="34"/>
  <c r="J274" i="5"/>
  <c r="B7054" i="106" s="1"/>
  <c r="D7054" i="106" s="1"/>
  <c r="H109" i="5"/>
  <c r="K76" i="4"/>
  <c r="B3586" i="106" s="1"/>
  <c r="D3586" i="106" s="1"/>
  <c r="D37" i="108"/>
  <c r="F37" i="108"/>
  <c r="F28" i="108"/>
  <c r="E28" i="108"/>
  <c r="D26" i="108"/>
  <c r="B1126" i="106"/>
  <c r="D1126" i="106" s="1"/>
  <c r="F26" i="108"/>
  <c r="B1124" i="106"/>
  <c r="D1124" i="106" s="1"/>
  <c r="B2724" i="106"/>
  <c r="D2724" i="106" s="1"/>
  <c r="B3621" i="106"/>
  <c r="D3621" i="106" s="1"/>
  <c r="C367" i="29"/>
  <c r="B3622" i="106" s="1"/>
  <c r="D3622" i="106" s="1"/>
  <c r="K350" i="29"/>
  <c r="G210" i="29"/>
  <c r="L312" i="29"/>
  <c r="B1410" i="106"/>
  <c r="D1410" i="106" s="1"/>
  <c r="B3649" i="106"/>
  <c r="D3649" i="106" s="1"/>
  <c r="G367" i="29"/>
  <c r="B3650" i="106" s="1"/>
  <c r="D3650" i="106" s="1"/>
  <c r="K184" i="29"/>
  <c r="F13" i="4" s="1"/>
  <c r="B2596" i="106" s="1"/>
  <c r="D2596" i="106" s="1"/>
  <c r="G172" i="5"/>
  <c r="B5770" i="106" s="1"/>
  <c r="D5770" i="106" s="1"/>
  <c r="E109" i="5"/>
  <c r="E4" i="4" s="1"/>
  <c r="B2630" i="106" s="1"/>
  <c r="D2630" i="106" s="1"/>
  <c r="G109" i="5"/>
  <c r="C172" i="5"/>
  <c r="B5214" i="106" s="1"/>
  <c r="D5214" i="106" s="1"/>
  <c r="D109" i="5"/>
  <c r="F131" i="34"/>
  <c r="C109" i="5"/>
  <c r="B5121" i="106" s="1"/>
  <c r="D5121" i="106" s="1"/>
  <c r="I173" i="5"/>
  <c r="B4216" i="106" s="1"/>
  <c r="D4216" i="106" s="1"/>
  <c r="H76" i="4"/>
  <c r="B3298" i="106" s="1"/>
  <c r="D3298" i="106" s="1"/>
  <c r="F77" i="4"/>
  <c r="B3255" i="106" s="1"/>
  <c r="D3255" i="106" s="1"/>
  <c r="D54" i="36"/>
  <c r="J41" i="3"/>
  <c r="B6216" i="106" s="1"/>
  <c r="D6216" i="106" s="1"/>
  <c r="K41" i="3"/>
  <c r="H29" i="118"/>
  <c r="D11" i="37"/>
  <c r="D31" i="36"/>
  <c r="K274" i="5"/>
  <c r="K7" i="4" s="1"/>
  <c r="B3718" i="106" s="1"/>
  <c r="D3718" i="106" s="1"/>
  <c r="F130" i="34"/>
  <c r="I274" i="5"/>
  <c r="B4435" i="106" s="1"/>
  <c r="D4435" i="106" s="1"/>
  <c r="B5232" i="106"/>
  <c r="D5232" i="106" s="1"/>
  <c r="B7041" i="106"/>
  <c r="D7041" i="106" s="1"/>
  <c r="F136" i="34"/>
  <c r="K173" i="5"/>
  <c r="K6" i="4" s="1"/>
  <c r="B3570" i="106" s="1"/>
  <c r="D3570" i="106" s="1"/>
  <c r="F172"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H6" i="4" l="1"/>
  <c r="B2656" i="106" s="1"/>
  <c r="D2656" i="106" s="1"/>
  <c r="G173" i="5"/>
  <c r="B5778" i="106" s="1"/>
  <c r="D5778" i="106" s="1"/>
  <c r="B6014" i="106"/>
  <c r="D6014" i="106" s="1"/>
  <c r="I6" i="4"/>
  <c r="B5011" i="106" s="1"/>
  <c r="D5011" i="106" s="1"/>
  <c r="B3628" i="106"/>
  <c r="D3628" i="106" s="1"/>
  <c r="D7252" i="106"/>
  <c r="D44" i="36"/>
  <c r="K26" i="12"/>
  <c r="B7743" i="106" s="1"/>
  <c r="D7743" i="106" s="1"/>
  <c r="D51" i="36"/>
  <c r="B1879" i="106"/>
  <c r="D1879" i="106" s="1"/>
  <c r="H22" i="37"/>
  <c r="K28" i="118"/>
  <c r="O27" i="118" s="1"/>
  <c r="O29" i="118" s="1"/>
  <c r="D7254" i="106"/>
  <c r="D7255" i="106"/>
  <c r="D7253" i="106"/>
  <c r="D41" i="108"/>
  <c r="E43" i="108" s="1"/>
  <c r="D7256" i="106"/>
  <c r="D7251" i="106"/>
  <c r="D7250" i="106"/>
  <c r="B6022" i="106"/>
  <c r="D6022" i="106" s="1"/>
  <c r="L16" i="11"/>
  <c r="B2061" i="106" s="1"/>
  <c r="D2061" i="106" s="1"/>
  <c r="B2031" i="106"/>
  <c r="D2031" i="106" s="1"/>
  <c r="B1996" i="106"/>
  <c r="D1996" i="106" s="1"/>
  <c r="I26" i="12"/>
  <c r="B7741" i="106" s="1"/>
  <c r="D7741" i="106" s="1"/>
  <c r="C173" i="5"/>
  <c r="B5223" i="106" s="1"/>
  <c r="D5223" i="106" s="1"/>
  <c r="H151" i="29"/>
  <c r="B1273" i="106" s="1"/>
  <c r="D1273" i="106" s="1"/>
  <c r="H275" i="5"/>
  <c r="B5915" i="106" s="1"/>
  <c r="D5915" i="106" s="1"/>
  <c r="H77" i="4"/>
  <c r="B3299" i="106" s="1"/>
  <c r="D3299" i="106" s="1"/>
  <c r="G6" i="4"/>
  <c r="B2604" i="106" s="1"/>
  <c r="D2604" i="106" s="1"/>
  <c r="J7" i="4"/>
  <c r="B6222" i="106" s="1"/>
  <c r="D6222" i="106" s="1"/>
  <c r="K77" i="4"/>
  <c r="B3587" i="106" s="1"/>
  <c r="D3587" i="106" s="1"/>
  <c r="D274" i="5"/>
  <c r="D7" i="4" s="1"/>
  <c r="J16" i="4"/>
  <c r="B6226" i="106" s="1"/>
  <c r="D6226" i="106" s="1"/>
  <c r="K365" i="29"/>
  <c r="K16" i="4" s="1"/>
  <c r="D19" i="7"/>
  <c r="B1775" i="106" s="1"/>
  <c r="D1775" i="106" s="1"/>
  <c r="B5527" i="106"/>
  <c r="D5527" i="106" s="1"/>
  <c r="B5914" i="106"/>
  <c r="D5914" i="106" s="1"/>
  <c r="F41" i="108"/>
  <c r="G43" i="108" s="1"/>
  <c r="B1317" i="106"/>
  <c r="D1317" i="106" s="1"/>
  <c r="B1381" i="106"/>
  <c r="D1381" i="106" s="1"/>
  <c r="L114" i="29"/>
  <c r="K342" i="29"/>
  <c r="F13" i="34" s="1"/>
  <c r="B1365" i="106"/>
  <c r="D1365" i="106" s="1"/>
  <c r="F65" i="34"/>
  <c r="F73" i="34"/>
  <c r="G15" i="4"/>
  <c r="B6032" i="106" s="1"/>
  <c r="D6032" i="106" s="1"/>
  <c r="I7" i="4"/>
  <c r="B4444" i="106" s="1"/>
  <c r="D4444" i="106" s="1"/>
  <c r="B6025" i="106"/>
  <c r="D6025" i="106" s="1"/>
  <c r="H4" i="4"/>
  <c r="B2655" i="106" s="1"/>
  <c r="D2655" i="106" s="1"/>
  <c r="B3670" i="106"/>
  <c r="D3670" i="106" s="1"/>
  <c r="K352" i="29"/>
  <c r="H367" i="29"/>
  <c r="B3660" i="106" s="1"/>
  <c r="D3660" i="106" s="1"/>
  <c r="C114" i="29"/>
  <c r="B757" i="106" s="1"/>
  <c r="D757" i="106" s="1"/>
  <c r="B6024" i="106"/>
  <c r="D6024" i="106" s="1"/>
  <c r="G4" i="4"/>
  <c r="B2603" i="106" s="1"/>
  <c r="D2603" i="106" s="1"/>
  <c r="B5356" i="106"/>
  <c r="D5356" i="106" s="1"/>
  <c r="D4" i="4"/>
  <c r="B2564" i="106" s="1"/>
  <c r="D2564" i="106" s="1"/>
  <c r="C4" i="4"/>
  <c r="B2551" i="106" s="1"/>
  <c r="D2551" i="106" s="1"/>
  <c r="F173" i="5"/>
  <c r="B3568" i="106"/>
  <c r="D3568" i="106" s="1"/>
  <c r="D52" i="36"/>
  <c r="F274"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C6" i="4"/>
  <c r="B2553" i="106" s="1"/>
  <c r="D2553" i="106" s="1"/>
  <c r="K367" i="29"/>
  <c r="B3678" i="106" s="1"/>
  <c r="D3678" i="106" s="1"/>
  <c r="J17" i="4"/>
  <c r="J19" i="4" s="1"/>
  <c r="B6229" i="106" s="1"/>
  <c r="D6229" i="106" s="1"/>
  <c r="B5507" i="106"/>
  <c r="D5507" i="106" s="1"/>
  <c r="D275" i="5"/>
  <c r="B5508" i="106" s="1"/>
  <c r="D5508" i="106" s="1"/>
  <c r="H8" i="4"/>
  <c r="B7224" i="106"/>
  <c r="D7224" i="106" s="1"/>
  <c r="K13" i="4"/>
  <c r="B3572" i="106" s="1"/>
  <c r="D3572" i="106" s="1"/>
  <c r="B3672" i="106"/>
  <c r="D3672" i="106" s="1"/>
  <c r="F275" i="5"/>
  <c r="B5720" i="106" s="1"/>
  <c r="D5720" i="106" s="1"/>
  <c r="B1145" i="106"/>
  <c r="D1145" i="106" s="1"/>
  <c r="E41" i="108"/>
  <c r="E44" i="108" s="1"/>
  <c r="E45" i="108" s="1"/>
  <c r="G41" i="108"/>
  <c r="G44" i="108" s="1"/>
  <c r="G45" i="108" s="1"/>
  <c r="B5653" i="106"/>
  <c r="D5653" i="106" s="1"/>
  <c r="F6" i="4"/>
  <c r="B2593" i="106" s="1"/>
  <c r="D2593" i="106" s="1"/>
  <c r="F7" i="4"/>
  <c r="B2594" i="106" s="1"/>
  <c r="D2594" i="106" s="1"/>
  <c r="B5719" i="106"/>
  <c r="D5719"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10" i="4"/>
  <c r="B6225" i="106" s="1"/>
  <c r="D6225" i="106" s="1"/>
  <c r="B6227" i="106"/>
  <c r="D6227" i="106" s="1"/>
  <c r="F76" i="34"/>
  <c r="K17" i="4"/>
  <c r="K20" i="4" s="1"/>
  <c r="D8" i="4"/>
  <c r="B2568" i="106" s="1"/>
  <c r="D2568" i="106" s="1"/>
  <c r="H10" i="4"/>
  <c r="B4127" i="106" s="1"/>
  <c r="D4127" i="106" s="1"/>
  <c r="B2658" i="106"/>
  <c r="D2658" i="106" s="1"/>
  <c r="J20" i="4"/>
  <c r="B6230" i="106" s="1"/>
  <c r="D6230" i="106" s="1"/>
  <c r="F8" i="4"/>
  <c r="D8" i="14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c r="K19" i="4" l="1"/>
  <c r="B4144" i="106" s="1"/>
  <c r="D4144" i="106" s="1"/>
  <c r="B3575" i="106"/>
  <c r="D3575" i="106" s="1"/>
  <c r="D10" i="4"/>
  <c r="B4123" i="106" s="1"/>
  <c r="D4123" i="106" s="1"/>
  <c r="D20" i="4"/>
  <c r="B2574" i="106" s="1"/>
  <c r="D2574" i="106" s="1"/>
  <c r="J78" i="4"/>
  <c r="J81" i="4" s="1"/>
  <c r="H13" i="118"/>
  <c r="B2595" i="106"/>
  <c r="D2595" i="106" s="1"/>
  <c r="F10" i="4"/>
  <c r="B4125" i="106" s="1"/>
  <c r="D4125"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l="1"/>
  <c r="B6263" i="106"/>
  <c r="D6263" i="106" s="1"/>
  <c r="F179" i="34"/>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<sst xmlns="http://schemas.openxmlformats.org/spreadsheetml/2006/main" count="5056" uniqueCount="2127">
  <si>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</si>
  <si>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</si>
  <si>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</si>
  <si>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</si>
  <si>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</si>
  <si>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</si>
  <si>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</si>
  <si>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</si>
  <si>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</si>
  <si>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</si>
  <si>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</si>
  <si>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</si>
  <si>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</si>
  <si>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</si>
  <si>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</si>
  <si>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</si>
  <si>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</si>
  <si>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</si>
  <si>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</si>
  <si>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</si>
  <si>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</si>
  <si>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</si>
  <si>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</si>
  <si>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</si>
  <si>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</si>
  <si>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</si>
  <si>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</si>
  <si>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</si>
  <si>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</si>
  <si>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</si>
  <si>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</si>
  <si>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</si>
  <si>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</si>
  <si>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</si>
  <si>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</si>
  <si>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</si>
  <si>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</si>
  <si>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</si>
  <si>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</si>
  <si>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</si>
  <si>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</si>
  <si>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</si>
  <si>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</si>
  <si>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</si>
  <si>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</si>
  <si>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</si>
  <si>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</si>
  <si>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</si>
  <si>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</si>
  <si>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</si>
  <si>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</si>
  <si>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</si>
  <si>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</si>
  <si>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</si>
  <si>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</si>
  <si>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</si>
  <si>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</si>
  <si>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</si>
  <si>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</si>
  <si>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</si>
  <si>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</si>
  <si>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</si>
  <si>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</si>
  <si>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</si>
  <si>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</si>
  <si>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</si>
  <si>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</si>
  <si>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</si>
  <si>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</si>
  <si>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</si>
  <si>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</si>
  <si>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</si>
  <si>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</si>
  <si>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</si>
  <si>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</si>
  <si>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</si>
  <si>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</si>
  <si>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</si>
  <si>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</si>
  <si>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</si>
  <si>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</si>
  <si>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</si>
  <si>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</si>
  <si>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</si>
  <si>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</si>
  <si>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</si>
  <si>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</si>
  <si>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</si>
  <si>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</si>
  <si>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</si>
  <si>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</si>
  <si>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</si>
  <si>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</si>
  <si>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</si>
  <si>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</si>
  <si>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</si>
  <si>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</si>
  <si>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</si>
  <si>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</si>
  <si>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</si>
  <si>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</si>
  <si>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</si>
  <si>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</si>
  <si>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</si>
  <si>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</si>
  <si>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</si>
  <si>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</si>
  <si>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</si>
  <si>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</si>
  <si>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</si>
  <si>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</si>
  <si>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</si>
  <si>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</si>
  <si>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</si>
  <si>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</si>
  <si>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</si>
  <si>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</si>
  <si>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</si>
  <si>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</si>
  <si>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</si>
  <si>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</si>
  <si>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</si>
  <si>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</si>
  <si>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</si>
  <si>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</si>
  <si>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</si>
  <si>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</si>
  <si>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</si>
  <si>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</si>
  <si>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</si>
  <si>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</si>
  <si>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</si>
  <si>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</si>
  <si>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</si>
  <si>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</si>
  <si>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</si>
  <si>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</si>
  <si>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</si>
  <si>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</si>
  <si>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</si>
  <si>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</si>
  <si>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</si>
  <si>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</si>
  <si>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</si>
  <si>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</si>
  <si>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</si>
  <si>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</si>
  <si>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</si>
  <si>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</si>
  <si>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</si>
  <si>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</si>
  <si>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</si>
  <si>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</si>
  <si>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</si>
  <si>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</si>
  <si>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</si>
  <si>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</si>
  <si>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</si>
  <si>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</si>
  <si>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</si>
  <si>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</si>
  <si>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</si>
  <si>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</si>
  <si>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</si>
  <si>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</si>
  <si>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</si>
  <si>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</si>
  <si>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</si>
  <si>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</si>
  <si>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</si>
  <si>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</si>
  <si>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</si>
  <si>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</si>
  <si>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</si>
  <si>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</si>
  <si>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</si>
  <si>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</si>
  <si>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</si>
  <si>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</si>
  <si>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</si>
  <si>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</si>
  <si>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</si>
  <si>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</si>
  <si>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</si>
  <si>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</si>
  <si>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</si>
  <si>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</si>
  <si>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</si>
  <si>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</si>
  <si>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</si>
  <si>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</si>
  <si>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</si>
  <si>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</si>
  <si>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</si>
  <si>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</si>
  <si>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</si>
  <si>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</si>
  <si>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</si>
  <si>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</si>
  <si>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</si>
  <si>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</si>
  <si>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</si>
  <si>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</si>
  <si>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</si>
  <si>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</si>
  <si>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</si>
  <si>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</si>
  <si>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</si>
  <si>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</si>
  <si>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</si>
  <si>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</si>
  <si>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</si>
  <si>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</si>
  <si>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</si>
  <si>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</si>
  <si>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</si>
  <si>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</si>
  <si>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</si>
  <si>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</si>
  <si>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</si>
  <si>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</si>
  <si>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</si>
  <si>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</si>
  <si>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</si>
  <si>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</si>
  <si>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</si>
  <si>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</si>
  <si>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</si>
  <si>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</si>
  <si>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</si>
  <si>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</si>
  <si>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</si>
  <si>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</si>
  <si>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</si>
  <si>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</si>
  <si>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</si>
  <si>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</si>
  <si>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</si>
  <si>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</si>
  <si>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</si>
  <si>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</si>
  <si>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</si>
  <si>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</si>
  <si>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</si>
  <si>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</si>
  <si>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</si>
  <si>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</si>
  <si>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</si>
  <si>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</si>
  <si>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</si>
  <si>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</si>
  <si>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</si>
  <si>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</si>
  <si>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</si>
  <si>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</si>
  <si>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</si>
  <si>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</si>
  <si>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</si>
  <si>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</si>
  <si>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</si>
  <si>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</si>
  <si>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</si>
  <si>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</si>
  <si>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</si>
  <si>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</si>
  <si>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</si>
  <si>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</si>
  <si>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</si>
  <si>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</si>
  <si>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</si>
  <si>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</si>
  <si>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</si>
  <si>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</si>
  <si>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</si>
  <si>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</si>
  <si>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</si>
  <si>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</si>
  <si>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</si>
  <si>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</si>
  <si>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</si>
  <si>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</si>
  <si>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</si>
  <si>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</si>
  <si>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</si>
  <si>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</si>
  <si>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</si>
  <si>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</si>
  <si>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</si>
  <si>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</si>
  <si>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</si>
  <si>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</si>
  <si>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</si>
  <si>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</si>
  <si>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</si>
  <si>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</si>
  <si>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</si>
  <si>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</si>
  <si>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</si>
  <si>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</si>
  <si>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</si>
  <si>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</si>
  <si>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</si>
  <si>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</si>
  <si>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</si>
  <si>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</si>
  <si>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</si>
  <si>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</si>
  <si>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</si>
  <si>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</si>
  <si>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</si>
  <si>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</si>
  <si>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</si>
  <si>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</si>
  <si>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</si>
  <si>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</si>
  <si>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</si>
  <si>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</si>
  <si>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</si>
  <si>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</si>
  <si>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</si>
  <si>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</si>
  <si>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</si>
  <si>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</si>
  <si>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</si>
  <si>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</si>
  <si>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</si>
  <si>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</si>
  <si>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</si>
  <si>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</si>
  <si>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</si>
  <si>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</si>
  <si>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</si>
  <si>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</si>
  <si>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</si>
  <si>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</si>
  <si>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</si>
  <si>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</si>
  <si>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</si>
  <si>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</si>
  <si>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</si>
  <si>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</si>
  <si>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</si>
  <si>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</si>
  <si>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</si>
  <si>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</si>
  <si>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</si>
  <si>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</si>
  <si>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</si>
  <si>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</si>
  <si>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</si>
  <si>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</si>
  <si>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</si>
  <si>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</si>
  <si>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</si>
  <si>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</si>
  <si>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</si>
  <si>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</si>
  <si>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</si>
  <si>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</si>
  <si>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</si>
  <si>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</si>
  <si>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</si>
  <si>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</si>
  <si>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</si>
  <si>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</si>
  <si>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</si>
  <si>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</si>
  <si>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</si>
  <si>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</si>
  <si>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</si>
  <si>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</si>
  <si>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</si>
  <si>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</si>
  <si>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</si>
  <si>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</si>
  <si>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</si>
  <si>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</si>
  <si>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</si>
  <si>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</si>
  <si>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</si>
  <si>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</si>
  <si>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</si>
  <si>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</si>
  <si>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</si>
  <si>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</si>
  <si>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</si>
  <si>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</si>
  <si>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</si>
  <si>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</si>
  <si>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</si>
  <si>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</si>
  <si>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</si>
  <si>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</si>
  <si>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</si>
  <si>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</si>
  <si>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</si>
  <si>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</si>
  <si>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</si>
  <si>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</si>
  <si>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</si>
  <si>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</si>
  <si>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</si>
  <si>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</si>
  <si>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</si>
  <si>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</si>
  <si>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</si>
  <si>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</si>
  <si>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</si>
  <si>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</si>
  <si>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</si>
  <si>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</si>
  <si>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</si>
  <si>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</si>
  <si>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</si>
  <si>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</si>
  <si>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</si>
  <si>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</si>
  <si>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</si>
  <si>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</si>
  <si>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</si>
  <si>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</si>
  <si>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</si>
  <si>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</si>
  <si>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</si>
  <si>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</si>
  <si>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</si>
  <si>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</si>
  <si>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</si>
  <si>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</si>
  <si>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</si>
  <si>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</si>
  <si>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</si>
  <si>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</si>
  <si>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</si>
  <si>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</si>
  <si>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</si>
  <si>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</si>
  <si>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</si>
  <si>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</si>
  <si>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</si>
  <si>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</si>
  <si>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</si>
  <si>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</si>
  <si>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</si>
  <si>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</si>
  <si>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</si>
  <si>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</si>
  <si>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</si>
  <si>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</si>
  <si>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</si>
  <si>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</si>
  <si>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</si>
  <si>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</si>
  <si>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</si>
  <si>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</si>
  <si>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</si>
  <si>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</si>
  <si>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</si>
  <si>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</si>
  <si>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</si>
  <si>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</si>
  <si>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</si>
  <si>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</si>
  <si>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</si>
  <si>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</si>
  <si>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</si>
  <si>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</si>
  <si>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</si>
  <si>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</si>
  <si>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</si>
  <si>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</si>
  <si>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</si>
  <si>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</si>
  <si>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</si>
  <si>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</si>
  <si>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</si>
  <si>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</si>
  <si>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</si>
  <si>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</si>
  <si>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</si>
  <si>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</si>
  <si>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</si>
  <si>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</si>
  <si>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</si>
  <si>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</si>
  <si>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</si>
  <si>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</si>
  <si>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</si>
  <si>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</si>
  <si>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</si>
  <si>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</si>
  <si>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</si>
  <si>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</si>
  <si>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</si>
  <si>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</si>
  <si>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</si>
  <si>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</si>
  <si>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</si>
  <si>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</si>
  <si>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</si>
  <si>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</si>
  <si>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</si>
  <si>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</si>
  <si>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</si>
  <si>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</si>
  <si>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</si>
  <si>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</si>
  <si>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</si>
  <si>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</si>
  <si>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</si>
  <si>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</si>
  <si>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</si>
  <si>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</si>
  <si>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</si>
  <si>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</si>
  <si>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</si>
  <si>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</si>
  <si>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</si>
  <si>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</si>
  <si>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</si>
  <si>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</si>
  <si>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</si>
  <si>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</si>
  <si>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</si>
  <si>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</si>
  <si>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</si>
  <si>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</si>
  <si>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</si>
  <si>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</si>
  <si>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</si>
  <si>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</si>
  <si>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</si>
  <si>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</si>
  <si>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</si>
  <si>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</si>
  <si>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</si>
  <si>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</si>
  <si>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</si>
  <si>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</si>
  <si>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</si>
  <si>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</si>
  <si>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</si>
  <si>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</si>
  <si>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</si>
  <si>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</si>
  <si>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</si>
  <si>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</si>
  <si>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</si>
  <si>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</si>
  <si>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</si>
  <si>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</si>
  <si>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</si>
  <si>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</si>
  <si>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</si>
  <si>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</si>
  <si>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</si>
  <si>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</si>
  <si>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</si>
  <si>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</si>
  <si>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</si>
  <si>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</si>
  <si>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</si>
  <si>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</si>
  <si>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</si>
  <si>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</si>
  <si>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</si>
  <si>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</si>
  <si>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</si>
  <si>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</si>
  <si>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</si>
  <si>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</si>
  <si>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</si>
  <si>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</si>
  <si>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</si>
  <si>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</si>
  <si>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</si>
  <si>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</si>
  <si>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</si>
  <si>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</si>
  <si>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</si>
  <si>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</si>
  <si>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</si>
  <si>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</si>
  <si>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</si>
  <si>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</si>
  <si>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</si>
  <si>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</si>
  <si>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</si>
  <si>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</si>
  <si>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</si>
  <si>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</si>
  <si>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</si>
  <si>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</si>
  <si>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</si>
  <si>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</si>
  <si>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</si>
  <si>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</si>
  <si>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</si>
  <si>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</si>
  <si>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</si>
  <si>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</si>
  <si>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</si>
  <si>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</si>
  <si>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</si>
  <si>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</si>
  <si>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</si>
  <si>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</si>
  <si>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</si>
  <si>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</si>
  <si>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</si>
  <si>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</si>
  <si>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</si>
  <si>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</si>
  <si>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</si>
  <si>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</si>
  <si>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</si>
  <si>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</si>
  <si>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</si>
  <si>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</si>
  <si>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</si>
  <si>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</si>
  <si>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</si>
  <si>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</si>
  <si>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</si>
  <si>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</si>
  <si>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</si>
  <si>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</si>
  <si>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</si>
  <si>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</si>
  <si>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</si>
  <si>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</si>
  <si>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</si>
  <si>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</si>
  <si>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</si>
  <si>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</si>
  <si>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</si>
  <si>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</si>
  <si>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</si>
  <si>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</si>
  <si>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</si>
  <si>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</si>
  <si>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</si>
  <si>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</si>
  <si>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</si>
  <si>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</si>
  <si>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</si>
  <si>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</si>
  <si>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</si>
  <si>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</si>
  <si>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</si>
  <si>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</si>
  <si>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</si>
  <si>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</si>
  <si>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</si>
  <si>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</si>
  <si>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</si>
  <si>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</si>
  <si>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</si>
  <si>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</si>
  <si>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</si>
  <si>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</si>
  <si>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</si>
  <si>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</si>
  <si>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</si>
  <si>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</si>
  <si>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</si>
  <si>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</si>
  <si>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</si>
  <si>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</si>
  <si>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</si>
  <si>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</si>
  <si>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</si>
  <si>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</si>
  <si>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</si>
  <si>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</si>
  <si>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</si>
  <si>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</si>
  <si>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</si>
  <si>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</si>
  <si>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</si>
  <si>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</si>
  <si>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</si>
  <si>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</si>
  <si>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</si>
  <si>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</si>
  <si>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</si>
  <si>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</si>
  <si>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</si>
  <si>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</si>
  <si>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</si>
  <si>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</si>
  <si>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</si>
  <si>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</si>
  <si>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</si>
  <si>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</si>
  <si>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</si>
  <si>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</si>
  <si>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</si>
  <si>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</si>
  <si>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</si>
  <si>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</si>
  <si>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</si>
  <si>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</si>
  <si>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</si>
  <si>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</si>
  <si>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</si>
  <si>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</si>
  <si>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</si>
  <si>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</si>
  <si>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</si>
  <si>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</si>
  <si>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</si>
  <si>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</si>
  <si>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</si>
  <si>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</si>
  <si>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</si>
  <si>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</si>
  <si>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</si>
  <si>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</si>
  <si>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</si>
  <si>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</si>
  <si>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</si>
  <si>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</si>
  <si>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</si>
  <si>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</si>
  <si>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</si>
  <si>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</si>
  <si>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</si>
  <si>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</si>
  <si>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</si>
  <si>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</si>
  <si>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</si>
  <si>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</si>
  <si>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</si>
  <si>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</si>
  <si>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</si>
  <si>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</si>
  <si>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</si>
  <si>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</si>
  <si>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</si>
  <si>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</si>
  <si>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</si>
  <si>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</si>
  <si>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</si>
  <si>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</si>
  <si>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</si>
  <si>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</si>
  <si>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</si>
  <si>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</si>
  <si>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</si>
  <si>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</si>
  <si>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</si>
  <si>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</si>
  <si>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</si>
  <si>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</si>
  <si>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</si>
  <si>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</si>
  <si>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</si>
  <si>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</si>
  <si>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</si>
  <si>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</si>
  <si>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</si>
  <si>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</si>
  <si>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</si>
  <si>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</si>
  <si>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</si>
  <si>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</si>
  <si>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</si>
  <si>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</si>
  <si>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</si>
  <si>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</si>
  <si>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</si>
  <si>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</si>
  <si>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</si>
  <si>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</si>
  <si>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</si>
  <si>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</si>
  <si>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</si>
  <si>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</si>
  <si>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</si>
  <si>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</si>
  <si>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</si>
  <si>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</si>
  <si>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</si>
  <si>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</si>
  <si>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</si>
  <si>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</si>
  <si>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</si>
  <si>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</si>
  <si>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</si>
  <si>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</si>
  <si>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</si>
  <si>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</si>
  <si>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</si>
  <si>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</si>
  <si>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</si>
  <si>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</si>
  <si>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</si>
  <si>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</si>
  <si>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</si>
  <si>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</si>
  <si>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</si>
  <si>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</si>
  <si>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</si>
  <si>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</si>
  <si>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</si>
  <si>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</si>
  <si>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</si>
  <si>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</si>
  <si>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</si>
  <si>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</si>
  <si>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</si>
  <si>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</si>
  <si>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</si>
  <si>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</si>
  <si>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</si>
  <si>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</si>
  <si>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</si>
  <si>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</si>
  <si>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</si>
  <si>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</si>
  <si>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</si>
  <si>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</si>
  <si>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</si>
  <si>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</si>
  <si>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</si>
  <si>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</si>
  <si>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</si>
  <si>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</si>
  <si>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</si>
  <si>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</si>
  <si>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</si>
  <si>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</si>
  <si>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</si>
  <si>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</si>
  <si>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</si>
  <si>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</si>
  <si>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</si>
  <si>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</si>
  <si>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</si>
  <si>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</si>
  <si>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</si>
  <si>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</si>
  <si>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</si>
  <si>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</si>
  <si>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</si>
  <si>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</si>
  <si>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</si>
  <si>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</si>
  <si>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</si>
  <si>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</si>
  <si>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</si>
  <si>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</si>
  <si>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</si>
  <si>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</si>
  <si>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</si>
  <si>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</si>
  <si>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</si>
  <si>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</si>
  <si>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</si>
  <si>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</si>
  <si>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</si>
  <si>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</si>
  <si>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</si>
  <si>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</si>
  <si>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</si>
  <si>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</si>
  <si>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</si>
  <si>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</si>
  <si>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</si>
  <si>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</si>
  <si>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</si>
  <si>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</si>
  <si>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</si>
  <si>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</si>
  <si>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</si>
  <si>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</si>
  <si>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</si>
  <si>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</si>
  <si>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</si>
  <si>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</si>
  <si>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</si>
  <si>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</si>
  <si>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</si>
  <si>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</si>
  <si>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</si>
  <si>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</si>
  <si>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</si>
  <si>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</si>
  <si>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</si>
  <si>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</si>
  <si>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</si>
  <si>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</si>
  <si>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</si>
  <si>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</si>
  <si>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</si>
  <si>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</si>
  <si>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</si>
  <si>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</si>
  <si>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</si>
  <si>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</si>
  <si>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</si>
  <si>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</si>
  <si>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</si>
  <si>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</si>
  <si>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</si>
  <si>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</si>
  <si>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</si>
  <si>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</si>
  <si>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</si>
  <si>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</si>
  <si>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</si>
  <si>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</si>
  <si>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</si>
  <si>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</si>
  <si>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</si>
  <si>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</si>
  <si>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</si>
  <si>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</si>
  <si>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</si>
  <si>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</si>
  <si>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</si>
  <si>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</si>
  <si>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</si>
  <si>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</si>
  <si>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</si>
  <si>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</si>
  <si>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</si>
  <si>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</si>
  <si>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</si>
  <si>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</si>
  <si>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</si>
  <si>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</si>
  <si>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</si>
  <si>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</si>
  <si>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</si>
  <si>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</si>
  <si>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</si>
  <si>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</si>
  <si>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</si>
  <si>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</si>
  <si>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</si>
  <si>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</si>
  <si>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</si>
  <si>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</si>
  <si>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</si>
  <si>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</si>
  <si>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</si>
  <si>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</si>
  <si>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</si>
  <si>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</si>
  <si>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</si>
  <si>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</si>
  <si>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</si>
  <si>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</si>
  <si>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</si>
  <si>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</si>
  <si>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</si>
  <si>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</si>
  <si>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</si>
  <si>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</si>
  <si>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</si>
  <si>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</si>
  <si>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</si>
  <si>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</si>
  <si>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</si>
  <si>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</si>
  <si>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</si>
  <si>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</si>
  <si>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</si>
  <si>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</si>
  <si>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</si>
  <si>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</si>
  <si>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</si>
  <si>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</si>
  <si>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</si>
  <si>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</si>
  <si>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</si>
  <si>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</si>
  <si>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</si>
  <si>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</si>
  <si>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</si>
  <si>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</si>
  <si>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</si>
  <si>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</si>
  <si>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</si>
  <si>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</si>
  <si>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</si>
  <si>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</si>
  <si>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</si>
  <si>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</si>
  <si>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</si>
  <si>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</si>
  <si>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</si>
  <si>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</si>
  <si>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</si>
  <si>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</si>
  <si>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</si>
  <si>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</si>
  <si>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</si>
  <si>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</si>
  <si>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</si>
  <si>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</si>
  <si>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</si>
  <si>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</si>
  <si>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</si>
  <si>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</si>
  <si>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</si>
  <si>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</si>
  <si>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</si>
  <si>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</si>
  <si>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</si>
  <si>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</si>
  <si>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</si>
  <si>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</si>
  <si>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</si>
  <si>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</si>
  <si>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</si>
  <si>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</si>
  <si>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</si>
  <si>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</si>
  <si>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</si>
  <si>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</si>
  <si>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</si>
  <si>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</si>
  <si>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</si>
  <si>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</si>
  <si>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</si>
  <si>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</si>
  <si>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</si>
  <si>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</si>
  <si>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</si>
  <si>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</si>
  <si>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</si>
  <si>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</si>
  <si>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</si>
  <si>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</si>
  <si>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</si>
  <si>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</si>
  <si>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</si>
  <si>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</si>
  <si>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</si>
  <si>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</si>
  <si>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</si>
  <si>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</si>
  <si>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</si>
  <si>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</si>
  <si>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</si>
  <si>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</si>
  <si>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</si>
  <si>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</si>
  <si>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</si>
  <si>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</si>
  <si>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</si>
  <si>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</si>
  <si>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</si>
  <si>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</si>
  <si>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</si>
  <si>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</si>
  <si>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</si>
  <si>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</si>
  <si>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</si>
  <si>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</si>
  <si>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</si>
  <si>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</si>
  <si>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</si>
  <si>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</si>
  <si>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</si>
  <si>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</si>
  <si>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</si>
  <si>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</si>
  <si>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</si>
  <si>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</si>
  <si>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</si>
  <si>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</si>
  <si>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</si>
  <si>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</si>
  <si>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</si>
  <si>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</si>
  <si>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</si>
  <si>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</si>
  <si>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</si>
  <si>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</si>
  <si>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</si>
  <si>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</si>
  <si>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</si>
  <si>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</si>
  <si>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</si>
  <si>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</si>
  <si>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</si>
  <si>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</si>
  <si>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</si>
  <si>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</si>
  <si>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</si>
  <si>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</si>
  <si>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</si>
  <si>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</si>
  <si>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</si>
  <si>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</si>
  <si>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</si>
  <si>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</si>
  <si>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</si>
  <si>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</si>
  <si>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</si>
  <si>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</si>
  <si>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</si>
  <si>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</si>
  <si>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</si>
  <si>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</si>
  <si>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</si>
  <si>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</si>
  <si>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</si>
  <si>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</si>
  <si>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</si>
  <si>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</si>
  <si>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</si>
  <si>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</si>
  <si>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</si>
  <si>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</si>
  <si>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</si>
  <si>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</si>
  <si>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</si>
  <si>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</si>
  <si>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</si>
  <si>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</si>
  <si>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</si>
  <si>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</si>
  <si>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</si>
  <si>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</si>
  <si>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</si>
  <si>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</si>
  <si>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</si>
  <si>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</si>
  <si>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</si>
  <si>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</si>
  <si>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</si>
  <si>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</si>
  <si>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</si>
  <si>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</si>
  <si>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</si>
  <si>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</si>
  <si>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</si>
  <si>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</si>
  <si>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</si>
  <si>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</si>
  <si>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</si>
  <si>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</si>
  <si>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</si>
  <si>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</si>
  <si>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</si>
  <si>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</si>
  <si>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</si>
  <si>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</si>
  <si>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</si>
  <si>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</si>
  <si>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</si>
  <si>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</si>
  <si>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</si>
  <si>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</si>
  <si>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</si>
  <si>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</si>
  <si>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</si>
  <si>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</si>
  <si>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</si>
  <si>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</si>
  <si>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</si>
  <si>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</si>
  <si>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</si>
  <si>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</si>
  <si>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</si>
  <si>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</si>
  <si>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</si>
  <si>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</si>
  <si>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</si>
  <si>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</si>
  <si>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</si>
  <si>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</si>
  <si>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</si>
  <si>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</si>
  <si>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</si>
  <si>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</si>
  <si>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</si>
  <si>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</si>
  <si>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</si>
  <si>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</si>
  <si>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</si>
  <si>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</si>
  <si>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</si>
  <si>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</si>
  <si>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</si>
  <si>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</si>
  <si>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</si>
  <si>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</si>
  <si>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</si>
  <si>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</si>
  <si>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</si>
  <si>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</si>
  <si>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</si>
  <si>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</si>
  <si>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</si>
  <si>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</si>
  <si>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</si>
  <si>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</si>
  <si>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</si>
  <si>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</si>
  <si>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</si>
  <si>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</si>
  <si>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</si>
  <si>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</si>
  <si>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</si>
  <si>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</si>
  <si>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</si>
  <si>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</si>
  <si>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</si>
  <si>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</si>
  <si>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</si>
  <si>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</si>
  <si>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</si>
  <si>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</si>
  <si>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</si>
  <si>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</si>
  <si>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</si>
  <si>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</si>
  <si>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</si>
  <si>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</si>
  <si>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</si>
  <si>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</si>
  <si>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</si>
  <si>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</si>
  <si>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</si>
  <si>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</si>
  <si>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</si>
  <si>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</si>
  <si>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</si>
  <si>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</si>
  <si>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</si>
  <si>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</si>
  <si>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</si>
  <si>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</si>
  <si>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</si>
  <si>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</si>
  <si>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</si>
  <si>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</si>
  <si>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</si>
  <si>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</si>
  <si>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</si>
  <si>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</si>
  <si>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</si>
  <si>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</si>
  <si>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</si>
  <si>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</si>
  <si>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</si>
  <si>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</si>
  <si>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</si>
  <si>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</si>
  <si>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</si>
  <si>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</si>
  <si>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</si>
  <si>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</si>
  <si>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</si>
  <si>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</si>
  <si>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</si>
  <si>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</si>
  <si>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</si>
  <si>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</si>
  <si>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</si>
  <si>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</si>
  <si>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</si>
  <si>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</si>
  <si>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</si>
  <si>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</si>
  <si>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</si>
  <si>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</si>
  <si>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</si>
  <si>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</si>
  <si>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</si>
  <si>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</si>
  <si>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</si>
  <si>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</si>
  <si>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</si>
  <si>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</si>
  <si>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</si>
  <si>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</si>
  <si>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</si>
  <si>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</si>
  <si>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</si>
  <si>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</si>
  <si>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</si>
  <si>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</si>
  <si>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</si>
  <si>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</si>
  <si>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</si>
  <si>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</si>
  <si>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</si>
  <si>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</si>
  <si>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</si>
  <si>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</si>
  <si>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</si>
  <si>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</si>
  <si>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</si>
  <si>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</si>
  <si>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</si>
  <si>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</si>
  <si>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</si>
  <si>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</si>
  <si>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</si>
  <si>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</si>
  <si>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</si>
  <si>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</si>
  <si>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</si>
  <si>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</si>
  <si>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</si>
  <si>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</si>
  <si>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</si>
  <si>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</si>
  <si>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</si>
  <si>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</si>
  <si>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</si>
  <si>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</si>
  <si>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</si>
  <si>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</si>
  <si>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</si>
  <si>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</si>
  <si>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</si>
  <si>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</si>
  <si>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</si>
  <si>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</si>
  <si>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</si>
  <si>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</si>
  <si>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</si>
  <si>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</si>
  <si>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</si>
  <si>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</si>
  <si>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</si>
  <si>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</si>
  <si>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</si>
  <si>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</si>
  <si>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</si>
  <si>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</si>
  <si>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</si>
  <si>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</si>
  <si>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</si>
  <si>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</si>
  <si>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</si>
  <si>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</si>
  <si>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</si>
  <si>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</si>
  <si>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</si>
  <si>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</si>
  <si>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</si>
  <si>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</si>
  <si>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</si>
  <si>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</si>
  <si>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</si>
  <si>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</si>
  <si>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</si>
  <si>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</si>
  <si>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</si>
  <si>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</si>
  <si>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</si>
  <si>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</si>
  <si>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</si>
  <si>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</si>
  <si>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</si>
  <si>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</si>
  <si>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</si>
  <si>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</si>
  <si>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</si>
  <si>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</si>
  <si>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</si>
  <si>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</si>
  <si>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</si>
  <si>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</si>
  <si>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</si>
  <si>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</si>
  <si>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</si>
  <si>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</si>
  <si>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</si>
  <si>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</si>
  <si>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</si>
  <si>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</si>
  <si>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</si>
  <si>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</si>
  <si>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</si>
  <si>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</si>
  <si>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</si>
  <si>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</si>
  <si>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</si>
  <si>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</si>
  <si>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</si>
  <si>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</si>
  <si>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</si>
  <si>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</si>
  <si>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</si>
  <si>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</si>
  <si>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</si>
  <si>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</si>
  <si>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</si>
  <si>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</si>
  <si>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</si>
  <si>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</si>
  <si>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</si>
  <si>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</si>
  <si>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</si>
  <si>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</si>
  <si>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</si>
  <si>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</si>
  <si>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</si>
  <si>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</si>
  <si>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</si>
  <si>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</si>
  <si>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</si>
  <si>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</si>
  <si>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</si>
  <si>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</si>
  <si>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</si>
  <si>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</si>
  <si>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</si>
  <si>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</si>
  <si>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</si>
  <si>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</si>
  <si>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</si>
  <si>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</si>
  <si>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</si>
  <si>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</si>
  <si>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</si>
  <si>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</si>
  <si>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</si>
  <si>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</si>
  <si>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</si>
  <si>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</si>
  <si>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</si>
  <si>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</si>
  <si>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</si>
  <si>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</si>
  <si>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</si>
  <si>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</si>
  <si>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</si>
  <si>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</si>
  <si>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</si>
  <si>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</si>
  <si>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</si>
  <si>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</si>
  <si>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</si>
  <si>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</si>
  <si>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</si>
  <si>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</si>
  <si>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</si>
  <si>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</si>
  <si>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</si>
  <si>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</si>
  <si>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</si>
  <si>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</si>
  <si>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</si>
  <si>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</si>
  <si>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</si>
  <si>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</si>
  <si>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</si>
  <si>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</si>
  <si>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</si>
  <si>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</si>
  <si>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</si>
  <si>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</si>
  <si>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</si>
  <si>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</si>
  <si>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</si>
  <si>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</si>
  <si>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</si>
  <si>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</si>
  <si>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</si>
  <si>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</si>
  <si>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</si>
  <si>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</si>
  <si>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</si>
  <si>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</si>
  <si>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</si>
  <si>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</si>
  <si>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</si>
  <si>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</si>
  <si>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</si>
  <si>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</si>
  <si>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</si>
  <si>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</si>
  <si>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</si>
  <si>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</si>
  <si>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</si>
  <si>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</si>
  <si>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</si>
  <si>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</si>
  <si>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</si>
  <si>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</si>
  <si>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</si>
  <si>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</si>
  <si>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</si>
  <si>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</si>
  <si>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</si>
  <si>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</si>
  <si>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</si>
  <si>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</si>
  <si>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</si>
  <si>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</si>
  <si>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</si>
  <si>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</si>
  <si>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</si>
  <si>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</si>
  <si>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</si>
  <si>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</si>
  <si>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</si>
  <si>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</si>
  <si>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</si>
  <si>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</si>
  <si>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</si>
  <si>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</si>
  <si>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</si>
  <si>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</si>
  <si>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</si>
  <si>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</si>
  <si>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</si>
  <si>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</si>
  <si>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</si>
  <si>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</si>
  <si>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</si>
  <si>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</si>
  <si>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</si>
  <si>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</si>
  <si>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</si>
  <si>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</si>
  <si>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</si>
  <si>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</si>
  <si>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</si>
  <si>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</si>
  <si>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</si>
  <si>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</si>
  <si>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</si>
  <si>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</si>
  <si>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</si>
  <si>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</si>
  <si>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</si>
  <si>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</si>
  <si>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</si>
  <si>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</si>
  <si>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</si>
  <si>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</si>
  <si>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</si>
  <si>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</si>
  <si>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</si>
  <si>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</si>
  <si>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</si>
  <si>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</si>
  <si>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</si>
  <si>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</si>
  <si>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</si>
  <si>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</si>
  <si>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</si>
  <si>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</si>
  <si>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</si>
  <si>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</si>
  <si>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</si>
  <si>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</si>
  <si>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</si>
  <si>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</si>
  <si>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</si>
  <si>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</si>
  <si>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</si>
  <si>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</si>
  <si>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</si>
  <si>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</si>
  <si>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</si>
  <si>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</si>
  <si>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</si>
  <si>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</si>
  <si>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</si>
  <si>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</si>
  <si>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</si>
  <si>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</si>
  <si>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</si>
  <si>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</si>
  <si>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</si>
  <si>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</si>
  <si>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</si>
  <si>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</si>
  <si>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</si>
  <si>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</si>
  <si>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</si>
  <si>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</si>
  <si>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</si>
  <si>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</si>
  <si>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</si>
  <si>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</si>
  <si>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</si>
  <si>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</si>
  <si>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</si>
  <si>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</si>
  <si>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</si>
  <si>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</si>
  <si>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</si>
  <si>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</si>
  <si>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</si>
  <si>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</si>
  <si>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</si>
  <si>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</si>
  <si>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</si>
  <si>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</si>
  <si>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</si>
  <si>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</si>
  <si>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</si>
  <si>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</si>
  <si>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</si>
  <si>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</si>
  <si>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</si>
  <si>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</si>
  <si>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</si>
  <si>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</si>
  <si>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</si>
  <si>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</si>
  <si>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</si>
  <si>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</si>
  <si>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</si>
  <si>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</si>
  <si>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</si>
  <si>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</si>
  <si>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</si>
  <si>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</si>
  <si>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</si>
  <si>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</si>
  <si>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</si>
  <si>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</si>
  <si>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</si>
  <si>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</si>
  <si>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</si>
  <si>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</si>
  <si>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</si>
  <si>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</si>
  <si>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</si>
  <si>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</si>
  <si>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</si>
  <si>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</si>
  <si>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</si>
  <si>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</si>
  <si>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</si>
  <si>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</si>
  <si>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</si>
  <si>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</si>
  <si>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</si>
  <si>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</si>
  <si>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</si>
  <si>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</si>
  <si>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</si>
  <si>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</si>
  <si>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</si>
  <si>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</si>
  <si>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</si>
  <si>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</si>
  <si>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</si>
  <si>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</si>
  <si>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</si>
  <si>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</si>
  <si>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</si>
  <si>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</si>
  <si>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</si>
  <si>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</si>
  <si>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</si>
  <si>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</si>
  <si>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</si>
  <si>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</si>
  <si>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</si>
  <si>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</si>
  <si>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</si>
  <si>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</si>
  <si>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</si>
  <si>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</si>
  <si>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</si>
  <si>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</si>
  <si>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</si>
  <si>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</si>
  <si>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</si>
  <si>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</si>
  <si>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</si>
  <si>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</si>
  <si>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</si>
  <si>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</si>
  <si>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</si>
  <si>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</si>
  <si>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</si>
  <si>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</si>
  <si>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</si>
  <si>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</si>
  <si>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</si>
  <si>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</si>
  <si>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</si>
  <si>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</si>
  <si>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</si>
  <si>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</si>
  <si>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</si>
  <si>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</si>
  <si>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</si>
  <si>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</si>
  <si>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</si>
  <si>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</si>
  <si>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</si>
  <si>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</si>
  <si>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</si>
  <si>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</si>
  <si>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</si>
  <si>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</si>
  <si>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</si>
  <si>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</si>
  <si>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</si>
  <si>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</si>
  <si>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</si>
  <si>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</si>
  <si>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</si>
  <si>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</si>
  <si>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</si>
  <si>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</si>
  <si>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</si>
  <si>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</si>
  <si>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</si>
  <si>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</si>
  <si>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</si>
  <si>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</si>
  <si>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</si>
  <si>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</si>
  <si>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</si>
  <si>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</si>
  <si>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</si>
  <si>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</si>
  <si>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</si>
  <si>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</si>
  <si>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</si>
  <si>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</si>
  <si>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</si>
  <si>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</si>
  <si>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</si>
  <si>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</si>
  <si>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</si>
  <si>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</si>
  <si>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</si>
  <si>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</si>
  <si>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</si>
  <si>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</si>
  <si>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</si>
  <si>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</si>
  <si>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</si>
  <si>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</si>
  <si>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</si>
  <si>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</si>
  <si>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</si>
  <si>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</si>
  <si>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</si>
  <si>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</si>
  <si>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</si>
  <si>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</si>
  <si>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</si>
  <si>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</si>
  <si>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</si>
  <si>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</si>
  <si>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</si>
  <si>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</si>
  <si>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</si>
  <si>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</si>
  <si>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</si>
  <si>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</si>
  <si>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</si>
  <si>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</si>
  <si>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</si>
  <si>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</si>
  <si>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</si>
  <si>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</si>
  <si>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</si>
  <si>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</si>
  <si>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</si>
  <si>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</si>
  <si>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</si>
  <si>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</si>
  <si>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</si>
  <si>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</si>
  <si>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</si>
  <si>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</si>
  <si>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</si>
  <si>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</si>
  <si>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</si>
  <si>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</si>
  <si>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</si>
  <si>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</si>
  <si>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</si>
  <si>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</si>
  <si>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</si>
  <si>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</si>
  <si>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</si>
  <si>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</si>
  <si>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</si>
  <si>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</si>
  <si>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</si>
  <si>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</si>
  <si>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</si>
  <si>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</si>
  <si>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</si>
  <si>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</si>
  <si>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</si>
  <si>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</si>
  <si>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</si>
  <si>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</si>
  <si>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</si>
  <si>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</si>
  <si>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</si>
  <si>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</si>
  <si>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</si>
  <si>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</si>
  <si>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</si>
  <si>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</si>
  <si>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</si>
  <si>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</si>
  <si>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</si>
  <si>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</si>
  <si>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</si>
  <si>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</si>
  <si>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</si>
  <si>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</si>
  <si>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</si>
  <si>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</si>
  <si>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</si>
  <si>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</si>
  <si>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</si>
  <si>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</si>
  <si>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</si>
  <si>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</si>
  <si>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</si>
  <si>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</si>
  <si>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</si>
  <si>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</si>
  <si>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</si>
  <si>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</si>
  <si>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</si>
  <si>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</si>
  <si>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</si>
  <si>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</si>
  <si>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</si>
  <si>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</si>
  <si>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</si>
  <si>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</si>
  <si>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</si>
  <si>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</si>
  <si>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</si>
  <si>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</si>
  <si>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</si>
  <si>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</si>
  <si>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</si>
  <si>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</si>
  <si>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</si>
  <si>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</si>
  <si>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</si>
  <si>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</si>
  <si>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</si>
  <si>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</si>
  <si>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</si>
  <si>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</si>
  <si>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</si>
  <si>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</si>
  <si>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</si>
  <si>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</si>
  <si>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</si>
  <si>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</si>
  <si>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</si>
  <si>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</si>
  <si>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</si>
  <si>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</si>
  <si>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</si>
  <si>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</si>
  <si>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</si>
  <si>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</si>
  <si>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</si>
  <si>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</si>
  <si>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</si>
  <si>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</si>
  <si>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</si>
  <si>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</si>
  <si>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</si>
  <si>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</si>
  <si>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</si>
  <si>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</si>
  <si>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</si>
  <si>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</si>
  <si>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</si>
  <si>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</si>
  <si>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</si>
  <si>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</si>
  <si>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</si>
  <si>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</si>
  <si>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</si>
  <si>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</si>
  <si>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</si>
  <si>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</si>
  <si>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</si>
  <si>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</si>
  <si>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</si>
  <si>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</si>
  <si>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</si>
  <si>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</si>
  <si>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</si>
  <si>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</si>
  <si>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</si>
  <si>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</si>
  <si>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</si>
  <si>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</si>
  <si>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</si>
  <si>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</si>
  <si>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</si>
  <si>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</si>
  <si>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</si>
  <si>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</si>
  <si>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</si>
  <si>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</si>
  <si>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</si>
  <si>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</si>
  <si>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</si>
  <si>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</si>
  <si>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</si>
  <si>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</si>
  <si>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</si>
  <si>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</si>
  <si>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</si>
  <si>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</si>
  <si>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</si>
  <si>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</si>
  <si>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</si>
  <si>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</si>
  <si>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</si>
  <si>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</si>
  <si>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</si>
  <si>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</si>
  <si>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</si>
  <si>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</si>
  <si>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</si>
  <si>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</si>
  <si>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</si>
  <si>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</si>
  <si>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</si>
  <si>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</si>
  <si>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</si>
  <si>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</si>
  <si>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</si>
  <si>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</si>
  <si>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</si>
  <si>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</si>
  <si>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</si>
  <si>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</si>
  <si>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</si>
  <si>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</si>
  <si>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</si>
  <si>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</si>
  <si>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</si>
  <si>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</si>
  <si>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</si>
  <si>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</si>
  <si>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</si>
  <si>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</si>
  <si>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</si>
  <si>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</si>
  <si>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</si>
  <si>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</si>
  <si>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</si>
  <si>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</si>
  <si>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</si>
  <si>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</si>
  <si>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</si>
  <si>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</si>
  <si>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</si>
  <si>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</si>
  <si>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</si>
  <si>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</si>
  <si>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</si>
  <si>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</si>
  <si>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</si>
  <si>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</si>
  <si>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</si>
  <si>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</si>
  <si>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</si>
  <si>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</si>
  <si>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</si>
  <si>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</si>
  <si>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</si>
  <si>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</si>
  <si>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</si>
  <si>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</si>
  <si>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</si>
  <si>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</si>
  <si>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</si>
  <si>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</si>
  <si>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</si>
  <si>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</si>
  <si>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</si>
  <si>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</si>
  <si>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</si>
  <si>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</si>
  <si>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</si>
  <si>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</si>
  <si>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</si>
  <si>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</si>
  <si>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</si>
  <si>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</si>
  <si>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</si>
  <si>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</si>
  <si>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</si>
  <si>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</si>
  <si>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</si>
  <si>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</si>
  <si>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</si>
  <si>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</si>
  <si>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</si>
  <si>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</si>
  <si>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</si>
  <si>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</si>
  <si>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</si>
  <si>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</si>
  <si>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</si>
  <si>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</si>
  <si>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</si>
  <si>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</si>
  <si>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</si>
  <si>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</si>
  <si>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</si>
  <si>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</si>
  <si>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</si>
  <si>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</si>
  <si>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</si>
  <si>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</si>
  <si>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</si>
  <si>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</si>
  <si>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</si>
  <si>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</si>
  <si>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</si>
  <si>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</si>
  <si>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</si>
  <si>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</si>
  <si>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</si>
  <si>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</si>
  <si>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</si>
  <si>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</si>
  <si>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</si>
  <si>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</si>
  <si>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</si>
  <si>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</si>
  <si>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</si>
  <si>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</si>
  <si>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</si>
  <si>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</si>
  <si>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</si>
  <si>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</si>
  <si>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</si>
  <si>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</si>
  <si>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</si>
  <si>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</si>
  <si>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</si>
  <si>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</si>
  <si>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</si>
  <si>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</si>
  <si>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</si>
  <si>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</si>
  <si>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</si>
  <si>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</si>
  <si>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</si>
  <si>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</si>
  <si>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</si>
  <si>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</si>
  <si>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</si>
  <si>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</si>
  <si>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</si>
  <si>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</si>
  <si>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</si>
  <si>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</si>
  <si>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</si>
  <si>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</si>
  <si>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</si>
  <si>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</si>
  <si>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</si>
  <si>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</si>
  <si>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</si>
  <si>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Will</t>
  </si>
  <si>
    <t>735 Green Garden Place</t>
  </si>
  <si>
    <t>Lockport</t>
  </si>
  <si>
    <t>Dr. Diane Cepela</t>
  </si>
  <si>
    <t>dcepela@fsd89.org</t>
  </si>
  <si>
    <t>815-726-6318</t>
  </si>
  <si>
    <t>815-726-6157</t>
  </si>
  <si>
    <t>Macchietto Roth &amp; Company, P.C.</t>
  </si>
  <si>
    <t>Cathy Macchietto</t>
  </si>
  <si>
    <t>911 Lisbon Street</t>
  </si>
  <si>
    <t>Morris</t>
  </si>
  <si>
    <t>IL</t>
  </si>
  <si>
    <t>815-941-9050</t>
  </si>
  <si>
    <t>815-941-4506</t>
  </si>
  <si>
    <t>cathy@macchietto-roth.com</t>
  </si>
  <si>
    <t>The District has omitted disclosures required by Governmental Accounting Standards Board Statement No. 45, Accounting and Financial Reporting for Postemployment Benefits Other Than Pension.</t>
  </si>
  <si>
    <t>GO Bonds, Series 2009</t>
  </si>
  <si>
    <t>Debt Certificates, Series 2013</t>
  </si>
  <si>
    <t>Debt Certificates, Series 2016</t>
  </si>
  <si>
    <t>GO Refunding Bonds, Series 2017</t>
  </si>
  <si>
    <t>3,6</t>
  </si>
  <si>
    <t>Building Improvements</t>
  </si>
  <si>
    <t>Lockport Area Special Education Cooperative</t>
  </si>
  <si>
    <t>Statement of Revenues Received - Other Local Revenues 1999 - Proceeds from an operating copier lease buyout and miscellaneous income.</t>
  </si>
  <si>
    <t>Statement of Revenues Received - Other Restricted Revenue from Federal Sources 4999 - Revenue from the E-Rate Program.</t>
  </si>
  <si>
    <t>Statement of Revenues Received - Other Restricted Revenue from State Sources 3999 - Revenue from Orphanage Tuition and Orphanage Summer School.</t>
  </si>
  <si>
    <t>Statement of Expenditures Disbursed - Other Support Services - Pupils - Expenses for Homebound tutor and PBIS supplies.</t>
  </si>
  <si>
    <t>Statement of Expenditures Disbursed - Other Support Services - School Admin - Expenditures are for Dean expenses.</t>
  </si>
  <si>
    <t>Statement of Expenditures Disbursed - Other Support Services - Expenditures are for SES/Computers and Homless supplies.</t>
  </si>
  <si>
    <t>Statement of Expenditures Disbursed - Debt Services - Other - Expenditures for bond issuance costs.</t>
  </si>
  <si>
    <t>Statement of Long-Term Debt - GO Bonds, Series 2009 - The District redeemed the 2009 Bonds with the issuance of the GO Refunding Bonds, Series 2017.</t>
  </si>
  <si>
    <t>Schedule of Restricted Local Tax Levies and Selected Revenue Sources - Line 22 - Disbursements inlcude payments made for Special Education Tuition.</t>
  </si>
  <si>
    <t xml:space="preserve">    State Free Lunch grant money to ISBE. </t>
  </si>
  <si>
    <t xml:space="preserve">Statement of Expenditures Disbursed - Other Payments to In-State Govt. Units - The District had to refund prior year's Early Childhood Block and </t>
  </si>
  <si>
    <t>066.004890</t>
  </si>
  <si>
    <t>Software Unlimited</t>
  </si>
  <si>
    <t>Frontline/AESOP</t>
  </si>
  <si>
    <t>Power School</t>
  </si>
  <si>
    <t>GYK Consult Corp</t>
  </si>
  <si>
    <t>Autman Snow Plow</t>
  </si>
  <si>
    <t>ED - Director of Business Support Services - Purchased Services</t>
  </si>
  <si>
    <t>ED - Fiscal Serivces - Salaries</t>
  </si>
  <si>
    <t>ED - Data Processing - Purchased Services</t>
  </si>
  <si>
    <t>O&amp;M - Operation and Maintenance of Plant Serivces - Purchased Services</t>
  </si>
  <si>
    <t>Fairmont SD 89</t>
  </si>
  <si>
    <t>10-2510-300</t>
  </si>
  <si>
    <t>10-2520-100</t>
  </si>
  <si>
    <t>10-2660-300</t>
  </si>
  <si>
    <t>20-2540-300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</si>
</sst>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8"/>
      <c r="K5" s="1988"/>
      <c r="L5" s="1988"/>
      <c r="M5" s="1988"/>
      <c r="N5" s="1988"/>
      <c r="O5" s="1988"/>
      <c r="P5" s="1988"/>
      <c r="Q5" s="1988"/>
      <c r="R5" s="1988"/>
      <c r="S5" s="1988"/>
    </row>
    <row r="6" spans="1:28" ht="14.1" customHeight="1" x14ac:dyDescent="0.2">
      <c r="B6" s="104"/>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56099089002</v>
      </c>
      <c r="B13" s="2005"/>
      <c r="C13" s="2005"/>
      <c r="D13" s="2005"/>
      <c r="E13" s="2005"/>
      <c r="F13" s="2005"/>
      <c r="G13" s="2005"/>
      <c r="H13" s="2006"/>
      <c r="I13" s="31"/>
      <c r="J13" s="30"/>
      <c r="K13" s="28"/>
      <c r="L13" s="30"/>
      <c r="M13" s="30"/>
      <c r="N13" s="30"/>
      <c r="O13" s="30"/>
      <c r="P13" s="30"/>
      <c r="Q13" s="30"/>
      <c r="R13" s="30"/>
      <c r="S13" s="30"/>
      <c r="T13" s="2009" t="s">
        <v>2085</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2086</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2122</v>
      </c>
      <c r="B17" s="2033"/>
      <c r="C17" s="2033"/>
      <c r="D17" s="2033"/>
      <c r="E17" s="2033"/>
      <c r="F17" s="2033"/>
      <c r="G17" s="2033"/>
      <c r="H17" s="2034"/>
      <c r="T17" s="2019" t="s">
        <v>2087</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2079</v>
      </c>
      <c r="B19" s="2003"/>
      <c r="C19" s="2003"/>
      <c r="D19" s="2003"/>
      <c r="E19" s="2003"/>
      <c r="F19" s="2003"/>
      <c r="G19" s="2003"/>
      <c r="H19" s="2001"/>
      <c r="I19" s="30"/>
      <c r="J19" s="99"/>
      <c r="K19" s="40"/>
      <c r="L19" s="38"/>
      <c r="M19" s="112" t="s">
        <v>333</v>
      </c>
      <c r="P19" s="27"/>
      <c r="Q19" s="27"/>
      <c r="R19" s="27"/>
      <c r="S19" s="31"/>
      <c r="T19" s="2002" t="s">
        <v>2088</v>
      </c>
      <c r="U19" s="2000"/>
      <c r="V19" s="2000"/>
      <c r="W19" s="2001"/>
      <c r="X19" s="2017" t="s">
        <v>2089</v>
      </c>
      <c r="Y19" s="2018"/>
      <c r="Z19" s="2015">
        <v>60450</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2090</v>
      </c>
      <c r="U21" s="1968"/>
      <c r="V21" s="1968"/>
      <c r="W21" s="1968"/>
      <c r="X21" s="1981" t="s">
        <v>2091</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2112</v>
      </c>
      <c r="U23" s="1963"/>
      <c r="V23" s="1963"/>
      <c r="W23" s="1963"/>
      <c r="X23" s="1978">
        <v>44530</v>
      </c>
      <c r="Y23" s="1979"/>
      <c r="Z23" s="1979"/>
      <c r="AA23" s="1980"/>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60441</v>
      </c>
      <c r="B25" s="2000"/>
      <c r="C25" s="2000"/>
      <c r="D25" s="2000"/>
      <c r="E25" s="2000"/>
      <c r="F25" s="2000"/>
      <c r="G25" s="2000"/>
      <c r="H25" s="2001"/>
      <c r="I25" s="113"/>
      <c r="J25" s="2067"/>
      <c r="K25" s="2067"/>
      <c r="L25" s="2067"/>
      <c r="M25" s="2067"/>
      <c r="N25" s="2067"/>
      <c r="O25" s="2067"/>
      <c r="P25" s="2067"/>
      <c r="Q25" s="2067"/>
      <c r="R25" s="2067"/>
      <c r="S25" s="2068"/>
      <c r="T25" s="1959" t="s">
        <v>2092</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2077</v>
      </c>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2081</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2082</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2083</v>
      </c>
      <c r="B42" s="2050"/>
      <c r="C42" s="2051"/>
      <c r="D42" s="2064" t="s">
        <v>2084</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t="s">
        <v>2077</v>
      </c>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33512</v>
      </c>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2093</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2085</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64661165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3.1571000000000002E-2</v>
      </c>
      <c r="E10" s="356" t="s">
        <v>1062</v>
      </c>
      <c r="F10" s="355">
        <v>4.8520000000000004E-3</v>
      </c>
      <c r="G10" s="356" t="s">
        <v>1062</v>
      </c>
      <c r="H10" s="355">
        <v>3.0230000000000001E-3</v>
      </c>
      <c r="I10" s="356" t="s">
        <v>1063</v>
      </c>
      <c r="J10" s="1754">
        <f>ROUND(D10+F10+H10,5)</f>
        <v>3.9449999999999999E-2</v>
      </c>
      <c r="K10" s="222"/>
      <c r="L10" s="355">
        <v>4.5399999999999998E-4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5515404</v>
      </c>
      <c r="E16" s="356"/>
      <c r="F16" s="1755">
        <f>SUM('Acct Summary 7-8'!C17,'Acct Summary 7-8'!D17,'Acct Summary 7-8'!F17)</f>
        <v>5001885</v>
      </c>
      <c r="G16" s="356"/>
      <c r="H16" s="1755">
        <f>SUM(D16-F16)</f>
        <v>513519</v>
      </c>
      <c r="I16" s="222"/>
      <c r="J16" s="1755">
        <f>SUM('Acct Summary 7-8'!C81,'Acct Summary 7-8'!D81,'Acct Summary 7-8'!F81,'Acct Summary 7-8'!I81)</f>
        <v>2928216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4461620.3850000007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1485000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6"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Fairmont SD 89</v>
      </c>
      <c r="E7" s="391"/>
      <c r="G7" s="252"/>
      <c r="H7" s="387"/>
      <c r="I7" s="387"/>
      <c r="J7" s="387"/>
      <c r="K7" s="387"/>
      <c r="L7" s="329"/>
      <c r="M7" s="329"/>
      <c r="N7" s="329"/>
      <c r="O7" s="329"/>
      <c r="P7" s="329"/>
    </row>
    <row r="8" spans="1:18" ht="12.75" x14ac:dyDescent="0.2">
      <c r="A8" s="329"/>
      <c r="B8" s="329"/>
      <c r="C8" s="389" t="s">
        <v>1187</v>
      </c>
      <c r="D8" s="392">
        <f>COVER!A13</f>
        <v>56099089002</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2928216</v>
      </c>
      <c r="I12" s="404"/>
      <c r="J12" s="404"/>
      <c r="K12" s="405">
        <f>TRUNC((H12/H13*100000),5)/100000</f>
        <v>0.53091595820000004</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5515404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5001885</v>
      </c>
      <c r="I17" s="404"/>
      <c r="J17" s="416"/>
      <c r="K17" s="405">
        <f>TRUNC((H17/H18*100000),5)/100000</f>
        <v>0.90689367450000002</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5515404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2935144</v>
      </c>
      <c r="I24" s="422"/>
      <c r="J24" s="422"/>
      <c r="K24" s="423">
        <f>TRUNC(((H24/H25*100000)/100000),2)</f>
        <v>211.25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13894.125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2168250.5153600001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1485000</v>
      </c>
      <c r="I32" s="420"/>
      <c r="J32" s="420"/>
      <c r="K32" s="423">
        <f>TRUNC(100-((((H32/H33*100))*100)/100),2)</f>
        <v>66.709999999999994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4461620.3850000007</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activeCell="A47" sqref="A47"/>
      <selection pane="bottomLeft" activeCell="D39" sqref="D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1732066</v>
      </c>
      <c r="D4" s="466">
        <v>151071</v>
      </c>
      <c r="E4" s="466"/>
      <c r="F4" s="466">
        <v>65171</v>
      </c>
      <c r="G4" s="466">
        <v>313929</v>
      </c>
      <c r="H4" s="466">
        <v>24252</v>
      </c>
      <c r="I4" s="466">
        <v>15285</v>
      </c>
      <c r="J4" s="467">
        <v>92479</v>
      </c>
      <c r="K4" s="466">
        <v>28741</v>
      </c>
      <c r="L4" s="466">
        <v>15153</v>
      </c>
      <c r="M4" s="468"/>
      <c r="N4" s="469"/>
    </row>
    <row r="5" spans="1:14" x14ac:dyDescent="0.2">
      <c r="A5" s="463" t="s">
        <v>1049</v>
      </c>
      <c r="B5" s="470">
        <v>120</v>
      </c>
      <c r="C5" s="465">
        <v>584551</v>
      </c>
      <c r="D5" s="466"/>
      <c r="E5" s="466"/>
      <c r="F5" s="466">
        <v>295000</v>
      </c>
      <c r="G5" s="466"/>
      <c r="H5" s="466">
        <v>50</v>
      </c>
      <c r="I5" s="466">
        <v>92000</v>
      </c>
      <c r="J5" s="467">
        <v>25000</v>
      </c>
      <c r="K5" s="471">
        <v>52097</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2316617</v>
      </c>
      <c r="D13" s="1759">
        <f t="shared" ref="D13:L13" si="0">SUM(D4:D12)</f>
        <v>151071</v>
      </c>
      <c r="E13" s="1759">
        <f t="shared" si="0"/>
        <v>0</v>
      </c>
      <c r="F13" s="1759">
        <f t="shared" si="0"/>
        <v>360171</v>
      </c>
      <c r="G13" s="1759">
        <f t="shared" si="0"/>
        <v>313929</v>
      </c>
      <c r="H13" s="1759">
        <f t="shared" si="0"/>
        <v>24302</v>
      </c>
      <c r="I13" s="1759">
        <f t="shared" si="0"/>
        <v>107285</v>
      </c>
      <c r="J13" s="1759">
        <f t="shared" si="0"/>
        <v>117479</v>
      </c>
      <c r="K13" s="1759">
        <f t="shared" si="0"/>
        <v>80838</v>
      </c>
      <c r="L13" s="1759">
        <f t="shared" si="0"/>
        <v>15153</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21943</v>
      </c>
      <c r="N16" s="484"/>
    </row>
    <row r="17" spans="1:14" s="485" customFormat="1" ht="12.75" customHeight="1" x14ac:dyDescent="0.2">
      <c r="A17" s="482" t="s">
        <v>1470</v>
      </c>
      <c r="B17" s="483">
        <v>230</v>
      </c>
      <c r="C17" s="477"/>
      <c r="D17" s="477"/>
      <c r="E17" s="477"/>
      <c r="F17" s="477"/>
      <c r="G17" s="477"/>
      <c r="H17" s="477"/>
      <c r="I17" s="477"/>
      <c r="J17" s="477"/>
      <c r="K17" s="477"/>
      <c r="L17" s="477"/>
      <c r="M17" s="467">
        <v>10690688</v>
      </c>
      <c r="N17" s="484"/>
    </row>
    <row r="18" spans="1:14" s="485" customFormat="1" ht="12.75" customHeight="1" x14ac:dyDescent="0.2">
      <c r="A18" s="482" t="s">
        <v>1471</v>
      </c>
      <c r="B18" s="483">
        <v>240</v>
      </c>
      <c r="C18" s="477"/>
      <c r="D18" s="477"/>
      <c r="E18" s="477"/>
      <c r="F18" s="477"/>
      <c r="G18" s="477"/>
      <c r="H18" s="477"/>
      <c r="I18" s="477"/>
      <c r="J18" s="477"/>
      <c r="K18" s="477"/>
      <c r="L18" s="477"/>
      <c r="M18" s="467">
        <v>235264</v>
      </c>
      <c r="N18" s="484"/>
    </row>
    <row r="19" spans="1:14" s="485" customFormat="1" ht="12.75" customHeight="1" x14ac:dyDescent="0.2">
      <c r="A19" s="482" t="s">
        <v>1472</v>
      </c>
      <c r="B19" s="483">
        <v>250</v>
      </c>
      <c r="C19" s="477"/>
      <c r="D19" s="477"/>
      <c r="E19" s="477"/>
      <c r="F19" s="477"/>
      <c r="G19" s="477"/>
      <c r="H19" s="477"/>
      <c r="I19" s="477"/>
      <c r="J19" s="477"/>
      <c r="K19" s="477"/>
      <c r="L19" s="477"/>
      <c r="M19" s="467">
        <f>6125+1824957</f>
        <v>1831082</v>
      </c>
      <c r="N19" s="484"/>
    </row>
    <row r="20" spans="1:14" s="485" customFormat="1" ht="12.75" customHeight="1" x14ac:dyDescent="0.2">
      <c r="A20" s="482" t="s">
        <v>1473</v>
      </c>
      <c r="B20" s="483">
        <v>260</v>
      </c>
      <c r="C20" s="477"/>
      <c r="D20" s="477"/>
      <c r="E20" s="477"/>
      <c r="F20" s="477"/>
      <c r="G20" s="477"/>
      <c r="H20" s="477"/>
      <c r="I20" s="477"/>
      <c r="J20" s="477"/>
      <c r="K20" s="477"/>
      <c r="L20" s="477"/>
      <c r="M20" s="467">
        <v>21982</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1485000</v>
      </c>
    </row>
    <row r="23" spans="1:14" ht="13.5" customHeight="1" thickBot="1" x14ac:dyDescent="0.25">
      <c r="A23" s="1758" t="s">
        <v>664</v>
      </c>
      <c r="B23" s="1763"/>
      <c r="C23" s="468"/>
      <c r="D23" s="468"/>
      <c r="E23" s="468"/>
      <c r="F23" s="468"/>
      <c r="G23" s="468"/>
      <c r="H23" s="468"/>
      <c r="I23" s="468"/>
      <c r="J23" s="468"/>
      <c r="K23" s="468"/>
      <c r="L23" s="468"/>
      <c r="M23" s="1710">
        <f>SUM(M15:M22)</f>
        <v>12800959</v>
      </c>
      <c r="N23" s="1710">
        <f>SUM(N21:N22)</f>
        <v>1485000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v>374</v>
      </c>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6869</v>
      </c>
      <c r="D31" s="467"/>
      <c r="E31" s="467"/>
      <c r="F31" s="466">
        <v>59</v>
      </c>
      <c r="G31" s="467">
        <v>2432</v>
      </c>
      <c r="H31" s="467"/>
      <c r="I31" s="467"/>
      <c r="J31" s="467">
        <v>71</v>
      </c>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15153</v>
      </c>
      <c r="M33" s="468"/>
      <c r="N33" s="469"/>
    </row>
    <row r="34" spans="1:14" ht="13.5" customHeight="1" thickBot="1" x14ac:dyDescent="0.25">
      <c r="A34" s="1760" t="s">
        <v>675</v>
      </c>
      <c r="B34" s="1761"/>
      <c r="C34" s="1762">
        <f>SUM(C25:C33)</f>
        <v>6869</v>
      </c>
      <c r="D34" s="1762">
        <f t="shared" ref="D34:K34" si="1">SUM(D25:D33)</f>
        <v>0</v>
      </c>
      <c r="E34" s="1762">
        <f t="shared" si="1"/>
        <v>374</v>
      </c>
      <c r="F34" s="1762">
        <f t="shared" si="1"/>
        <v>59</v>
      </c>
      <c r="G34" s="1762">
        <f t="shared" si="1"/>
        <v>2432</v>
      </c>
      <c r="H34" s="1762">
        <f t="shared" si="1"/>
        <v>0</v>
      </c>
      <c r="I34" s="1762">
        <f t="shared" si="1"/>
        <v>0</v>
      </c>
      <c r="J34" s="1762">
        <f t="shared" si="1"/>
        <v>71</v>
      </c>
      <c r="K34" s="1762">
        <f t="shared" si="1"/>
        <v>0</v>
      </c>
      <c r="L34" s="1743">
        <f>SUM(L33)</f>
        <v>15153</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1485000</v>
      </c>
    </row>
    <row r="37" spans="1:14" ht="13.5" thickBot="1" x14ac:dyDescent="0.25">
      <c r="A37" s="1758" t="s">
        <v>674</v>
      </c>
      <c r="B37" s="1763"/>
      <c r="C37" s="477"/>
      <c r="D37" s="477"/>
      <c r="E37" s="477"/>
      <c r="F37" s="477"/>
      <c r="G37" s="477"/>
      <c r="H37" s="477"/>
      <c r="I37" s="477"/>
      <c r="J37" s="477"/>
      <c r="K37" s="477"/>
      <c r="L37" s="480"/>
      <c r="M37" s="468"/>
      <c r="N37" s="1710">
        <f>SUM(N36:N36)</f>
        <v>1485000</v>
      </c>
    </row>
    <row r="38" spans="1:14" s="329" customFormat="1" ht="13.5" customHeight="1" thickTop="1" x14ac:dyDescent="0.2">
      <c r="A38" s="496" t="s">
        <v>440</v>
      </c>
      <c r="B38" s="483">
        <v>714</v>
      </c>
      <c r="C38" s="466"/>
      <c r="D38" s="466"/>
      <c r="E38" s="466"/>
      <c r="F38" s="466">
        <v>360112</v>
      </c>
      <c r="G38" s="466">
        <v>311497</v>
      </c>
      <c r="H38" s="466">
        <v>24302</v>
      </c>
      <c r="I38" s="466">
        <v>107285</v>
      </c>
      <c r="J38" s="467">
        <v>117408</v>
      </c>
      <c r="K38" s="466">
        <v>80838</v>
      </c>
      <c r="L38" s="481"/>
      <c r="M38" s="497"/>
      <c r="N38" s="497"/>
    </row>
    <row r="39" spans="1:14" s="329" customFormat="1" ht="13.5" customHeight="1" x14ac:dyDescent="0.2">
      <c r="A39" s="496" t="s">
        <v>360</v>
      </c>
      <c r="B39" s="483">
        <v>730</v>
      </c>
      <c r="C39" s="466">
        <v>2309748</v>
      </c>
      <c r="D39" s="466">
        <v>151071</v>
      </c>
      <c r="E39" s="466">
        <v>-374</v>
      </c>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12800959</v>
      </c>
      <c r="N40" s="497"/>
    </row>
    <row r="41" spans="1:14" ht="13.5" customHeight="1" thickBot="1" x14ac:dyDescent="0.25">
      <c r="A41" s="1758" t="s">
        <v>676</v>
      </c>
      <c r="B41" s="1728"/>
      <c r="C41" s="1710">
        <f>(SUM(C34,C37,C38,C39))</f>
        <v>2316617</v>
      </c>
      <c r="D41" s="1710">
        <f t="shared" ref="D41:L41" si="2">SUM(D34,D37,D38:D39)</f>
        <v>151071</v>
      </c>
      <c r="E41" s="1710">
        <f t="shared" si="2"/>
        <v>0</v>
      </c>
      <c r="F41" s="1710">
        <f t="shared" si="2"/>
        <v>360171</v>
      </c>
      <c r="G41" s="1710">
        <f t="shared" si="2"/>
        <v>313929</v>
      </c>
      <c r="H41" s="1710">
        <f t="shared" si="2"/>
        <v>24302</v>
      </c>
      <c r="I41" s="1710">
        <f t="shared" si="2"/>
        <v>107285</v>
      </c>
      <c r="J41" s="1710">
        <f t="shared" si="2"/>
        <v>117479</v>
      </c>
      <c r="K41" s="1710">
        <f t="shared" si="2"/>
        <v>80838</v>
      </c>
      <c r="L41" s="1710">
        <f t="shared" si="2"/>
        <v>15153</v>
      </c>
      <c r="M41" s="1710">
        <f>SUM(M40)</f>
        <v>12800959</v>
      </c>
      <c r="N41" s="1710">
        <f>SUM(N37)</f>
        <v>1485000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A47" sqref="A47"/>
      <selection pane="bottomLeft" activeCell="L80" sqref="L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2261740</v>
      </c>
      <c r="D4" s="1764">
        <f>'Revenues 9-14'!D109</f>
        <v>305089</v>
      </c>
      <c r="E4" s="1764">
        <f>'Revenues 9-14'!E109</f>
        <v>0</v>
      </c>
      <c r="F4" s="1764">
        <f>'Revenues 9-14'!F109</f>
        <v>189911</v>
      </c>
      <c r="G4" s="1764">
        <f>'Revenues 9-14'!G109</f>
        <v>153450</v>
      </c>
      <c r="H4" s="1764">
        <f>'Revenues 9-14'!H109</f>
        <v>16</v>
      </c>
      <c r="I4" s="1764">
        <f>'Revenues 9-14'!I109</f>
        <v>28520</v>
      </c>
      <c r="J4" s="1764">
        <f>'Revenues 9-14'!J109</f>
        <v>121948</v>
      </c>
      <c r="K4" s="1764">
        <f>'Revenues 9-14'!K109</f>
        <v>55961</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2022643</v>
      </c>
      <c r="D6" s="1765">
        <f>'Revenues 9-14'!D173</f>
        <v>125000</v>
      </c>
      <c r="E6" s="1765">
        <f>'Revenues 9-14'!E173</f>
        <v>0</v>
      </c>
      <c r="F6" s="1765">
        <f>'Revenues 9-14'!F173</f>
        <v>175181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363615</v>
      </c>
      <c r="D7" s="1765">
        <f>'Revenues 9-14'!D274</f>
        <v>0</v>
      </c>
      <c r="E7" s="1765">
        <f>'Revenues 9-14'!E274</f>
        <v>0</v>
      </c>
      <c r="F7" s="1765">
        <f>'Revenues 9-14'!F274</f>
        <v>43705</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4647998</v>
      </c>
      <c r="D8" s="1710">
        <f t="shared" ref="D8:K8" si="0">SUM(D4:D7)</f>
        <v>430089</v>
      </c>
      <c r="E8" s="1710">
        <f t="shared" si="0"/>
        <v>0</v>
      </c>
      <c r="F8" s="1710">
        <f t="shared" si="0"/>
        <v>408797</v>
      </c>
      <c r="G8" s="1710">
        <f t="shared" si="0"/>
        <v>153450</v>
      </c>
      <c r="H8" s="1710">
        <f t="shared" si="0"/>
        <v>16</v>
      </c>
      <c r="I8" s="1710">
        <f t="shared" si="0"/>
        <v>28520</v>
      </c>
      <c r="J8" s="1710">
        <f t="shared" si="0"/>
        <v>121948</v>
      </c>
      <c r="K8" s="1710">
        <f t="shared" si="0"/>
        <v>55961</v>
      </c>
      <c r="L8" s="347"/>
    </row>
    <row r="9" spans="1:13" ht="15.75" thickTop="1" x14ac:dyDescent="0.2">
      <c r="A9" s="514" t="s">
        <v>1752</v>
      </c>
      <c r="B9" s="515">
        <v>3998</v>
      </c>
      <c r="C9" s="481">
        <v>1148245</v>
      </c>
      <c r="D9" s="516"/>
      <c r="E9" s="481"/>
      <c r="F9" s="481"/>
      <c r="G9" s="517"/>
      <c r="H9" s="481"/>
      <c r="I9" s="509" t="s">
        <v>1231</v>
      </c>
      <c r="J9" s="478"/>
      <c r="K9" s="481"/>
      <c r="L9" s="347"/>
    </row>
    <row r="10" spans="1:13" s="519" customFormat="1" ht="13.5" thickBot="1" x14ac:dyDescent="0.25">
      <c r="A10" s="1758" t="s">
        <v>1235</v>
      </c>
      <c r="B10" s="1731"/>
      <c r="C10" s="1710">
        <f>SUM(C8:C9)</f>
        <v>5796243</v>
      </c>
      <c r="D10" s="1710">
        <f t="shared" ref="D10:K10" si="1">SUM(D8:D9)</f>
        <v>430089</v>
      </c>
      <c r="E10" s="1710">
        <f t="shared" si="1"/>
        <v>0</v>
      </c>
      <c r="F10" s="1710">
        <f t="shared" si="1"/>
        <v>408797</v>
      </c>
      <c r="G10" s="1710">
        <f t="shared" si="1"/>
        <v>153450</v>
      </c>
      <c r="H10" s="1710">
        <f t="shared" si="1"/>
        <v>16</v>
      </c>
      <c r="I10" s="1710">
        <f t="shared" si="1"/>
        <v>28520</v>
      </c>
      <c r="J10" s="1710">
        <f t="shared" si="1"/>
        <v>121948</v>
      </c>
      <c r="K10" s="1710">
        <f t="shared" si="1"/>
        <v>55961</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2024070</v>
      </c>
      <c r="D12" s="520" t="s">
        <v>1231</v>
      </c>
      <c r="E12" s="468" t="s">
        <v>1231</v>
      </c>
      <c r="F12" s="468" t="s">
        <v>1231</v>
      </c>
      <c r="G12" s="1764">
        <f>'Expenditures 15-22'!K229</f>
        <v>39245</v>
      </c>
      <c r="H12" s="521"/>
      <c r="I12" s="468" t="s">
        <v>1231</v>
      </c>
      <c r="J12" s="468" t="s">
        <v>1231</v>
      </c>
      <c r="K12" s="521" t="s">
        <v>1231</v>
      </c>
      <c r="L12" s="347"/>
    </row>
    <row r="13" spans="1:13" ht="15.75" customHeight="1" x14ac:dyDescent="0.2">
      <c r="A13" s="1598" t="s">
        <v>477</v>
      </c>
      <c r="B13" s="1600">
        <v>2000</v>
      </c>
      <c r="C13" s="1765">
        <f>'Expenditures 15-22'!K74</f>
        <v>1682501</v>
      </c>
      <c r="D13" s="1765">
        <f>'Expenditures 15-22'!K129</f>
        <v>382918</v>
      </c>
      <c r="E13" s="469" t="s">
        <v>1231</v>
      </c>
      <c r="F13" s="1765">
        <f>'Expenditures 15-22'!K184</f>
        <v>262791</v>
      </c>
      <c r="G13" s="1765">
        <f>'Expenditures 15-22'!K279</f>
        <v>85684</v>
      </c>
      <c r="H13" s="1765">
        <f>'Expenditures 15-22'!K303</f>
        <v>0</v>
      </c>
      <c r="I13" s="468" t="s">
        <v>1231</v>
      </c>
      <c r="J13" s="1765">
        <f>'Expenditures 15-22'!K330</f>
        <v>83425</v>
      </c>
      <c r="K13" s="1769">
        <f>'Expenditures 15-22'!K352</f>
        <v>1264</v>
      </c>
      <c r="L13" s="347"/>
    </row>
    <row r="14" spans="1:13" ht="15.75" customHeight="1" x14ac:dyDescent="0.2">
      <c r="A14" s="1598" t="s">
        <v>469</v>
      </c>
      <c r="B14" s="1600">
        <v>3000</v>
      </c>
      <c r="C14" s="1765">
        <f>'Expenditures 15-22'!K75</f>
        <v>8247</v>
      </c>
      <c r="D14" s="1765">
        <f>'Expenditures 15-22'!K130</f>
        <v>0</v>
      </c>
      <c r="E14" s="520" t="s">
        <v>1231</v>
      </c>
      <c r="F14" s="1765">
        <f>'Expenditures 15-22'!K185</f>
        <v>0</v>
      </c>
      <c r="G14" s="1765">
        <f>'Expenditures 15-22'!K280</f>
        <v>672</v>
      </c>
      <c r="H14" s="512"/>
      <c r="I14" s="468" t="s">
        <v>1231</v>
      </c>
      <c r="J14" s="468" t="s">
        <v>1231</v>
      </c>
      <c r="K14" s="512" t="s">
        <v>1231</v>
      </c>
      <c r="L14" s="347"/>
    </row>
    <row r="15" spans="1:13" ht="15.75" customHeight="1" x14ac:dyDescent="0.2">
      <c r="A15" s="1598" t="s">
        <v>109</v>
      </c>
      <c r="B15" s="1600">
        <v>4000</v>
      </c>
      <c r="C15" s="1765">
        <f>'Expenditures 15-22'!K102</f>
        <v>641358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235895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4356176</v>
      </c>
      <c r="D17" s="1710">
        <f t="shared" si="2"/>
        <v>382918</v>
      </c>
      <c r="E17" s="1710">
        <f t="shared" si="2"/>
        <v>235895</v>
      </c>
      <c r="F17" s="1710">
        <f t="shared" si="2"/>
        <v>262791</v>
      </c>
      <c r="G17" s="1710">
        <f t="shared" si="2"/>
        <v>125601</v>
      </c>
      <c r="H17" s="1710">
        <f t="shared" si="2"/>
        <v>0</v>
      </c>
      <c r="I17" s="468"/>
      <c r="J17" s="1710">
        <f>SUM(J12:J16)</f>
        <v>83425</v>
      </c>
      <c r="K17" s="1710">
        <f>SUM(K12:K16)</f>
        <v>1264</v>
      </c>
      <c r="L17" s="347"/>
    </row>
    <row r="18" spans="1:12" ht="15" customHeight="1" thickTop="1" x14ac:dyDescent="0.2">
      <c r="A18" s="1766" t="s">
        <v>1753</v>
      </c>
      <c r="B18" s="1767">
        <v>4180</v>
      </c>
      <c r="C18" s="1764">
        <f t="shared" ref="C18:H18" si="3">C9</f>
        <v>1148245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5504421</v>
      </c>
      <c r="D19" s="1710">
        <f t="shared" si="4"/>
        <v>382918</v>
      </c>
      <c r="E19" s="1710">
        <f t="shared" si="4"/>
        <v>235895</v>
      </c>
      <c r="F19" s="1710">
        <f t="shared" si="4"/>
        <v>262791</v>
      </c>
      <c r="G19" s="1710">
        <f t="shared" si="4"/>
        <v>125601</v>
      </c>
      <c r="H19" s="1710">
        <f t="shared" si="4"/>
        <v>0</v>
      </c>
      <c r="I19" s="468"/>
      <c r="J19" s="1710">
        <f>SUM(J17:J18)</f>
        <v>83425</v>
      </c>
      <c r="K19" s="1710">
        <f>SUM(K17:K18)</f>
        <v>1264</v>
      </c>
      <c r="L19" s="347"/>
    </row>
    <row r="20" spans="1:12" ht="16.5" thickTop="1" thickBot="1" x14ac:dyDescent="0.25">
      <c r="A20" s="2145" t="s">
        <v>1754</v>
      </c>
      <c r="B20" s="2146"/>
      <c r="C20" s="1768">
        <f>C8-C17</f>
        <v>291822</v>
      </c>
      <c r="D20" s="1768">
        <f t="shared" ref="D20:K20" si="5">D8-D17</f>
        <v>47171</v>
      </c>
      <c r="E20" s="1768">
        <f t="shared" si="5"/>
        <v>-235895</v>
      </c>
      <c r="F20" s="1768">
        <f t="shared" si="5"/>
        <v>146006</v>
      </c>
      <c r="G20" s="1768">
        <f t="shared" si="5"/>
        <v>27849</v>
      </c>
      <c r="H20" s="1768">
        <f t="shared" si="5"/>
        <v>16</v>
      </c>
      <c r="I20" s="1768">
        <f t="shared" si="5"/>
        <v>28520</v>
      </c>
      <c r="J20" s="1768">
        <f t="shared" si="5"/>
        <v>38523</v>
      </c>
      <c r="K20" s="1768">
        <f t="shared" si="5"/>
        <v>54697</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v>50000</v>
      </c>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v>32220</v>
      </c>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v>1365000</v>
      </c>
      <c r="F33" s="467"/>
      <c r="G33" s="477"/>
      <c r="H33" s="467"/>
      <c r="I33" s="467"/>
      <c r="J33" s="467"/>
      <c r="K33" s="467"/>
      <c r="L33" s="524"/>
    </row>
    <row r="34" spans="1:12" s="485" customFormat="1" x14ac:dyDescent="0.2">
      <c r="A34" s="1511" t="s">
        <v>1058</v>
      </c>
      <c r="B34" s="525">
        <v>7220</v>
      </c>
      <c r="C34" s="467"/>
      <c r="D34" s="467"/>
      <c r="E34" s="467">
        <v>19264</v>
      </c>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90000</v>
      </c>
      <c r="F39" s="477"/>
      <c r="G39" s="477"/>
      <c r="H39" s="477"/>
      <c r="I39" s="477"/>
      <c r="J39" s="477"/>
      <c r="K39" s="477"/>
      <c r="L39" s="524"/>
    </row>
    <row r="40" spans="1:12" s="485" customFormat="1" ht="13.5" customHeight="1" x14ac:dyDescent="0.2">
      <c r="A40" s="1511" t="s">
        <v>663</v>
      </c>
      <c r="B40" s="483">
        <v>7700</v>
      </c>
      <c r="C40" s="477"/>
      <c r="D40" s="477"/>
      <c r="E40" s="1765">
        <f>SUM(C66:D69)</f>
        <v>50109</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50000</v>
      </c>
      <c r="E44" s="1725">
        <f t="shared" si="6"/>
        <v>1556593</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30000</v>
      </c>
      <c r="D49" s="467"/>
      <c r="E49" s="480"/>
      <c r="F49" s="467">
        <v>20000</v>
      </c>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32220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v>90000</v>
      </c>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v>50109</v>
      </c>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v>1325000</v>
      </c>
      <c r="F75" s="532"/>
      <c r="G75" s="532"/>
      <c r="H75" s="532"/>
      <c r="I75" s="530"/>
      <c r="J75" s="530"/>
      <c r="K75" s="532"/>
      <c r="L75" s="524"/>
    </row>
    <row r="76" spans="1:12" s="485" customFormat="1" ht="14.25" thickTop="1" thickBot="1" x14ac:dyDescent="0.25">
      <c r="A76" s="2135" t="s">
        <v>460</v>
      </c>
      <c r="B76" s="2136"/>
      <c r="C76" s="1725">
        <f t="shared" ref="C76:K76" si="7">SUM(C47:C75)</f>
        <v>30000</v>
      </c>
      <c r="D76" s="1725">
        <f t="shared" si="7"/>
        <v>140109</v>
      </c>
      <c r="E76" s="1725">
        <f t="shared" si="7"/>
        <v>1325000</v>
      </c>
      <c r="F76" s="1725">
        <f t="shared" si="7"/>
        <v>20000</v>
      </c>
      <c r="G76" s="1725">
        <f t="shared" si="7"/>
        <v>0</v>
      </c>
      <c r="H76" s="1725">
        <f t="shared" si="7"/>
        <v>0</v>
      </c>
      <c r="I76" s="1725">
        <f t="shared" si="7"/>
        <v>0</v>
      </c>
      <c r="J76" s="1725">
        <f t="shared" si="7"/>
        <v>0</v>
      </c>
      <c r="K76" s="1725">
        <f t="shared" si="7"/>
        <v>32220</v>
      </c>
      <c r="L76" s="524"/>
    </row>
    <row r="77" spans="1:12" ht="14.25" thickTop="1" thickBot="1" x14ac:dyDescent="0.25">
      <c r="A77" s="2137" t="s">
        <v>1239</v>
      </c>
      <c r="B77" s="2138"/>
      <c r="C77" s="1725">
        <f t="shared" ref="C77:K77" si="8">C44-C76</f>
        <v>-30000</v>
      </c>
      <c r="D77" s="1725">
        <f t="shared" si="8"/>
        <v>-90109</v>
      </c>
      <c r="E77" s="1725">
        <f t="shared" si="8"/>
        <v>231593</v>
      </c>
      <c r="F77" s="1725">
        <f t="shared" si="8"/>
        <v>-20000</v>
      </c>
      <c r="G77" s="1725">
        <f t="shared" si="8"/>
        <v>0</v>
      </c>
      <c r="H77" s="1725">
        <f t="shared" si="8"/>
        <v>0</v>
      </c>
      <c r="I77" s="1725">
        <f t="shared" si="8"/>
        <v>0</v>
      </c>
      <c r="J77" s="1725">
        <f t="shared" si="8"/>
        <v>0</v>
      </c>
      <c r="K77" s="1725">
        <f t="shared" si="8"/>
        <v>-32220</v>
      </c>
      <c r="L77" s="347"/>
    </row>
    <row r="78" spans="1:12" ht="21.75" customHeight="1" thickTop="1" thickBot="1" x14ac:dyDescent="0.25">
      <c r="A78" s="2141" t="s">
        <v>618</v>
      </c>
      <c r="B78" s="2142"/>
      <c r="C78" s="1724">
        <f t="shared" ref="C78:K78" si="9">C20+C77</f>
        <v>261822</v>
      </c>
      <c r="D78" s="1724">
        <f t="shared" si="9"/>
        <v>-42938</v>
      </c>
      <c r="E78" s="1724">
        <f t="shared" si="9"/>
        <v>-4302</v>
      </c>
      <c r="F78" s="1724">
        <f t="shared" si="9"/>
        <v>126006</v>
      </c>
      <c r="G78" s="1724">
        <f t="shared" si="9"/>
        <v>27849</v>
      </c>
      <c r="H78" s="1724">
        <f t="shared" si="9"/>
        <v>16</v>
      </c>
      <c r="I78" s="1724">
        <f t="shared" si="9"/>
        <v>28520</v>
      </c>
      <c r="J78" s="1724">
        <f t="shared" si="9"/>
        <v>38523</v>
      </c>
      <c r="K78" s="1724">
        <f t="shared" si="9"/>
        <v>22477</v>
      </c>
      <c r="L78" s="533"/>
    </row>
    <row r="79" spans="1:12" ht="13.5" thickTop="1" x14ac:dyDescent="0.2">
      <c r="A79" s="1516" t="s">
        <v>2071</v>
      </c>
      <c r="B79" s="534"/>
      <c r="C79" s="478">
        <v>2047926</v>
      </c>
      <c r="D79" s="535">
        <v>194009</v>
      </c>
      <c r="E79" s="535">
        <v>3928</v>
      </c>
      <c r="F79" s="535">
        <v>234106</v>
      </c>
      <c r="G79" s="535">
        <v>283648</v>
      </c>
      <c r="H79" s="535">
        <v>24286</v>
      </c>
      <c r="I79" s="535">
        <v>78765</v>
      </c>
      <c r="J79" s="535">
        <v>78885</v>
      </c>
      <c r="K79" s="535">
        <v>58361</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2309748</v>
      </c>
      <c r="D81" s="1710">
        <f>SUM(D78:D80)</f>
        <v>151071</v>
      </c>
      <c r="E81" s="1710">
        <f t="shared" ref="E81:K81" si="10">SUM(E78:E80)</f>
        <v>-374</v>
      </c>
      <c r="F81" s="1710">
        <f t="shared" si="10"/>
        <v>360112</v>
      </c>
      <c r="G81" s="1710">
        <f t="shared" si="10"/>
        <v>311497</v>
      </c>
      <c r="H81" s="1710">
        <f t="shared" si="10"/>
        <v>24302</v>
      </c>
      <c r="I81" s="1710">
        <f t="shared" si="10"/>
        <v>107285</v>
      </c>
      <c r="J81" s="1710">
        <f t="shared" si="10"/>
        <v>117408</v>
      </c>
      <c r="K81" s="1710">
        <f t="shared" si="10"/>
        <v>80838</v>
      </c>
      <c r="L81" s="347"/>
    </row>
    <row r="82" spans="1:12" ht="0.75" customHeight="1" thickTop="1" thickBot="1" x14ac:dyDescent="0.25">
      <c r="A82" s="536" t="s">
        <v>361</v>
      </c>
      <c r="B82" s="537"/>
      <c r="C82" s="538">
        <f>(C81-C79)</f>
        <v>261822</v>
      </c>
      <c r="D82" s="538">
        <f t="shared" ref="D82:K82" si="11">(D81-D79)</f>
        <v>-42938</v>
      </c>
      <c r="E82" s="538">
        <f t="shared" si="11"/>
        <v>-4302</v>
      </c>
      <c r="F82" s="538">
        <f t="shared" si="11"/>
        <v>126006</v>
      </c>
      <c r="G82" s="538">
        <f t="shared" si="11"/>
        <v>27849</v>
      </c>
      <c r="H82" s="538">
        <f t="shared" si="11"/>
        <v>16</v>
      </c>
      <c r="I82" s="538">
        <f t="shared" si="11"/>
        <v>28520</v>
      </c>
      <c r="J82" s="538">
        <f t="shared" si="11"/>
        <v>38523</v>
      </c>
      <c r="K82" s="538">
        <f t="shared" si="11"/>
        <v>22477</v>
      </c>
    </row>
    <row r="83" spans="1:12" ht="14.25" hidden="1" thickTop="1" thickBot="1" x14ac:dyDescent="0.25">
      <c r="A83" s="539" t="s">
        <v>362</v>
      </c>
      <c r="B83" s="464"/>
      <c r="C83" s="540">
        <f>C82/C81</f>
        <v>0.11335522316720266</v>
      </c>
      <c r="D83" s="540">
        <f t="shared" ref="D83:K83" si="12">D82/D81</f>
        <v>-0.28422397415784634</v>
      </c>
      <c r="E83" s="540">
        <f t="shared" si="12"/>
        <v>11.502673796791443</v>
      </c>
      <c r="F83" s="540">
        <f t="shared" si="12"/>
        <v>0.34990780646021236</v>
      </c>
      <c r="G83" s="540">
        <f t="shared" si="12"/>
        <v>8.9403750276888697E-2</v>
      </c>
      <c r="H83" s="540">
        <f t="shared" si="12"/>
        <v>6.5838202617068552E-4</v>
      </c>
      <c r="I83" s="540">
        <f t="shared" si="12"/>
        <v>0.26583399356853243</v>
      </c>
      <c r="J83" s="540">
        <f t="shared" si="12"/>
        <v>0.32811222403924772</v>
      </c>
      <c r="K83" s="540">
        <f t="shared" si="12"/>
        <v>0.27804992701452286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1977643</v>
      </c>
      <c r="D5" s="481">
        <v>304839</v>
      </c>
      <c r="E5" s="466"/>
      <c r="F5" s="548">
        <v>189911</v>
      </c>
      <c r="G5" s="466">
        <v>71169</v>
      </c>
      <c r="H5" s="466"/>
      <c r="I5" s="466">
        <v>28520</v>
      </c>
      <c r="J5" s="467">
        <v>121948</v>
      </c>
      <c r="K5" s="466">
        <v>55961</v>
      </c>
    </row>
    <row r="6" spans="1:12" ht="15" x14ac:dyDescent="0.2">
      <c r="A6" s="463" t="s">
        <v>1761</v>
      </c>
      <c r="B6" s="470">
        <v>1130</v>
      </c>
      <c r="C6" s="466"/>
      <c r="D6" s="466"/>
      <c r="E6" s="475"/>
      <c r="F6" s="475"/>
      <c r="G6" s="468"/>
      <c r="H6" s="468"/>
      <c r="I6" s="468"/>
      <c r="J6" s="468"/>
      <c r="K6" s="468"/>
    </row>
    <row r="7" spans="1:12" x14ac:dyDescent="0.2">
      <c r="A7" s="463" t="s">
        <v>112</v>
      </c>
      <c r="B7" s="549">
        <v>1140</v>
      </c>
      <c r="C7" s="466">
        <v>223604</v>
      </c>
      <c r="D7" s="466"/>
      <c r="E7" s="468"/>
      <c r="F7" s="467"/>
      <c r="G7" s="467"/>
      <c r="H7" s="467"/>
      <c r="I7" s="468"/>
      <c r="J7" s="468"/>
      <c r="K7" s="468"/>
    </row>
    <row r="8" spans="1:12" x14ac:dyDescent="0.2">
      <c r="A8" s="463" t="s">
        <v>433</v>
      </c>
      <c r="B8" s="470">
        <v>1150</v>
      </c>
      <c r="C8" s="475"/>
      <c r="D8" s="475"/>
      <c r="E8" s="477"/>
      <c r="F8" s="477"/>
      <c r="G8" s="481">
        <v>78281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2201247</v>
      </c>
      <c r="D12" s="1729">
        <f t="shared" si="0"/>
        <v>304839</v>
      </c>
      <c r="E12" s="1729">
        <f t="shared" si="0"/>
        <v>0</v>
      </c>
      <c r="F12" s="1729">
        <f t="shared" si="0"/>
        <v>189911</v>
      </c>
      <c r="G12" s="1729">
        <f t="shared" si="0"/>
        <v>149450</v>
      </c>
      <c r="H12" s="1729">
        <f t="shared" si="0"/>
        <v>0</v>
      </c>
      <c r="I12" s="1729">
        <f t="shared" si="0"/>
        <v>28520</v>
      </c>
      <c r="J12" s="1729">
        <f t="shared" si="0"/>
        <v>121948</v>
      </c>
      <c r="K12" s="1710">
        <f t="shared" si="0"/>
        <v>55961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15055</v>
      </c>
      <c r="D16" s="466"/>
      <c r="E16" s="466"/>
      <c r="F16" s="466"/>
      <c r="G16" s="466">
        <v>4000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15055</v>
      </c>
      <c r="D18" s="1732">
        <f t="shared" ref="D18:K18" si="1">SUM(D14:D17)</f>
        <v>0</v>
      </c>
      <c r="E18" s="1732">
        <f t="shared" si="1"/>
        <v>0</v>
      </c>
      <c r="F18" s="1732">
        <f t="shared" si="1"/>
        <v>0</v>
      </c>
      <c r="G18" s="1732">
        <f t="shared" si="1"/>
        <v>4000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13038</v>
      </c>
      <c r="D65" s="466"/>
      <c r="E65" s="466"/>
      <c r="F65" s="467"/>
      <c r="G65" s="466"/>
      <c r="H65" s="466">
        <v>16</v>
      </c>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13038</v>
      </c>
      <c r="D67" s="1710">
        <f t="shared" ref="D67:K67" si="2">SUM(D65:D66)</f>
        <v>0</v>
      </c>
      <c r="E67" s="1710">
        <f t="shared" si="2"/>
        <v>0</v>
      </c>
      <c r="F67" s="1710">
        <f t="shared" si="2"/>
        <v>0</v>
      </c>
      <c r="G67" s="1710">
        <f t="shared" si="2"/>
        <v>0</v>
      </c>
      <c r="H67" s="1710">
        <f t="shared" si="2"/>
        <v>16</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250</v>
      </c>
      <c r="E95" s="521"/>
      <c r="F95" s="521"/>
      <c r="G95" s="521"/>
      <c r="H95" s="521"/>
      <c r="I95" s="521"/>
      <c r="J95" s="521"/>
      <c r="K95" s="521"/>
    </row>
    <row r="96" spans="1:11" ht="12.75" customHeight="1" x14ac:dyDescent="0.2">
      <c r="A96" s="463" t="s">
        <v>409</v>
      </c>
      <c r="B96" s="470">
        <v>1920</v>
      </c>
      <c r="C96" s="551">
        <v>1088</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17343</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13969</v>
      </c>
      <c r="D107" s="466"/>
      <c r="E107" s="466"/>
      <c r="F107" s="466"/>
      <c r="G107" s="466"/>
      <c r="H107" s="466"/>
      <c r="I107" s="466"/>
      <c r="J107" s="467"/>
      <c r="K107" s="466"/>
    </row>
    <row r="108" spans="1:12" ht="12.75" customHeight="1" thickBot="1" x14ac:dyDescent="0.25">
      <c r="A108" s="1730" t="s">
        <v>508</v>
      </c>
      <c r="B108" s="1734"/>
      <c r="C108" s="1729">
        <f>SUM(C95:C107)</f>
        <v>32400</v>
      </c>
      <c r="D108" s="1729">
        <f t="shared" ref="D108:K108" si="3">SUM(D95:D107)</f>
        <v>250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2261740</v>
      </c>
      <c r="D109" s="1737">
        <f t="shared" si="4"/>
        <v>305089</v>
      </c>
      <c r="E109" s="1737">
        <f t="shared" si="4"/>
        <v>0</v>
      </c>
      <c r="F109" s="1737">
        <f t="shared" si="4"/>
        <v>189911</v>
      </c>
      <c r="G109" s="1737">
        <f t="shared" si="4"/>
        <v>153450</v>
      </c>
      <c r="H109" s="1737">
        <f t="shared" si="4"/>
        <v>16</v>
      </c>
      <c r="I109" s="1737">
        <f t="shared" si="4"/>
        <v>28520</v>
      </c>
      <c r="J109" s="1737">
        <f t="shared" si="4"/>
        <v>121948</v>
      </c>
      <c r="K109" s="1724">
        <f t="shared" si="4"/>
        <v>55961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1293143</v>
      </c>
      <c r="D117" s="481">
        <v>125000</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1293143</v>
      </c>
      <c r="D121" s="1729">
        <f t="shared" si="5"/>
        <v>125000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62182</v>
      </c>
      <c r="D124" s="561"/>
      <c r="E124" s="468"/>
      <c r="F124" s="548"/>
      <c r="G124" s="468"/>
      <c r="H124" s="468"/>
      <c r="I124" s="468"/>
      <c r="J124" s="468"/>
      <c r="K124" s="468"/>
    </row>
    <row r="125" spans="1:11" ht="12.75" customHeight="1" x14ac:dyDescent="0.2">
      <c r="A125" s="463" t="s">
        <v>1521</v>
      </c>
      <c r="B125" s="562">
        <v>3105</v>
      </c>
      <c r="C125" s="466">
        <v>22292</v>
      </c>
      <c r="D125" s="561"/>
      <c r="E125" s="468"/>
      <c r="F125" s="466"/>
      <c r="G125" s="468"/>
      <c r="H125" s="468"/>
      <c r="I125" s="468"/>
      <c r="J125" s="468"/>
      <c r="K125" s="468"/>
    </row>
    <row r="126" spans="1:11" ht="12.75" customHeight="1" x14ac:dyDescent="0.2">
      <c r="A126" s="463" t="s">
        <v>922</v>
      </c>
      <c r="B126" s="562">
        <v>3110</v>
      </c>
      <c r="C126" s="551">
        <v>22937</v>
      </c>
      <c r="D126" s="466"/>
      <c r="E126" s="468"/>
      <c r="F126" s="466"/>
      <c r="G126" s="468"/>
      <c r="H126" s="468"/>
      <c r="I126" s="468"/>
      <c r="J126" s="468"/>
      <c r="K126" s="468"/>
    </row>
    <row r="127" spans="1:11" ht="12.75" customHeight="1" x14ac:dyDescent="0.2">
      <c r="A127" s="463" t="s">
        <v>107</v>
      </c>
      <c r="B127" s="562">
        <v>3120</v>
      </c>
      <c r="C127" s="466">
        <v>87728</v>
      </c>
      <c r="D127" s="561"/>
      <c r="E127" s="468"/>
      <c r="F127" s="466"/>
      <c r="G127" s="468"/>
      <c r="H127" s="468"/>
      <c r="I127" s="468"/>
      <c r="J127" s="468"/>
      <c r="K127" s="468"/>
    </row>
    <row r="128" spans="1:11" ht="12.75" customHeight="1" x14ac:dyDescent="0.2">
      <c r="A128" s="463" t="s">
        <v>1522</v>
      </c>
      <c r="B128" s="562">
        <v>3130</v>
      </c>
      <c r="C128" s="466">
        <v>9372</v>
      </c>
      <c r="D128" s="561"/>
      <c r="E128" s="468"/>
      <c r="F128" s="466"/>
      <c r="G128" s="468"/>
      <c r="H128" s="468"/>
      <c r="I128" s="468"/>
      <c r="J128" s="468"/>
      <c r="K128" s="468"/>
    </row>
    <row r="129" spans="1:11" ht="12.75" customHeight="1" x14ac:dyDescent="0.2">
      <c r="A129" s="463" t="s">
        <v>139</v>
      </c>
      <c r="B129" s="562">
        <v>3145</v>
      </c>
      <c r="C129" s="466">
        <v>6784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211295</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15409</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15409</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2487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v>175181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175181</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129174</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371135</v>
      </c>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729500</v>
      </c>
      <c r="D172" s="1744">
        <f t="shared" si="6"/>
        <v>0</v>
      </c>
      <c r="E172" s="1744">
        <f t="shared" si="6"/>
        <v>0</v>
      </c>
      <c r="F172" s="1744">
        <f t="shared" si="6"/>
        <v>175181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2022643</v>
      </c>
      <c r="D173" s="1737">
        <f>SUM(D121,D172)</f>
        <v>125000</v>
      </c>
      <c r="E173" s="1737">
        <f>SUM(E121,E172)</f>
        <v>0</v>
      </c>
      <c r="F173" s="1737">
        <f t="shared" ref="F173:K173" si="7">SUM(F121,F172)</f>
        <v>175181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139252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33723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172975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49018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49018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66458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66458</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18154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5655</v>
      </c>
      <c r="D270" s="576"/>
      <c r="E270" s="468"/>
      <c r="F270" s="576">
        <v>43705</v>
      </c>
      <c r="G270" s="576"/>
      <c r="H270" s="468"/>
      <c r="I270" s="468"/>
      <c r="J270" s="468"/>
      <c r="K270" s="468"/>
    </row>
    <row r="271" spans="1:11" ht="12.75" customHeight="1" thickTop="1" thickBot="1" x14ac:dyDescent="0.25">
      <c r="A271" s="463" t="s">
        <v>395</v>
      </c>
      <c r="B271" s="470">
        <v>4992</v>
      </c>
      <c r="C271" s="575">
        <v>36795</v>
      </c>
      <c r="D271" s="576"/>
      <c r="E271" s="468"/>
      <c r="F271" s="576"/>
      <c r="G271" s="576"/>
      <c r="H271" s="468"/>
      <c r="I271" s="468"/>
      <c r="J271" s="468"/>
      <c r="K271" s="468"/>
    </row>
    <row r="272" spans="1:11" s="594" customFormat="1" ht="12.75" customHeight="1" thickTop="1" thickBot="1" x14ac:dyDescent="0.25">
      <c r="A272" s="563" t="s">
        <v>77</v>
      </c>
      <c r="B272" s="557">
        <v>4999</v>
      </c>
      <c r="C272" s="575">
        <v>4560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363615</v>
      </c>
      <c r="D273" s="1737">
        <f t="shared" si="10"/>
        <v>0</v>
      </c>
      <c r="E273" s="1737">
        <f t="shared" si="10"/>
        <v>0</v>
      </c>
      <c r="F273" s="1737">
        <f t="shared" si="10"/>
        <v>43705</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363615</v>
      </c>
      <c r="D274" s="1737">
        <f>SUM(D178,D184,D273)</f>
        <v>0</v>
      </c>
      <c r="E274" s="1737">
        <f>SUM(E178,E273)</f>
        <v>0</v>
      </c>
      <c r="F274" s="1737">
        <f t="shared" ref="F274:K274" si="11">SUM(F178,F184,F273)</f>
        <v>43705</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4647998</v>
      </c>
      <c r="D275" s="1737">
        <f t="shared" si="12"/>
        <v>430089</v>
      </c>
      <c r="E275" s="1737">
        <f t="shared" si="12"/>
        <v>0</v>
      </c>
      <c r="F275" s="1737">
        <f t="shared" si="12"/>
        <v>408797</v>
      </c>
      <c r="G275" s="1737">
        <f t="shared" si="12"/>
        <v>153450</v>
      </c>
      <c r="H275" s="1737">
        <f t="shared" si="12"/>
        <v>16</v>
      </c>
      <c r="I275" s="1737">
        <f t="shared" si="12"/>
        <v>28520</v>
      </c>
      <c r="J275" s="1737">
        <f t="shared" si="12"/>
        <v>121948</v>
      </c>
      <c r="K275" s="1724">
        <f t="shared" si="12"/>
        <v>55961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10" activePane="bottomLeft" state="frozen"/>
      <selection activeCell="A47" sqref="A47"/>
      <selection pane="bottomLeft" activeCell="A124" sqref="A12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1139033</v>
      </c>
      <c r="D5" s="466">
        <v>197605</v>
      </c>
      <c r="E5" s="466">
        <v>27617</v>
      </c>
      <c r="F5" s="466">
        <v>180879</v>
      </c>
      <c r="G5" s="466">
        <v>13149</v>
      </c>
      <c r="H5" s="466"/>
      <c r="I5" s="467"/>
      <c r="J5" s="467"/>
      <c r="K5" s="1693">
        <f>SUM(C5:J5)</f>
        <v>1558283</v>
      </c>
      <c r="L5" s="466">
        <v>1521248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88995</v>
      </c>
      <c r="D7" s="467">
        <v>15697</v>
      </c>
      <c r="E7" s="467"/>
      <c r="F7" s="467">
        <v>5080</v>
      </c>
      <c r="G7" s="467"/>
      <c r="H7" s="467"/>
      <c r="I7" s="467"/>
      <c r="J7" s="467"/>
      <c r="K7" s="1693">
        <f t="shared" ref="K7:K32" si="0">SUM(C7:J7)</f>
        <v>109772</v>
      </c>
      <c r="L7" s="466">
        <v>116526</v>
      </c>
    </row>
    <row r="8" spans="1:14" x14ac:dyDescent="0.2">
      <c r="A8" s="1526" t="s">
        <v>166</v>
      </c>
      <c r="B8" s="615">
        <v>1200</v>
      </c>
      <c r="C8" s="466">
        <v>158214</v>
      </c>
      <c r="D8" s="466">
        <v>16857</v>
      </c>
      <c r="E8" s="466"/>
      <c r="F8" s="466">
        <v>7</v>
      </c>
      <c r="G8" s="466"/>
      <c r="H8" s="466"/>
      <c r="I8" s="467"/>
      <c r="J8" s="467"/>
      <c r="K8" s="1693">
        <f t="shared" si="0"/>
        <v>175078</v>
      </c>
      <c r="L8" s="466">
        <v>223569</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v>23205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15793</v>
      </c>
      <c r="D14" s="466">
        <v>2384</v>
      </c>
      <c r="E14" s="466">
        <v>2332</v>
      </c>
      <c r="F14" s="466">
        <v>9308</v>
      </c>
      <c r="G14" s="466"/>
      <c r="H14" s="466">
        <v>2525</v>
      </c>
      <c r="I14" s="467"/>
      <c r="J14" s="467"/>
      <c r="K14" s="1693">
        <f t="shared" si="0"/>
        <v>32342</v>
      </c>
      <c r="L14" s="466">
        <v>56707</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v>121765</v>
      </c>
      <c r="D18" s="466">
        <v>26780</v>
      </c>
      <c r="E18" s="466">
        <v>50</v>
      </c>
      <c r="F18" s="466"/>
      <c r="G18" s="466"/>
      <c r="H18" s="466"/>
      <c r="I18" s="467"/>
      <c r="J18" s="467"/>
      <c r="K18" s="1693">
        <f t="shared" si="0"/>
        <v>148595</v>
      </c>
      <c r="L18" s="466">
        <v>150315</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1523800</v>
      </c>
      <c r="D33" s="1692">
        <f t="shared" ref="D33:L33" si="1">SUM(D5:D32)</f>
        <v>259323</v>
      </c>
      <c r="E33" s="1692">
        <f t="shared" si="1"/>
        <v>29999</v>
      </c>
      <c r="F33" s="1692">
        <f t="shared" si="1"/>
        <v>195274</v>
      </c>
      <c r="G33" s="1692">
        <f t="shared" si="1"/>
        <v>13149</v>
      </c>
      <c r="H33" s="1692">
        <f t="shared" si="1"/>
        <v>2525</v>
      </c>
      <c r="I33" s="1692">
        <f t="shared" si="1"/>
        <v>0</v>
      </c>
      <c r="J33" s="1692">
        <f t="shared" si="1"/>
        <v>0</v>
      </c>
      <c r="K33" s="1692">
        <f t="shared" si="1"/>
        <v>2024070</v>
      </c>
      <c r="L33" s="1692">
        <f t="shared" si="1"/>
        <v>2091570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92241</v>
      </c>
      <c r="D36" s="481">
        <v>1746</v>
      </c>
      <c r="E36" s="481">
        <v>126</v>
      </c>
      <c r="F36" s="481">
        <v>96</v>
      </c>
      <c r="G36" s="481"/>
      <c r="H36" s="481"/>
      <c r="I36" s="467"/>
      <c r="J36" s="467"/>
      <c r="K36" s="1693">
        <f t="shared" ref="K36:K41" si="2">SUM(C36:J36)</f>
        <v>94209</v>
      </c>
      <c r="L36" s="466">
        <v>119990</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45216</v>
      </c>
      <c r="D38" s="466">
        <v>9446</v>
      </c>
      <c r="E38" s="466">
        <v>96</v>
      </c>
      <c r="F38" s="466">
        <v>969</v>
      </c>
      <c r="G38" s="466"/>
      <c r="H38" s="466"/>
      <c r="I38" s="467"/>
      <c r="J38" s="467"/>
      <c r="K38" s="1693">
        <f t="shared" si="2"/>
        <v>55727</v>
      </c>
      <c r="L38" s="466">
        <v>59458</v>
      </c>
    </row>
    <row r="39" spans="1:14" x14ac:dyDescent="0.2">
      <c r="A39" s="1526" t="s">
        <v>208</v>
      </c>
      <c r="B39" s="615">
        <v>2140</v>
      </c>
      <c r="C39" s="466">
        <v>255</v>
      </c>
      <c r="D39" s="466"/>
      <c r="E39" s="466">
        <v>11146</v>
      </c>
      <c r="F39" s="466"/>
      <c r="G39" s="466"/>
      <c r="H39" s="466"/>
      <c r="I39" s="467"/>
      <c r="J39" s="467"/>
      <c r="K39" s="1693">
        <f t="shared" si="2"/>
        <v>11401</v>
      </c>
      <c r="L39" s="466">
        <v>30300</v>
      </c>
    </row>
    <row r="40" spans="1:14" x14ac:dyDescent="0.2">
      <c r="A40" s="1526" t="s">
        <v>209</v>
      </c>
      <c r="B40" s="615">
        <v>2150</v>
      </c>
      <c r="C40" s="466"/>
      <c r="D40" s="466"/>
      <c r="E40" s="466">
        <v>94029</v>
      </c>
      <c r="F40" s="466"/>
      <c r="G40" s="466"/>
      <c r="H40" s="466"/>
      <c r="I40" s="467"/>
      <c r="J40" s="467"/>
      <c r="K40" s="1693">
        <f t="shared" si="2"/>
        <v>94029</v>
      </c>
      <c r="L40" s="466">
        <v>103063</v>
      </c>
    </row>
    <row r="41" spans="1:14" x14ac:dyDescent="0.2">
      <c r="A41" s="1526" t="s">
        <v>1768</v>
      </c>
      <c r="B41" s="615">
        <v>2190</v>
      </c>
      <c r="C41" s="466"/>
      <c r="D41" s="466"/>
      <c r="E41" s="466">
        <v>175</v>
      </c>
      <c r="F41" s="466">
        <v>460</v>
      </c>
      <c r="G41" s="466"/>
      <c r="H41" s="466"/>
      <c r="I41" s="467"/>
      <c r="J41" s="467"/>
      <c r="K41" s="1693">
        <f t="shared" si="2"/>
        <v>635</v>
      </c>
      <c r="L41" s="466">
        <v>9892</v>
      </c>
    </row>
    <row r="42" spans="1:14" ht="12.75" customHeight="1" thickBot="1" x14ac:dyDescent="0.25">
      <c r="A42" s="1690" t="s">
        <v>581</v>
      </c>
      <c r="B42" s="1691" t="s">
        <v>740</v>
      </c>
      <c r="C42" s="1692">
        <f>SUM(C36:C41)</f>
        <v>137712</v>
      </c>
      <c r="D42" s="1692">
        <f t="shared" ref="D42:L42" si="3">SUM(D36:D41)</f>
        <v>11192</v>
      </c>
      <c r="E42" s="1692">
        <f t="shared" si="3"/>
        <v>105572</v>
      </c>
      <c r="F42" s="1692">
        <f t="shared" si="3"/>
        <v>1525</v>
      </c>
      <c r="G42" s="1692">
        <f t="shared" si="3"/>
        <v>0</v>
      </c>
      <c r="H42" s="1692">
        <f t="shared" si="3"/>
        <v>0</v>
      </c>
      <c r="I42" s="1692">
        <f t="shared" si="3"/>
        <v>0</v>
      </c>
      <c r="J42" s="1692">
        <f t="shared" si="3"/>
        <v>0</v>
      </c>
      <c r="K42" s="1692">
        <f t="shared" si="3"/>
        <v>256001</v>
      </c>
      <c r="L42" s="1692">
        <f t="shared" si="3"/>
        <v>322703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v>3250</v>
      </c>
      <c r="E44" s="481">
        <v>48769</v>
      </c>
      <c r="F44" s="481"/>
      <c r="G44" s="481"/>
      <c r="H44" s="481"/>
      <c r="I44" s="467"/>
      <c r="J44" s="467"/>
      <c r="K44" s="1694">
        <f>SUM(C44:J44)</f>
        <v>52019</v>
      </c>
      <c r="L44" s="481">
        <v>50035</v>
      </c>
    </row>
    <row r="45" spans="1:14" x14ac:dyDescent="0.2">
      <c r="A45" s="1526" t="s">
        <v>869</v>
      </c>
      <c r="B45" s="615">
        <v>2220</v>
      </c>
      <c r="C45" s="466">
        <v>14797</v>
      </c>
      <c r="D45" s="466"/>
      <c r="E45" s="466">
        <v>194</v>
      </c>
      <c r="F45" s="466">
        <v>8856</v>
      </c>
      <c r="G45" s="466"/>
      <c r="H45" s="466"/>
      <c r="I45" s="467"/>
      <c r="J45" s="467"/>
      <c r="K45" s="1694">
        <f>SUM(C45:J45)</f>
        <v>23847</v>
      </c>
      <c r="L45" s="466">
        <v>29650</v>
      </c>
    </row>
    <row r="46" spans="1:14" x14ac:dyDescent="0.2">
      <c r="A46" s="1526" t="s">
        <v>870</v>
      </c>
      <c r="B46" s="615">
        <v>2230</v>
      </c>
      <c r="C46" s="466"/>
      <c r="D46" s="466"/>
      <c r="E46" s="466">
        <v>38</v>
      </c>
      <c r="F46" s="466"/>
      <c r="G46" s="466"/>
      <c r="H46" s="466"/>
      <c r="I46" s="467"/>
      <c r="J46" s="467"/>
      <c r="K46" s="1694">
        <f>SUM(C46:J46)</f>
        <v>38</v>
      </c>
      <c r="L46" s="466">
        <v>6000</v>
      </c>
    </row>
    <row r="47" spans="1:14" ht="12.75" customHeight="1" thickBot="1" x14ac:dyDescent="0.25">
      <c r="A47" s="1690" t="s">
        <v>582</v>
      </c>
      <c r="B47" s="1691" t="s">
        <v>32</v>
      </c>
      <c r="C47" s="1692">
        <f>SUM(C44:C46)</f>
        <v>14797</v>
      </c>
      <c r="D47" s="1692">
        <f t="shared" ref="D47:K47" si="4">SUM(D44:D46)</f>
        <v>3250</v>
      </c>
      <c r="E47" s="1692">
        <f t="shared" si="4"/>
        <v>49001</v>
      </c>
      <c r="F47" s="1692">
        <f t="shared" si="4"/>
        <v>8856</v>
      </c>
      <c r="G47" s="1692">
        <f t="shared" si="4"/>
        <v>0</v>
      </c>
      <c r="H47" s="1692">
        <f t="shared" si="4"/>
        <v>0</v>
      </c>
      <c r="I47" s="1692">
        <f t="shared" si="4"/>
        <v>0</v>
      </c>
      <c r="J47" s="1692">
        <f t="shared" si="4"/>
        <v>0</v>
      </c>
      <c r="K47" s="1692">
        <f t="shared" si="4"/>
        <v>75904</v>
      </c>
      <c r="L47" s="1692">
        <f>SUM(L44:L46)</f>
        <v>85685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4305</v>
      </c>
      <c r="D49" s="481">
        <v>8015</v>
      </c>
      <c r="E49" s="481">
        <v>39094</v>
      </c>
      <c r="F49" s="481">
        <v>3175</v>
      </c>
      <c r="G49" s="481"/>
      <c r="H49" s="481">
        <v>6247</v>
      </c>
      <c r="I49" s="467">
        <v>1240</v>
      </c>
      <c r="J49" s="467"/>
      <c r="K49" s="1694">
        <f>SUM(C49:J49)</f>
        <v>62076</v>
      </c>
      <c r="L49" s="481">
        <v>105218</v>
      </c>
    </row>
    <row r="50" spans="1:14" x14ac:dyDescent="0.2">
      <c r="A50" s="1526" t="s">
        <v>872</v>
      </c>
      <c r="B50" s="615">
        <v>2320</v>
      </c>
      <c r="C50" s="466">
        <v>226344</v>
      </c>
      <c r="D50" s="466">
        <v>21627</v>
      </c>
      <c r="E50" s="466">
        <v>20328</v>
      </c>
      <c r="F50" s="466">
        <v>9895</v>
      </c>
      <c r="G50" s="466"/>
      <c r="H50" s="466">
        <v>948</v>
      </c>
      <c r="I50" s="467"/>
      <c r="J50" s="467"/>
      <c r="K50" s="1694">
        <f>SUM(C50:J50)</f>
        <v>279142</v>
      </c>
      <c r="L50" s="466">
        <v>271023</v>
      </c>
    </row>
    <row r="51" spans="1:14" x14ac:dyDescent="0.2">
      <c r="A51" s="1526" t="s">
        <v>44</v>
      </c>
      <c r="B51" s="615">
        <v>2330</v>
      </c>
      <c r="C51" s="466">
        <v>8124</v>
      </c>
      <c r="D51" s="466">
        <v>2095</v>
      </c>
      <c r="E51" s="466"/>
      <c r="F51" s="466"/>
      <c r="G51" s="466"/>
      <c r="H51" s="466"/>
      <c r="I51" s="467"/>
      <c r="J51" s="467"/>
      <c r="K51" s="1694">
        <f>SUM(C51:J51)</f>
        <v>10219</v>
      </c>
      <c r="L51" s="466">
        <v>11014</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238773</v>
      </c>
      <c r="D53" s="1692">
        <f t="shared" ref="D53:L53" si="5">SUM(D49:D52)</f>
        <v>31737</v>
      </c>
      <c r="E53" s="1692">
        <f t="shared" si="5"/>
        <v>59422</v>
      </c>
      <c r="F53" s="1692">
        <f t="shared" si="5"/>
        <v>13070</v>
      </c>
      <c r="G53" s="1692">
        <f t="shared" si="5"/>
        <v>0</v>
      </c>
      <c r="H53" s="1692">
        <f t="shared" si="5"/>
        <v>7195</v>
      </c>
      <c r="I53" s="1692">
        <f t="shared" si="5"/>
        <v>1240</v>
      </c>
      <c r="J53" s="1692">
        <f t="shared" si="5"/>
        <v>0</v>
      </c>
      <c r="K53" s="1692">
        <f t="shared" si="5"/>
        <v>351437</v>
      </c>
      <c r="L53" s="1692">
        <f t="shared" si="5"/>
        <v>387255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143635</v>
      </c>
      <c r="D55" s="481">
        <v>20899</v>
      </c>
      <c r="E55" s="481">
        <v>4903</v>
      </c>
      <c r="F55" s="481">
        <v>8876</v>
      </c>
      <c r="G55" s="481"/>
      <c r="H55" s="481">
        <v>709</v>
      </c>
      <c r="I55" s="467"/>
      <c r="J55" s="467"/>
      <c r="K55" s="1694">
        <f>SUM(C55:J55)</f>
        <v>179022</v>
      </c>
      <c r="L55" s="481">
        <v>194280</v>
      </c>
    </row>
    <row r="56" spans="1:14" ht="12.75" customHeight="1" x14ac:dyDescent="0.2">
      <c r="A56" s="1530" t="s">
        <v>394</v>
      </c>
      <c r="B56" s="629">
        <v>2490</v>
      </c>
      <c r="C56" s="466">
        <v>49539</v>
      </c>
      <c r="D56" s="466">
        <v>988</v>
      </c>
      <c r="E56" s="466"/>
      <c r="F56" s="466"/>
      <c r="G56" s="466"/>
      <c r="H56" s="466"/>
      <c r="I56" s="467"/>
      <c r="J56" s="467"/>
      <c r="K56" s="1694">
        <f>SUM(C56:J56)</f>
        <v>50527</v>
      </c>
      <c r="L56" s="466">
        <v>69308</v>
      </c>
    </row>
    <row r="57" spans="1:14" s="343" customFormat="1" ht="12.75" customHeight="1" thickBot="1" x14ac:dyDescent="0.25">
      <c r="A57" s="1690" t="s">
        <v>281</v>
      </c>
      <c r="B57" s="1695" t="s">
        <v>34</v>
      </c>
      <c r="C57" s="1696">
        <f>SUM(C55:C56)</f>
        <v>193174</v>
      </c>
      <c r="D57" s="1696">
        <f t="shared" ref="D57:K57" si="6">SUM(D55:D56)</f>
        <v>21887</v>
      </c>
      <c r="E57" s="1696">
        <f t="shared" si="6"/>
        <v>4903</v>
      </c>
      <c r="F57" s="1696">
        <f t="shared" si="6"/>
        <v>8876</v>
      </c>
      <c r="G57" s="1696">
        <f t="shared" si="6"/>
        <v>0</v>
      </c>
      <c r="H57" s="1696">
        <f t="shared" si="6"/>
        <v>709</v>
      </c>
      <c r="I57" s="1696">
        <f t="shared" si="6"/>
        <v>0</v>
      </c>
      <c r="J57" s="1696">
        <f t="shared" si="6"/>
        <v>0</v>
      </c>
      <c r="K57" s="1696">
        <f t="shared" si="6"/>
        <v>229549</v>
      </c>
      <c r="L57" s="1692">
        <f>SUM(L55:L56)</f>
        <v>263588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59319</v>
      </c>
      <c r="D59" s="481">
        <v>5610</v>
      </c>
      <c r="E59" s="481">
        <v>6399</v>
      </c>
      <c r="F59" s="481">
        <v>121</v>
      </c>
      <c r="G59" s="481"/>
      <c r="H59" s="481">
        <v>82</v>
      </c>
      <c r="I59" s="467"/>
      <c r="J59" s="467"/>
      <c r="K59" s="1694">
        <f t="shared" ref="K59:K64" si="7">SUM(C59:J59)</f>
        <v>71531</v>
      </c>
      <c r="L59" s="481">
        <v>126536</v>
      </c>
      <c r="M59" s="610"/>
      <c r="N59" s="610"/>
    </row>
    <row r="60" spans="1:14" s="343" customFormat="1" x14ac:dyDescent="0.2">
      <c r="A60" s="1526" t="s">
        <v>483</v>
      </c>
      <c r="B60" s="615">
        <v>2520</v>
      </c>
      <c r="C60" s="466">
        <v>38605</v>
      </c>
      <c r="D60" s="466"/>
      <c r="E60" s="466">
        <v>8007</v>
      </c>
      <c r="F60" s="466">
        <v>675</v>
      </c>
      <c r="G60" s="466"/>
      <c r="H60" s="466"/>
      <c r="I60" s="467"/>
      <c r="J60" s="467"/>
      <c r="K60" s="1694">
        <f t="shared" si="7"/>
        <v>47287</v>
      </c>
      <c r="L60" s="466">
        <v>24000</v>
      </c>
      <c r="M60" s="610"/>
      <c r="N60" s="610"/>
    </row>
    <row r="61" spans="1:14" s="343" customFormat="1" x14ac:dyDescent="0.2">
      <c r="A61" s="1526" t="s">
        <v>206</v>
      </c>
      <c r="B61" s="615">
        <v>2540</v>
      </c>
      <c r="C61" s="466">
        <v>188449</v>
      </c>
      <c r="D61" s="466">
        <v>25413</v>
      </c>
      <c r="E61" s="466">
        <v>34737</v>
      </c>
      <c r="F61" s="466"/>
      <c r="G61" s="466"/>
      <c r="H61" s="466"/>
      <c r="I61" s="467"/>
      <c r="J61" s="467"/>
      <c r="K61" s="1694">
        <f t="shared" si="7"/>
        <v>248599</v>
      </c>
      <c r="L61" s="466">
        <v>222046</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62924</v>
      </c>
      <c r="D63" s="466">
        <v>8229</v>
      </c>
      <c r="E63" s="466">
        <v>150258</v>
      </c>
      <c r="F63" s="466">
        <v>8805</v>
      </c>
      <c r="G63" s="466"/>
      <c r="H63" s="466">
        <v>365</v>
      </c>
      <c r="I63" s="467"/>
      <c r="J63" s="467"/>
      <c r="K63" s="1694">
        <f t="shared" si="7"/>
        <v>230581</v>
      </c>
      <c r="L63" s="466">
        <v>242847</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349297</v>
      </c>
      <c r="D65" s="1692">
        <f t="shared" ref="D65:L65" si="8">SUM(D59:D64)</f>
        <v>39252</v>
      </c>
      <c r="E65" s="1692">
        <f t="shared" si="8"/>
        <v>199401</v>
      </c>
      <c r="F65" s="1692">
        <f t="shared" si="8"/>
        <v>9601</v>
      </c>
      <c r="G65" s="1692">
        <f t="shared" si="8"/>
        <v>0</v>
      </c>
      <c r="H65" s="1692">
        <f t="shared" si="8"/>
        <v>447</v>
      </c>
      <c r="I65" s="1692">
        <f t="shared" si="8"/>
        <v>0</v>
      </c>
      <c r="J65" s="1692">
        <f t="shared" si="8"/>
        <v>0</v>
      </c>
      <c r="K65" s="1692">
        <f t="shared" si="8"/>
        <v>597998</v>
      </c>
      <c r="L65" s="1692">
        <f t="shared" si="8"/>
        <v>615429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68037</v>
      </c>
      <c r="D71" s="466">
        <v>9342</v>
      </c>
      <c r="E71" s="466">
        <v>35847</v>
      </c>
      <c r="F71" s="466">
        <v>3889</v>
      </c>
      <c r="G71" s="466">
        <v>35084</v>
      </c>
      <c r="H71" s="466"/>
      <c r="I71" s="467">
        <v>17959</v>
      </c>
      <c r="J71" s="467"/>
      <c r="K71" s="1694">
        <f>SUM(C71:J71)</f>
        <v>170158</v>
      </c>
      <c r="L71" s="466">
        <v>188812</v>
      </c>
      <c r="M71" s="610"/>
      <c r="N71" s="610"/>
    </row>
    <row r="72" spans="1:14" s="343" customFormat="1" ht="12.75" customHeight="1" thickBot="1" x14ac:dyDescent="0.25">
      <c r="A72" s="1690" t="s">
        <v>37</v>
      </c>
      <c r="B72" s="1697" t="s">
        <v>36</v>
      </c>
      <c r="C72" s="1692">
        <f>SUM(C67:C71)</f>
        <v>68037</v>
      </c>
      <c r="D72" s="1692">
        <f t="shared" ref="D72:K72" si="9">SUM(D67:D71)</f>
        <v>9342</v>
      </c>
      <c r="E72" s="1692">
        <f t="shared" si="9"/>
        <v>35847</v>
      </c>
      <c r="F72" s="1692">
        <f t="shared" si="9"/>
        <v>3889</v>
      </c>
      <c r="G72" s="1692">
        <f t="shared" si="9"/>
        <v>35084</v>
      </c>
      <c r="H72" s="1692">
        <f t="shared" si="9"/>
        <v>0</v>
      </c>
      <c r="I72" s="1692">
        <f t="shared" si="9"/>
        <v>17959</v>
      </c>
      <c r="J72" s="1692">
        <f t="shared" si="9"/>
        <v>0</v>
      </c>
      <c r="K72" s="1692">
        <f t="shared" si="9"/>
        <v>170158</v>
      </c>
      <c r="L72" s="1692">
        <f>SUM(L67:L71)</f>
        <v>188812</v>
      </c>
      <c r="M72" s="610"/>
      <c r="N72" s="610"/>
    </row>
    <row r="73" spans="1:14" s="343" customFormat="1" ht="14.25" thickTop="1" thickBot="1" x14ac:dyDescent="0.25">
      <c r="A73" s="1532" t="s">
        <v>1037</v>
      </c>
      <c r="B73" s="633" t="s">
        <v>595</v>
      </c>
      <c r="C73" s="573"/>
      <c r="D73" s="573"/>
      <c r="E73" s="573">
        <v>936</v>
      </c>
      <c r="F73" s="573">
        <v>518</v>
      </c>
      <c r="G73" s="573"/>
      <c r="H73" s="573"/>
      <c r="I73" s="531"/>
      <c r="J73" s="531"/>
      <c r="K73" s="1692">
        <f>SUM(C73:J73)</f>
        <v>1454</v>
      </c>
      <c r="L73" s="576">
        <v>500</v>
      </c>
      <c r="M73" s="610"/>
      <c r="N73" s="610"/>
    </row>
    <row r="74" spans="1:14" ht="12.75" customHeight="1" thickTop="1" thickBot="1" x14ac:dyDescent="0.25">
      <c r="A74" s="1690" t="s">
        <v>865</v>
      </c>
      <c r="B74" s="1698">
        <v>2000</v>
      </c>
      <c r="C74" s="1699">
        <f>SUM(C42,C47,C53,C57,C65,C72,C73)</f>
        <v>1001790</v>
      </c>
      <c r="D74" s="1699">
        <f t="shared" ref="D74:K74" si="10">SUM(D42,D47,D53,D57,D65,D72,D73)</f>
        <v>116660</v>
      </c>
      <c r="E74" s="1699">
        <f t="shared" si="10"/>
        <v>455082</v>
      </c>
      <c r="F74" s="1699">
        <f t="shared" si="10"/>
        <v>46335</v>
      </c>
      <c r="G74" s="1699">
        <f t="shared" si="10"/>
        <v>35084</v>
      </c>
      <c r="H74" s="1699">
        <f t="shared" si="10"/>
        <v>8351</v>
      </c>
      <c r="I74" s="1699">
        <f t="shared" si="10"/>
        <v>19199</v>
      </c>
      <c r="J74" s="1699">
        <f t="shared" si="10"/>
        <v>0</v>
      </c>
      <c r="K74" s="1699">
        <f t="shared" si="10"/>
        <v>1682501</v>
      </c>
      <c r="L74" s="1699">
        <f>SUM(L42,L47,L53,L57,L65,L72,L73)</f>
        <v>1863972</v>
      </c>
    </row>
    <row r="75" spans="1:14" s="259" customFormat="1" ht="15.75" customHeight="1" thickTop="1" thickBot="1" x14ac:dyDescent="0.25">
      <c r="A75" s="1632" t="s">
        <v>49</v>
      </c>
      <c r="B75" s="1633" t="s">
        <v>596</v>
      </c>
      <c r="C75" s="573">
        <v>2784</v>
      </c>
      <c r="D75" s="573">
        <v>2095</v>
      </c>
      <c r="E75" s="573">
        <v>2000</v>
      </c>
      <c r="F75" s="573">
        <v>1368</v>
      </c>
      <c r="G75" s="573"/>
      <c r="H75" s="573"/>
      <c r="I75" s="531"/>
      <c r="J75" s="531"/>
      <c r="K75" s="1692">
        <f>SUM(C75:J75)</f>
        <v>8247</v>
      </c>
      <c r="L75" s="576">
        <v>6875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44676</v>
      </c>
      <c r="F79" s="617"/>
      <c r="G79" s="617"/>
      <c r="H79" s="466">
        <v>586346</v>
      </c>
      <c r="I79" s="477"/>
      <c r="J79" s="477"/>
      <c r="K79" s="1693">
        <f t="shared" si="11"/>
        <v>631022</v>
      </c>
      <c r="L79" s="466">
        <v>623500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v>10336</v>
      </c>
      <c r="I83" s="477"/>
      <c r="J83" s="477"/>
      <c r="K83" s="1693">
        <f t="shared" si="11"/>
        <v>10336</v>
      </c>
      <c r="L83" s="466"/>
    </row>
    <row r="84" spans="1:12" ht="13.5" thickBot="1" x14ac:dyDescent="0.25">
      <c r="A84" s="1690" t="s">
        <v>1565</v>
      </c>
      <c r="B84" s="1700">
        <v>4100</v>
      </c>
      <c r="C84" s="617"/>
      <c r="D84" s="617"/>
      <c r="E84" s="1692">
        <f>SUM(E78:E83)</f>
        <v>44676</v>
      </c>
      <c r="F84" s="617"/>
      <c r="G84" s="617"/>
      <c r="H84" s="1692">
        <f>SUM(H78:H83)</f>
        <v>596682</v>
      </c>
      <c r="I84" s="477"/>
      <c r="J84" s="477"/>
      <c r="K84" s="1692">
        <f>SUM(K78:K83)</f>
        <v>641358</v>
      </c>
      <c r="L84" s="1692">
        <f>SUM(L78:L83)</f>
        <v>623500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44676</v>
      </c>
      <c r="F102" s="617"/>
      <c r="G102" s="617"/>
      <c r="H102" s="1699">
        <f>SUM(H84,H92,H100,H101)</f>
        <v>596682</v>
      </c>
      <c r="I102" s="477"/>
      <c r="J102" s="477"/>
      <c r="K102" s="1699">
        <f>SUM(K84,K92,K100,K101)</f>
        <v>641358</v>
      </c>
      <c r="L102" s="1699">
        <f>SUM(L84,L92,L100,L101)</f>
        <v>623500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2528374</v>
      </c>
      <c r="D114" s="1692">
        <f t="shared" ref="D114:K114" si="13">SUM(D33,D74,D75,D102,D112,D113)</f>
        <v>378078</v>
      </c>
      <c r="E114" s="1692">
        <f t="shared" si="13"/>
        <v>531757</v>
      </c>
      <c r="F114" s="1692">
        <f t="shared" si="13"/>
        <v>242977</v>
      </c>
      <c r="G114" s="1692">
        <f t="shared" si="13"/>
        <v>48233</v>
      </c>
      <c r="H114" s="1692">
        <f>SUM(H33,H74,H75,H102,H112,H113)</f>
        <v>607558</v>
      </c>
      <c r="I114" s="1692">
        <f t="shared" si="13"/>
        <v>19199</v>
      </c>
      <c r="J114" s="1692">
        <f t="shared" si="13"/>
        <v>0</v>
      </c>
      <c r="K114" s="1692">
        <f t="shared" si="13"/>
        <v>4356176</v>
      </c>
      <c r="L114" s="1692">
        <f>SUM(L33,L74,L75,L102,L112,L113)</f>
        <v>4585917</v>
      </c>
    </row>
    <row r="115" spans="1:14" ht="13.5" thickTop="1" x14ac:dyDescent="0.2">
      <c r="A115" s="2200" t="s">
        <v>1053</v>
      </c>
      <c r="B115" s="2201"/>
      <c r="C115" s="619"/>
      <c r="D115" s="619"/>
      <c r="E115" s="619"/>
      <c r="F115" s="619"/>
      <c r="G115" s="619"/>
      <c r="H115" s="619"/>
      <c r="I115" s="619"/>
      <c r="J115" s="619"/>
      <c r="K115" s="1706">
        <f>'Revenues 9-14'!C275-'Expenditures 15-22'!K114</f>
        <v>291822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v>153044</v>
      </c>
      <c r="F124" s="466">
        <v>130206</v>
      </c>
      <c r="G124" s="466">
        <v>99668</v>
      </c>
      <c r="H124" s="466"/>
      <c r="I124" s="467"/>
      <c r="J124" s="467"/>
      <c r="K124" s="1692">
        <f>SUM(C124:J124)</f>
        <v>382918</v>
      </c>
      <c r="L124" s="466">
        <v>295600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153044</v>
      </c>
      <c r="F127" s="1692">
        <f t="shared" si="14"/>
        <v>130206</v>
      </c>
      <c r="G127" s="1692">
        <f t="shared" si="14"/>
        <v>99668</v>
      </c>
      <c r="H127" s="1692">
        <f t="shared" si="14"/>
        <v>0</v>
      </c>
      <c r="I127" s="1692">
        <f t="shared" si="14"/>
        <v>0</v>
      </c>
      <c r="J127" s="1692">
        <f t="shared" si="14"/>
        <v>0</v>
      </c>
      <c r="K127" s="1692">
        <f t="shared" si="14"/>
        <v>382918</v>
      </c>
      <c r="L127" s="1692">
        <f t="shared" si="14"/>
        <v>295600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153044</v>
      </c>
      <c r="F129" s="1699">
        <f t="shared" si="15"/>
        <v>130206</v>
      </c>
      <c r="G129" s="1699">
        <f t="shared" si="15"/>
        <v>99668</v>
      </c>
      <c r="H129" s="1699">
        <f t="shared" si="15"/>
        <v>0</v>
      </c>
      <c r="I129" s="1699">
        <f t="shared" si="15"/>
        <v>0</v>
      </c>
      <c r="J129" s="1699">
        <f t="shared" si="15"/>
        <v>0</v>
      </c>
      <c r="K129" s="1699">
        <f t="shared" si="15"/>
        <v>382918</v>
      </c>
      <c r="L129" s="1699">
        <f t="shared" si="15"/>
        <v>295600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2">
        <f>SUM(C129,C130,C139,C149,C150)</f>
        <v>0</v>
      </c>
      <c r="D151" s="1692">
        <f t="shared" ref="D151:K151" si="16">SUM(D129,D130,D139,D149,D150)</f>
        <v>0</v>
      </c>
      <c r="E151" s="1692">
        <f t="shared" si="16"/>
        <v>153044</v>
      </c>
      <c r="F151" s="1692">
        <f t="shared" si="16"/>
        <v>130206</v>
      </c>
      <c r="G151" s="1692">
        <f t="shared" si="16"/>
        <v>99668</v>
      </c>
      <c r="H151" s="1692">
        <f t="shared" si="16"/>
        <v>0</v>
      </c>
      <c r="I151" s="1692">
        <f t="shared" si="16"/>
        <v>0</v>
      </c>
      <c r="J151" s="1692">
        <f t="shared" si="16"/>
        <v>0</v>
      </c>
      <c r="K151" s="1692">
        <f t="shared" si="16"/>
        <v>382918</v>
      </c>
      <c r="L151" s="1692">
        <f>SUM(L129,L130,L139,L149,L150)</f>
        <v>295600</v>
      </c>
    </row>
    <row r="152" spans="1:14" ht="12.75" customHeight="1" thickTop="1" x14ac:dyDescent="0.2">
      <c r="A152" s="2193" t="s">
        <v>1240</v>
      </c>
      <c r="B152" s="2194"/>
      <c r="C152" s="619"/>
      <c r="D152" s="619"/>
      <c r="E152" s="619"/>
      <c r="F152" s="619"/>
      <c r="G152" s="619"/>
      <c r="H152" s="619"/>
      <c r="I152" s="619"/>
      <c r="J152" s="617"/>
      <c r="K152" s="1706">
        <f>'Revenues 9-14'!D275-'Expenditures 15-22'!K151</f>
        <v>47171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52329</v>
      </c>
      <c r="I169" s="617"/>
      <c r="J169" s="617"/>
      <c r="K169" s="1693">
        <f>SUM(C169:H169)</f>
        <v>52329</v>
      </c>
      <c r="L169" s="657">
        <v>60483</v>
      </c>
    </row>
    <row r="170" spans="1:14" ht="33.75" customHeight="1" x14ac:dyDescent="0.2">
      <c r="A170" s="670" t="s">
        <v>1769</v>
      </c>
      <c r="B170" s="672" t="s">
        <v>31</v>
      </c>
      <c r="C170" s="617"/>
      <c r="D170" s="617"/>
      <c r="E170" s="617"/>
      <c r="F170" s="617"/>
      <c r="G170" s="617"/>
      <c r="H170" s="569">
        <v>120000</v>
      </c>
      <c r="I170" s="617"/>
      <c r="J170" s="617"/>
      <c r="K170" s="1693">
        <f>SUM(C170:J170)</f>
        <v>120000</v>
      </c>
      <c r="L170" s="569">
        <v>158147</v>
      </c>
    </row>
    <row r="171" spans="1:14" ht="15.75" customHeight="1" x14ac:dyDescent="0.2">
      <c r="A171" s="622" t="s">
        <v>790</v>
      </c>
      <c r="B171" s="673" t="s">
        <v>86</v>
      </c>
      <c r="C171" s="617"/>
      <c r="D171" s="617"/>
      <c r="E171" s="466"/>
      <c r="F171" s="617"/>
      <c r="G171" s="617"/>
      <c r="H171" s="569">
        <v>63566</v>
      </c>
      <c r="I171" s="477"/>
      <c r="J171" s="617"/>
      <c r="K171" s="1693">
        <f>SUM(C171:J171)</f>
        <v>63566</v>
      </c>
      <c r="L171" s="569">
        <v>310</v>
      </c>
    </row>
    <row r="172" spans="1:14" ht="12.75" customHeight="1" thickBot="1" x14ac:dyDescent="0.25">
      <c r="A172" s="1690" t="s">
        <v>659</v>
      </c>
      <c r="B172" s="1691" t="s">
        <v>513</v>
      </c>
      <c r="C172" s="617"/>
      <c r="D172" s="617"/>
      <c r="E172" s="1699">
        <f>SUM(E168,E169,E170,E171)</f>
        <v>0</v>
      </c>
      <c r="F172" s="617"/>
      <c r="G172" s="617"/>
      <c r="H172" s="1699">
        <f>SUM(H168,H169,H170,H171)</f>
        <v>235895</v>
      </c>
      <c r="I172" s="639"/>
      <c r="J172" s="617"/>
      <c r="K172" s="1699">
        <f>SUM(K168,K169,K170,K171)</f>
        <v>235895</v>
      </c>
      <c r="L172" s="1699">
        <f>SUM(L168,L169,L170,L171)</f>
        <v>218940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235895</v>
      </c>
      <c r="I174" s="639"/>
      <c r="J174" s="617"/>
      <c r="K174" s="1699">
        <f>SUM(K160,K172,K173)</f>
        <v>235895</v>
      </c>
      <c r="L174" s="1699">
        <f>SUM(L160,L172,L173)</f>
        <v>218940</v>
      </c>
    </row>
    <row r="175" spans="1:14" ht="13.5" thickTop="1" x14ac:dyDescent="0.2">
      <c r="A175" s="2200" t="s">
        <v>1053</v>
      </c>
      <c r="B175" s="2201"/>
      <c r="C175" s="617"/>
      <c r="D175" s="617"/>
      <c r="E175" s="617"/>
      <c r="F175" s="617"/>
      <c r="G175" s="617"/>
      <c r="H175" s="619"/>
      <c r="I175" s="617"/>
      <c r="J175" s="617"/>
      <c r="K175" s="1706">
        <f>'Revenues 9-14'!E275-'Expenditures 15-22'!K174</f>
        <v>-235895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8755</v>
      </c>
      <c r="D182" s="466">
        <v>1561</v>
      </c>
      <c r="E182" s="466">
        <v>220955</v>
      </c>
      <c r="F182" s="466"/>
      <c r="G182" s="466"/>
      <c r="H182" s="466">
        <v>31520</v>
      </c>
      <c r="I182" s="467"/>
      <c r="J182" s="467"/>
      <c r="K182" s="1693">
        <f>SUM(C182:J182)</f>
        <v>262791</v>
      </c>
      <c r="L182" s="466">
        <v>246230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8755</v>
      </c>
      <c r="D184" s="1699">
        <f t="shared" ref="D184:J184" si="17">SUM(D180,D182,D183)</f>
        <v>1561</v>
      </c>
      <c r="E184" s="1699">
        <f t="shared" si="17"/>
        <v>220955</v>
      </c>
      <c r="F184" s="1699">
        <f t="shared" si="17"/>
        <v>0</v>
      </c>
      <c r="G184" s="1699">
        <f t="shared" si="17"/>
        <v>0</v>
      </c>
      <c r="H184" s="1699">
        <f t="shared" si="17"/>
        <v>31520</v>
      </c>
      <c r="I184" s="1699">
        <f t="shared" si="17"/>
        <v>0</v>
      </c>
      <c r="J184" s="1699">
        <f t="shared" si="17"/>
        <v>0</v>
      </c>
      <c r="K184" s="1699">
        <f>SUM(K180,K182,K183)</f>
        <v>262791</v>
      </c>
      <c r="L184" s="1699">
        <f>SUM(L180, L182:L183)</f>
        <v>246230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8755</v>
      </c>
      <c r="D210" s="1692">
        <f>SUM(D184,D185)</f>
        <v>1561</v>
      </c>
      <c r="E210" s="1692">
        <f>SUM(E184,E185,E196)</f>
        <v>220955</v>
      </c>
      <c r="F210" s="1692">
        <f>SUM(F184,F185)</f>
        <v>0</v>
      </c>
      <c r="G210" s="1692">
        <f>SUM(G184,G185)</f>
        <v>0</v>
      </c>
      <c r="H210" s="1692">
        <f>SUM(H184,H185,H196,H208,H209)</f>
        <v>31520</v>
      </c>
      <c r="I210" s="1692">
        <f>SUM(I184,I185)</f>
        <v>0</v>
      </c>
      <c r="J210" s="1692">
        <f>SUM(J184,J185)</f>
        <v>0</v>
      </c>
      <c r="K210" s="1693">
        <f>SUM(K184,K185,K196,K208,K209)</f>
        <v>262791</v>
      </c>
      <c r="L210" s="1692">
        <f>SUM(L184,L185,L196,L208,L209)</f>
        <v>246230</v>
      </c>
    </row>
    <row r="211" spans="1:14" ht="13.5" thickTop="1" x14ac:dyDescent="0.2">
      <c r="A211" s="2200" t="s">
        <v>1053</v>
      </c>
      <c r="B211" s="2201"/>
      <c r="C211" s="619"/>
      <c r="D211" s="619"/>
      <c r="E211" s="619"/>
      <c r="F211" s="619"/>
      <c r="G211" s="619"/>
      <c r="H211" s="619"/>
      <c r="I211" s="617"/>
      <c r="J211" s="617"/>
      <c r="K211" s="1706">
        <f>'Revenues 9-14'!F275-'Expenditures 15-22'!K210</f>
        <v>146006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28355</v>
      </c>
      <c r="E215" s="617"/>
      <c r="F215" s="617"/>
      <c r="G215" s="617"/>
      <c r="H215" s="617"/>
      <c r="I215" s="617"/>
      <c r="J215" s="617"/>
      <c r="K215" s="1693">
        <f>D215</f>
        <v>28355</v>
      </c>
      <c r="L215" s="466">
        <v>24588</v>
      </c>
    </row>
    <row r="216" spans="1:14" x14ac:dyDescent="0.2">
      <c r="A216" s="1526" t="s">
        <v>165</v>
      </c>
      <c r="B216" s="615" t="s">
        <v>1024</v>
      </c>
      <c r="C216" s="617"/>
      <c r="D216" s="467">
        <v>5893</v>
      </c>
      <c r="E216" s="617"/>
      <c r="F216" s="617"/>
      <c r="G216" s="617"/>
      <c r="H216" s="617"/>
      <c r="I216" s="617"/>
      <c r="J216" s="617"/>
      <c r="K216" s="1693">
        <f t="shared" ref="K216:K228" si="19">D216</f>
        <v>5893</v>
      </c>
      <c r="L216" s="466">
        <v>7353</v>
      </c>
    </row>
    <row r="217" spans="1:14" x14ac:dyDescent="0.2">
      <c r="A217" s="1526" t="s">
        <v>166</v>
      </c>
      <c r="B217" s="615">
        <v>1200</v>
      </c>
      <c r="C217" s="617"/>
      <c r="D217" s="466">
        <v>2361</v>
      </c>
      <c r="E217" s="617"/>
      <c r="F217" s="617"/>
      <c r="G217" s="617"/>
      <c r="H217" s="617"/>
      <c r="I217" s="617"/>
      <c r="J217" s="617"/>
      <c r="K217" s="1693">
        <f t="shared" si="19"/>
        <v>2361</v>
      </c>
      <c r="L217" s="466">
        <v>8165</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v>3111</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921</v>
      </c>
      <c r="E223" s="617"/>
      <c r="F223" s="617"/>
      <c r="G223" s="617"/>
      <c r="H223" s="617"/>
      <c r="I223" s="617"/>
      <c r="J223" s="617"/>
      <c r="K223" s="1693">
        <f t="shared" si="19"/>
        <v>921</v>
      </c>
      <c r="L223" s="466">
        <v>464</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v>1715</v>
      </c>
      <c r="E227" s="617"/>
      <c r="F227" s="617"/>
      <c r="G227" s="617"/>
      <c r="H227" s="617"/>
      <c r="I227" s="617"/>
      <c r="J227" s="617"/>
      <c r="K227" s="1693">
        <f t="shared" si="19"/>
        <v>1715</v>
      </c>
      <c r="L227" s="466">
        <v>1844</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39245</v>
      </c>
      <c r="E229" s="617"/>
      <c r="F229" s="617"/>
      <c r="G229" s="617"/>
      <c r="H229" s="617"/>
      <c r="I229" s="617"/>
      <c r="J229" s="617"/>
      <c r="K229" s="1692">
        <f>SUM(K215:K228)</f>
        <v>39245</v>
      </c>
      <c r="L229" s="1692">
        <f>SUM(L215:L228)</f>
        <v>45525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1338</v>
      </c>
      <c r="E232" s="617"/>
      <c r="F232" s="617"/>
      <c r="G232" s="617"/>
      <c r="H232" s="617"/>
      <c r="I232" s="617"/>
      <c r="J232" s="617"/>
      <c r="K232" s="1693">
        <f t="shared" ref="K232:K237" si="20">D232</f>
        <v>1338</v>
      </c>
      <c r="L232" s="466">
        <v>916</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6159</v>
      </c>
      <c r="E234" s="617"/>
      <c r="F234" s="617"/>
      <c r="G234" s="617"/>
      <c r="H234" s="617"/>
      <c r="I234" s="617"/>
      <c r="J234" s="617"/>
      <c r="K234" s="1693">
        <f t="shared" si="20"/>
        <v>6159</v>
      </c>
      <c r="L234" s="466">
        <v>6200</v>
      </c>
    </row>
    <row r="235" spans="1:12" x14ac:dyDescent="0.2">
      <c r="A235" s="1526" t="s">
        <v>208</v>
      </c>
      <c r="B235" s="615">
        <v>2140</v>
      </c>
      <c r="C235" s="617"/>
      <c r="D235" s="466"/>
      <c r="E235" s="617"/>
      <c r="F235" s="617"/>
      <c r="G235" s="617"/>
      <c r="H235" s="617"/>
      <c r="I235" s="617"/>
      <c r="J235" s="617"/>
      <c r="K235" s="1693">
        <f t="shared" si="20"/>
        <v>0</v>
      </c>
      <c r="L235" s="466">
        <v>867</v>
      </c>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v>51</v>
      </c>
    </row>
    <row r="238" spans="1:12" ht="12.75" customHeight="1" thickBot="1" x14ac:dyDescent="0.25">
      <c r="A238" s="1690" t="s">
        <v>581</v>
      </c>
      <c r="B238" s="1697" t="s">
        <v>740</v>
      </c>
      <c r="C238" s="617"/>
      <c r="D238" s="1692">
        <f>SUM(D232:D237)</f>
        <v>7497</v>
      </c>
      <c r="E238" s="617"/>
      <c r="F238" s="617"/>
      <c r="G238" s="617"/>
      <c r="H238" s="617"/>
      <c r="I238" s="617"/>
      <c r="J238" s="617"/>
      <c r="K238" s="1692">
        <f>SUM(K232:K237)</f>
        <v>7497</v>
      </c>
      <c r="L238" s="1692">
        <f>SUM(L232:L237)</f>
        <v>8034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2070</v>
      </c>
      <c r="E241" s="617"/>
      <c r="F241" s="617"/>
      <c r="G241" s="617"/>
      <c r="H241" s="617"/>
      <c r="I241" s="617"/>
      <c r="J241" s="617"/>
      <c r="K241" s="1694">
        <f>D241</f>
        <v>2070</v>
      </c>
      <c r="L241" s="466">
        <v>2045</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2070</v>
      </c>
      <c r="E243" s="617"/>
      <c r="F243" s="617"/>
      <c r="G243" s="617"/>
      <c r="H243" s="617"/>
      <c r="I243" s="617"/>
      <c r="J243" s="617"/>
      <c r="K243" s="1692">
        <f>SUM(K240:K242)</f>
        <v>2070</v>
      </c>
      <c r="L243" s="1692">
        <f>SUM(L240:L242)</f>
        <v>2045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596</v>
      </c>
      <c r="E245" s="617"/>
      <c r="F245" s="617"/>
      <c r="G245" s="617"/>
      <c r="H245" s="617"/>
      <c r="I245" s="617"/>
      <c r="J245" s="617"/>
      <c r="K245" s="1694">
        <f>D245</f>
        <v>596</v>
      </c>
      <c r="L245" s="481">
        <v>244</v>
      </c>
    </row>
    <row r="246" spans="1:12" x14ac:dyDescent="0.2">
      <c r="A246" s="1526" t="s">
        <v>872</v>
      </c>
      <c r="B246" s="615">
        <v>2320</v>
      </c>
      <c r="C246" s="617"/>
      <c r="D246" s="466">
        <v>9668</v>
      </c>
      <c r="E246" s="617"/>
      <c r="F246" s="617"/>
      <c r="G246" s="617"/>
      <c r="H246" s="617"/>
      <c r="I246" s="617"/>
      <c r="J246" s="617"/>
      <c r="K246" s="1694">
        <f t="shared" ref="K246:K256" si="21">D246</f>
        <v>9668</v>
      </c>
      <c r="L246" s="466">
        <v>8979</v>
      </c>
    </row>
    <row r="247" spans="1:12" x14ac:dyDescent="0.2">
      <c r="A247" s="1526" t="s">
        <v>873</v>
      </c>
      <c r="B247" s="615">
        <v>2330</v>
      </c>
      <c r="C247" s="617"/>
      <c r="D247" s="466">
        <v>671</v>
      </c>
      <c r="E247" s="617"/>
      <c r="F247" s="617"/>
      <c r="G247" s="617"/>
      <c r="H247" s="617"/>
      <c r="I247" s="617"/>
      <c r="J247" s="617"/>
      <c r="K247" s="1694">
        <f t="shared" si="21"/>
        <v>671</v>
      </c>
      <c r="L247" s="466">
        <v>225</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3556</v>
      </c>
      <c r="E254" s="617"/>
      <c r="F254" s="617"/>
      <c r="G254" s="617"/>
      <c r="H254" s="617"/>
      <c r="I254" s="617"/>
      <c r="J254" s="617"/>
      <c r="K254" s="1694">
        <f t="shared" si="21"/>
        <v>3556</v>
      </c>
      <c r="L254" s="466">
        <v>7578</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14491</v>
      </c>
      <c r="E257" s="617"/>
      <c r="F257" s="617"/>
      <c r="G257" s="617"/>
      <c r="H257" s="617"/>
      <c r="I257" s="617"/>
      <c r="J257" s="617"/>
      <c r="K257" s="1692">
        <f>SUM(K245:K256)</f>
        <v>14491</v>
      </c>
      <c r="L257" s="1692">
        <f>SUM(L245:L256)</f>
        <v>17026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7795</v>
      </c>
      <c r="E259" s="617"/>
      <c r="F259" s="617"/>
      <c r="G259" s="617"/>
      <c r="H259" s="617"/>
      <c r="I259" s="617"/>
      <c r="J259" s="617"/>
      <c r="K259" s="1694">
        <f>D259</f>
        <v>7795</v>
      </c>
      <c r="L259" s="481">
        <v>8158</v>
      </c>
    </row>
    <row r="260" spans="1:14" s="598" customFormat="1" x14ac:dyDescent="0.2">
      <c r="A260" s="1544" t="s">
        <v>1907</v>
      </c>
      <c r="B260" s="629">
        <v>2490</v>
      </c>
      <c r="C260" s="617"/>
      <c r="D260" s="466">
        <v>718</v>
      </c>
      <c r="E260" s="617"/>
      <c r="F260" s="617"/>
      <c r="G260" s="617"/>
      <c r="H260" s="617"/>
      <c r="I260" s="617"/>
      <c r="J260" s="617"/>
      <c r="K260" s="1694">
        <f>D260</f>
        <v>718</v>
      </c>
      <c r="L260" s="466"/>
      <c r="M260" s="210"/>
      <c r="N260" s="210"/>
    </row>
    <row r="261" spans="1:14" ht="12.75" customHeight="1" thickBot="1" x14ac:dyDescent="0.25">
      <c r="A261" s="1714" t="s">
        <v>281</v>
      </c>
      <c r="B261" s="1719" t="s">
        <v>34</v>
      </c>
      <c r="C261" s="617"/>
      <c r="D261" s="1692">
        <f>SUM(D259:D260)</f>
        <v>8513</v>
      </c>
      <c r="E261" s="617"/>
      <c r="F261" s="617"/>
      <c r="G261" s="617"/>
      <c r="H261" s="617"/>
      <c r="I261" s="617"/>
      <c r="J261" s="617"/>
      <c r="K261" s="1692">
        <f>SUM(K259:K260)</f>
        <v>8513</v>
      </c>
      <c r="L261" s="1692">
        <f>SUM(L259:L260)</f>
        <v>8158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7509</v>
      </c>
      <c r="E263" s="617"/>
      <c r="F263" s="617"/>
      <c r="G263" s="617"/>
      <c r="H263" s="617"/>
      <c r="I263" s="617"/>
      <c r="J263" s="617"/>
      <c r="K263" s="1694">
        <f>D263</f>
        <v>7509</v>
      </c>
      <c r="L263" s="481">
        <v>13835</v>
      </c>
    </row>
    <row r="264" spans="1:14" x14ac:dyDescent="0.2">
      <c r="A264" s="1526" t="s">
        <v>483</v>
      </c>
      <c r="B264" s="686">
        <v>2520</v>
      </c>
      <c r="C264" s="617"/>
      <c r="D264" s="466">
        <v>242</v>
      </c>
      <c r="E264" s="617"/>
      <c r="F264" s="617"/>
      <c r="G264" s="617"/>
      <c r="H264" s="617"/>
      <c r="I264" s="617"/>
      <c r="J264" s="617"/>
      <c r="K264" s="1694">
        <f t="shared" ref="K264:K269" si="22">D264</f>
        <v>242</v>
      </c>
      <c r="L264" s="466">
        <v>1416</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25924</v>
      </c>
      <c r="E266" s="617"/>
      <c r="F266" s="617"/>
      <c r="G266" s="617"/>
      <c r="H266" s="617"/>
      <c r="I266" s="617"/>
      <c r="J266" s="617"/>
      <c r="K266" s="1694">
        <f t="shared" si="22"/>
        <v>25924</v>
      </c>
      <c r="L266" s="466">
        <v>20755</v>
      </c>
    </row>
    <row r="267" spans="1:14" x14ac:dyDescent="0.2">
      <c r="A267" s="1526" t="s">
        <v>1010</v>
      </c>
      <c r="B267" s="615">
        <v>2550</v>
      </c>
      <c r="C267" s="617"/>
      <c r="D267" s="466">
        <v>1297</v>
      </c>
      <c r="E267" s="617"/>
      <c r="F267" s="617"/>
      <c r="G267" s="617"/>
      <c r="H267" s="617"/>
      <c r="I267" s="617"/>
      <c r="J267" s="617"/>
      <c r="K267" s="1694">
        <f t="shared" si="22"/>
        <v>1297</v>
      </c>
      <c r="L267" s="466"/>
    </row>
    <row r="268" spans="1:14" x14ac:dyDescent="0.2">
      <c r="A268" s="1526" t="s">
        <v>102</v>
      </c>
      <c r="B268" s="615">
        <v>2560</v>
      </c>
      <c r="C268" s="617"/>
      <c r="D268" s="466">
        <v>8812</v>
      </c>
      <c r="E268" s="617"/>
      <c r="F268" s="617"/>
      <c r="G268" s="617"/>
      <c r="H268" s="617"/>
      <c r="I268" s="617"/>
      <c r="J268" s="617"/>
      <c r="K268" s="1694">
        <f t="shared" si="22"/>
        <v>8812</v>
      </c>
      <c r="L268" s="466">
        <v>7321</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43784</v>
      </c>
      <c r="E270" s="617"/>
      <c r="F270" s="617"/>
      <c r="G270" s="617"/>
      <c r="H270" s="617"/>
      <c r="I270" s="617"/>
      <c r="J270" s="617"/>
      <c r="K270" s="1692">
        <f>SUM(K263:K269)</f>
        <v>43784</v>
      </c>
      <c r="L270" s="1692">
        <f>SUM(L263:L269)</f>
        <v>43327</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v>9329</v>
      </c>
      <c r="E276" s="617"/>
      <c r="F276" s="617"/>
      <c r="G276" s="617"/>
      <c r="H276" s="617"/>
      <c r="I276" s="617"/>
      <c r="J276" s="617"/>
      <c r="K276" s="1694">
        <f>D276</f>
        <v>9329</v>
      </c>
      <c r="L276" s="466">
        <v>9235</v>
      </c>
    </row>
    <row r="277" spans="1:12" ht="12.75" customHeight="1" thickBot="1" x14ac:dyDescent="0.25">
      <c r="A277" s="1713" t="s">
        <v>37</v>
      </c>
      <c r="B277" s="1691" t="s">
        <v>36</v>
      </c>
      <c r="C277" s="617"/>
      <c r="D277" s="1692">
        <f>SUM(D272:D276)</f>
        <v>9329</v>
      </c>
      <c r="E277" s="617"/>
      <c r="F277" s="617"/>
      <c r="G277" s="617"/>
      <c r="H277" s="617"/>
      <c r="I277" s="617"/>
      <c r="J277" s="617"/>
      <c r="K277" s="1692">
        <f>SUM(K272:K276)</f>
        <v>9329</v>
      </c>
      <c r="L277" s="1692">
        <f>SUM(L272:L276)</f>
        <v>9235</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85684</v>
      </c>
      <c r="E279" s="617"/>
      <c r="F279" s="617"/>
      <c r="G279" s="617"/>
      <c r="H279" s="617"/>
      <c r="I279" s="617"/>
      <c r="J279" s="617"/>
      <c r="K279" s="1699">
        <f>SUM(K238,K243,K257,K261,K270,K277,K278)</f>
        <v>85684</v>
      </c>
      <c r="L279" s="1699">
        <f>SUM(L238,L243,L257,L261,L270,L277,L278)</f>
        <v>87825</v>
      </c>
    </row>
    <row r="280" spans="1:12" ht="15.75" customHeight="1" thickTop="1" thickBot="1" x14ac:dyDescent="0.25">
      <c r="A280" s="1646" t="s">
        <v>930</v>
      </c>
      <c r="B280" s="1635">
        <v>3000</v>
      </c>
      <c r="C280" s="617"/>
      <c r="D280" s="576">
        <v>672</v>
      </c>
      <c r="E280" s="617"/>
      <c r="F280" s="617"/>
      <c r="G280" s="617"/>
      <c r="H280" s="617"/>
      <c r="I280" s="617"/>
      <c r="J280" s="617"/>
      <c r="K280" s="1701">
        <f>D280</f>
        <v>672</v>
      </c>
      <c r="L280" s="576">
        <v>1365</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125601</v>
      </c>
      <c r="E295" s="617"/>
      <c r="F295" s="617"/>
      <c r="G295" s="617"/>
      <c r="H295" s="1692">
        <f>H293</f>
        <v>0</v>
      </c>
      <c r="I295" s="617"/>
      <c r="J295" s="617"/>
      <c r="K295" s="1692">
        <f>SUM(K229,K279,K280,K285,K293,K294)</f>
        <v>125601</v>
      </c>
      <c r="L295" s="1692">
        <f>SUM(L229,L279,L280,L285,L293,L294)</f>
        <v>134715</v>
      </c>
    </row>
    <row r="296" spans="1:14" ht="13.5" thickTop="1" x14ac:dyDescent="0.2">
      <c r="A296" s="2200" t="s">
        <v>1053</v>
      </c>
      <c r="B296" s="2201"/>
      <c r="C296" s="617"/>
      <c r="D296" s="619"/>
      <c r="E296" s="617"/>
      <c r="F296" s="617"/>
      <c r="G296" s="617"/>
      <c r="H296" s="688"/>
      <c r="I296" s="617"/>
      <c r="J296" s="617"/>
      <c r="K296" s="1706">
        <f>'Revenues 9-14'!G275-'Expenditures 15-22'!K295</f>
        <v>27849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v>20000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20000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20000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16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v>8801</v>
      </c>
      <c r="F321" s="467"/>
      <c r="G321" s="467"/>
      <c r="H321" s="467"/>
      <c r="I321" s="467"/>
      <c r="J321" s="467"/>
      <c r="K321" s="1693">
        <f t="shared" si="24"/>
        <v>8801</v>
      </c>
      <c r="L321" s="467">
        <v>14000</v>
      </c>
      <c r="M321" s="666"/>
      <c r="N321" s="666"/>
    </row>
    <row r="322" spans="1:14" s="675" customFormat="1" x14ac:dyDescent="0.2">
      <c r="A322" s="1541" t="s">
        <v>256</v>
      </c>
      <c r="B322" s="698" t="s">
        <v>302</v>
      </c>
      <c r="C322" s="467"/>
      <c r="D322" s="467"/>
      <c r="E322" s="467">
        <v>42724</v>
      </c>
      <c r="F322" s="467"/>
      <c r="G322" s="467"/>
      <c r="H322" s="467"/>
      <c r="I322" s="467"/>
      <c r="J322" s="467"/>
      <c r="K322" s="1693">
        <f t="shared" si="24"/>
        <v>42724</v>
      </c>
      <c r="L322" s="467">
        <v>48500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25202</v>
      </c>
      <c r="D325" s="467">
        <v>6698</v>
      </c>
      <c r="E325" s="467"/>
      <c r="F325" s="467"/>
      <c r="G325" s="467"/>
      <c r="H325" s="467"/>
      <c r="I325" s="467"/>
      <c r="J325" s="467"/>
      <c r="K325" s="1693">
        <f t="shared" si="24"/>
        <v>31900</v>
      </c>
      <c r="L325" s="467">
        <v>43120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25202</v>
      </c>
      <c r="D330" s="1692">
        <f t="shared" ref="D330:J330" si="25">SUM(D319:D329)</f>
        <v>6698</v>
      </c>
      <c r="E330" s="1692">
        <f t="shared" si="25"/>
        <v>51525</v>
      </c>
      <c r="F330" s="1692">
        <f t="shared" si="25"/>
        <v>0</v>
      </c>
      <c r="G330" s="1692">
        <f t="shared" si="25"/>
        <v>0</v>
      </c>
      <c r="H330" s="1692">
        <f t="shared" si="25"/>
        <v>0</v>
      </c>
      <c r="I330" s="1692">
        <f t="shared" si="25"/>
        <v>0</v>
      </c>
      <c r="J330" s="1692">
        <f t="shared" si="25"/>
        <v>0</v>
      </c>
      <c r="K330" s="1692">
        <f>SUM(K319:K329)</f>
        <v>83425</v>
      </c>
      <c r="L330" s="1692">
        <f>SUM(L319:L329)</f>
        <v>105620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25202</v>
      </c>
      <c r="D342" s="1692">
        <f>SUM(D330)</f>
        <v>6698</v>
      </c>
      <c r="E342" s="1692">
        <f>SUM(E330)</f>
        <v>51525</v>
      </c>
      <c r="F342" s="1692">
        <f>SUM(F330)</f>
        <v>0</v>
      </c>
      <c r="G342" s="1692">
        <f>SUM(G330)</f>
        <v>0</v>
      </c>
      <c r="H342" s="1692">
        <f>SUM(H330,H334,H340)</f>
        <v>0</v>
      </c>
      <c r="I342" s="1692">
        <f>SUM(I330)</f>
        <v>0</v>
      </c>
      <c r="J342" s="1692">
        <f>SUM(J330)</f>
        <v>0</v>
      </c>
      <c r="K342" s="1692">
        <f>SUM(K330,K334,K340)</f>
        <v>83425</v>
      </c>
      <c r="L342" s="1699">
        <f>SUM(L330,L340,L341)</f>
        <v>105620</v>
      </c>
    </row>
    <row r="343" spans="1:14" ht="12.75" customHeight="1" thickTop="1" x14ac:dyDescent="0.2">
      <c r="A343" s="2186" t="s">
        <v>1053</v>
      </c>
      <c r="B343" s="2187"/>
      <c r="C343" s="617"/>
      <c r="D343" s="617"/>
      <c r="E343" s="617"/>
      <c r="F343" s="617"/>
      <c r="G343" s="617"/>
      <c r="H343" s="617"/>
      <c r="I343" s="617"/>
      <c r="J343" s="617"/>
      <c r="K343" s="1706">
        <f>'Revenues 9-14'!J275-'Expenditures 15-22'!K342</f>
        <v>38523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125</v>
      </c>
      <c r="F349" s="466">
        <v>1139</v>
      </c>
      <c r="G349" s="466"/>
      <c r="H349" s="466"/>
      <c r="I349" s="467"/>
      <c r="J349" s="467"/>
      <c r="K349" s="1693">
        <f>SUM(C349:J349)</f>
        <v>1264</v>
      </c>
      <c r="L349" s="466">
        <v>10000</v>
      </c>
    </row>
    <row r="350" spans="1:14" ht="12.75" customHeight="1" thickBot="1" x14ac:dyDescent="0.25">
      <c r="A350" s="1690" t="s">
        <v>743</v>
      </c>
      <c r="B350" s="1691" t="s">
        <v>35</v>
      </c>
      <c r="C350" s="1692">
        <f>SUM(C348:C349)</f>
        <v>0</v>
      </c>
      <c r="D350" s="1692">
        <f t="shared" ref="D350:L350" si="26">SUM(D348:D349)</f>
        <v>0</v>
      </c>
      <c r="E350" s="1692">
        <f t="shared" si="26"/>
        <v>125</v>
      </c>
      <c r="F350" s="1692">
        <f t="shared" si="26"/>
        <v>1139</v>
      </c>
      <c r="G350" s="1692">
        <f t="shared" si="26"/>
        <v>0</v>
      </c>
      <c r="H350" s="1692">
        <f t="shared" si="26"/>
        <v>0</v>
      </c>
      <c r="I350" s="1692">
        <f t="shared" si="26"/>
        <v>0</v>
      </c>
      <c r="J350" s="1692">
        <f t="shared" si="26"/>
        <v>0</v>
      </c>
      <c r="K350" s="1692">
        <f t="shared" si="26"/>
        <v>1264</v>
      </c>
      <c r="L350" s="1692">
        <f t="shared" si="26"/>
        <v>10000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125</v>
      </c>
      <c r="F352" s="1692">
        <f t="shared" si="27"/>
        <v>1139</v>
      </c>
      <c r="G352" s="1692">
        <f t="shared" si="27"/>
        <v>0</v>
      </c>
      <c r="H352" s="1692">
        <f t="shared" si="27"/>
        <v>0</v>
      </c>
      <c r="I352" s="1692">
        <f t="shared" si="27"/>
        <v>0</v>
      </c>
      <c r="J352" s="1692">
        <f t="shared" si="27"/>
        <v>0</v>
      </c>
      <c r="K352" s="1692">
        <f t="shared" si="27"/>
        <v>1264</v>
      </c>
      <c r="L352" s="1692">
        <f t="shared" si="27"/>
        <v>10000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125</v>
      </c>
      <c r="F367" s="1692">
        <f t="shared" si="28"/>
        <v>1139</v>
      </c>
      <c r="G367" s="1692">
        <f t="shared" si="28"/>
        <v>0</v>
      </c>
      <c r="H367" s="1692">
        <f t="shared" si="28"/>
        <v>0</v>
      </c>
      <c r="I367" s="1692">
        <f t="shared" si="28"/>
        <v>0</v>
      </c>
      <c r="J367" s="1692">
        <f t="shared" si="28"/>
        <v>0</v>
      </c>
      <c r="K367" s="1692">
        <f t="shared" si="28"/>
        <v>1264</v>
      </c>
      <c r="L367" s="1692">
        <f t="shared" si="28"/>
        <v>10000</v>
      </c>
    </row>
    <row r="368" spans="1:14" ht="13.5" thickTop="1" x14ac:dyDescent="0.2">
      <c r="A368" s="2200" t="s">
        <v>1053</v>
      </c>
      <c r="B368" s="2201"/>
      <c r="C368" s="655"/>
      <c r="D368" s="655"/>
      <c r="E368" s="627"/>
      <c r="F368" s="627"/>
      <c r="G368" s="627"/>
      <c r="H368" s="627"/>
      <c r="I368" s="627"/>
      <c r="J368" s="624"/>
      <c r="K368" s="1693">
        <f>'Revenues 9-14'!K275-'Expenditures 15-22'!K367</f>
        <v>54697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3" sqref="C1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1977643</v>
      </c>
      <c r="C4" s="1546">
        <v>1028105</v>
      </c>
      <c r="D4" s="1774">
        <f>B4-C4</f>
        <v>949538</v>
      </c>
      <c r="E4" s="1546">
        <v>2041418</v>
      </c>
      <c r="F4" s="1774">
        <f>E4-C4</f>
        <v>1013313</v>
      </c>
    </row>
    <row r="5" spans="1:6" ht="13.7" customHeight="1" x14ac:dyDescent="0.2">
      <c r="A5" s="716" t="s">
        <v>925</v>
      </c>
      <c r="B5" s="1772">
        <f>'Revenues 9-14'!D5</f>
        <v>304839</v>
      </c>
      <c r="C5" s="585">
        <v>158002</v>
      </c>
      <c r="D5" s="1775">
        <f t="shared" ref="D5:D18" si="0">B5-C5</f>
        <v>146837</v>
      </c>
      <c r="E5" s="585">
        <v>313736</v>
      </c>
      <c r="F5" s="1775">
        <f>E5-C5</f>
        <v>155734</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189911</v>
      </c>
      <c r="C7" s="585">
        <v>98440</v>
      </c>
      <c r="D7" s="1775">
        <f t="shared" si="0"/>
        <v>91471</v>
      </c>
      <c r="E7" s="585">
        <v>195471</v>
      </c>
      <c r="F7" s="1775">
        <f t="shared" si="1"/>
        <v>97031</v>
      </c>
    </row>
    <row r="8" spans="1:6" ht="13.7" customHeight="1" x14ac:dyDescent="0.2">
      <c r="A8" s="716" t="s">
        <v>1241</v>
      </c>
      <c r="B8" s="1772">
        <f>'Revenues 9-14'!G5</f>
        <v>71169</v>
      </c>
      <c r="C8" s="585">
        <v>36896</v>
      </c>
      <c r="D8" s="1775">
        <f t="shared" si="0"/>
        <v>34273</v>
      </c>
      <c r="E8" s="585">
        <v>73261</v>
      </c>
      <c r="F8" s="1775">
        <f t="shared" si="1"/>
        <v>36365</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28520</v>
      </c>
      <c r="C10" s="585">
        <v>14787</v>
      </c>
      <c r="D10" s="1775">
        <f t="shared" si="0"/>
        <v>13733</v>
      </c>
      <c r="E10" s="585">
        <v>29356</v>
      </c>
      <c r="F10" s="1775">
        <f t="shared" si="1"/>
        <v>14569</v>
      </c>
    </row>
    <row r="11" spans="1:6" x14ac:dyDescent="0.2">
      <c r="A11" s="716" t="s">
        <v>429</v>
      </c>
      <c r="B11" s="1772">
        <f>'Revenues 9-14'!J5</f>
        <v>121948</v>
      </c>
      <c r="C11" s="585">
        <v>63207</v>
      </c>
      <c r="D11" s="1775">
        <f t="shared" si="0"/>
        <v>58741</v>
      </c>
      <c r="E11" s="585">
        <v>125507</v>
      </c>
      <c r="F11" s="1775">
        <f t="shared" si="1"/>
        <v>62300</v>
      </c>
    </row>
    <row r="12" spans="1:6" ht="13.7" customHeight="1" x14ac:dyDescent="0.2">
      <c r="A12" s="716" t="s">
        <v>159</v>
      </c>
      <c r="B12" s="1772">
        <f>'Revenues 9-14'!K5</f>
        <v>55961</v>
      </c>
      <c r="C12" s="585">
        <v>29020</v>
      </c>
      <c r="D12" s="1775">
        <f t="shared" si="0"/>
        <v>26941</v>
      </c>
      <c r="E12" s="585">
        <v>57613</v>
      </c>
      <c r="F12" s="1775">
        <f t="shared" si="1"/>
        <v>28593</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223604</v>
      </c>
      <c r="C14" s="585">
        <v>115898</v>
      </c>
      <c r="D14" s="1775">
        <f t="shared" si="0"/>
        <v>107706</v>
      </c>
      <c r="E14" s="585">
        <v>230129</v>
      </c>
      <c r="F14" s="1775">
        <f t="shared" si="1"/>
        <v>114231</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78281</v>
      </c>
      <c r="C16" s="585">
        <v>40575</v>
      </c>
      <c r="D16" s="1775">
        <f t="shared" si="0"/>
        <v>37706</v>
      </c>
      <c r="E16" s="585">
        <v>80568</v>
      </c>
      <c r="F16" s="1775">
        <f t="shared" si="1"/>
        <v>39993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3051876</v>
      </c>
      <c r="C19" s="1773">
        <f>SUM(C4:C18)</f>
        <v>1584930</v>
      </c>
      <c r="D19" s="1773">
        <f>SUM(D4:D18)</f>
        <v>1466946</v>
      </c>
      <c r="E19" s="1773">
        <f>SUM(E4:E18)</f>
        <v>3147059</v>
      </c>
      <c r="F19" s="1773">
        <f>SUM(F4:F18)</f>
        <v>1562129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10" zoomScaleNormal="110" workbookViewId="0">
      <selection activeCell="J34" sqref="J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2036</v>
      </c>
      <c r="D2" s="724" t="s">
        <v>2043</v>
      </c>
      <c r="E2" s="724" t="s">
        <v>2044</v>
      </c>
      <c r="F2" s="1909" t="s">
        <v>2037</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2094</v>
      </c>
      <c r="B31" s="734">
        <v>39855</v>
      </c>
      <c r="C31" s="735">
        <v>1820000</v>
      </c>
      <c r="D31" s="736" t="s">
        <v>2098</v>
      </c>
      <c r="E31" s="735">
        <v>1415000</v>
      </c>
      <c r="F31" s="735"/>
      <c r="G31" s="735">
        <v>-1325000</v>
      </c>
      <c r="H31" s="735">
        <v>90000</v>
      </c>
      <c r="I31" s="1778">
        <f>((E31+F31)-H31)+G31</f>
        <v>0</v>
      </c>
      <c r="J31" s="735"/>
      <c r="K31" s="737"/>
    </row>
    <row r="32" spans="1:11" ht="12" customHeight="1" x14ac:dyDescent="0.2">
      <c r="A32" s="733" t="s">
        <v>2095</v>
      </c>
      <c r="B32" s="734">
        <v>41410</v>
      </c>
      <c r="C32" s="735">
        <v>150000</v>
      </c>
      <c r="D32" s="736">
        <v>7</v>
      </c>
      <c r="E32" s="735">
        <v>30000</v>
      </c>
      <c r="F32" s="735"/>
      <c r="G32" s="735"/>
      <c r="H32" s="735"/>
      <c r="I32" s="1778">
        <f>((E32+F32)-H32)+G32</f>
        <v>30000</v>
      </c>
      <c r="J32" s="735">
        <v>30000</v>
      </c>
      <c r="K32" s="737"/>
    </row>
    <row r="33" spans="1:11" ht="12" customHeight="1" x14ac:dyDescent="0.2">
      <c r="A33" s="733" t="s">
        <v>2096</v>
      </c>
      <c r="B33" s="734">
        <v>42522</v>
      </c>
      <c r="C33" s="735">
        <v>150000</v>
      </c>
      <c r="D33" s="736">
        <v>7</v>
      </c>
      <c r="E33" s="735">
        <v>120000</v>
      </c>
      <c r="F33" s="735"/>
      <c r="G33" s="735"/>
      <c r="H33" s="735">
        <v>30000</v>
      </c>
      <c r="I33" s="1778">
        <f t="shared" ref="I33:I48" si="1">((E33+F33)-H33)+G33</f>
        <v>90000</v>
      </c>
      <c r="J33" s="735">
        <v>90000</v>
      </c>
      <c r="K33" s="737"/>
    </row>
    <row r="34" spans="1:11" ht="12" customHeight="1" x14ac:dyDescent="0.2">
      <c r="A34" s="733" t="s">
        <v>2097</v>
      </c>
      <c r="B34" s="734">
        <v>43055</v>
      </c>
      <c r="C34" s="735">
        <v>1365000</v>
      </c>
      <c r="D34" s="736">
        <v>3</v>
      </c>
      <c r="E34" s="735"/>
      <c r="F34" s="735">
        <v>1365000</v>
      </c>
      <c r="G34" s="735"/>
      <c r="H34" s="735"/>
      <c r="I34" s="1778">
        <f t="shared" si="1"/>
        <v>1365000</v>
      </c>
      <c r="J34" s="735">
        <v>1365000</v>
      </c>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3485000</v>
      </c>
      <c r="D49" s="746"/>
      <c r="E49" s="1778">
        <f t="shared" ref="E49:J49" si="2">SUM(E31:E48)</f>
        <v>1565000</v>
      </c>
      <c r="F49" s="1778">
        <f t="shared" si="2"/>
        <v>1365000</v>
      </c>
      <c r="G49" s="1778">
        <f t="shared" si="2"/>
        <v>-1325000</v>
      </c>
      <c r="H49" s="1778">
        <f t="shared" si="2"/>
        <v>120000</v>
      </c>
      <c r="I49" s="1778">
        <f t="shared" si="2"/>
        <v>1485000</v>
      </c>
      <c r="J49" s="1778">
        <f t="shared" si="2"/>
        <v>1485000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t="s">
        <v>2099</v>
      </c>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1" colorId="8" zoomScale="110" zoomScaleNormal="110" workbookViewId="0">
      <selection activeCell="H22" sqref="H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223604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223604</v>
      </c>
      <c r="I12" s="1780">
        <f>SUM(I5:I11)</f>
        <v>0</v>
      </c>
      <c r="J12" s="1780">
        <f>SUM(J5:J11)</f>
        <v>0</v>
      </c>
      <c r="K12" s="1780">
        <f>SUM(K5:K11)</f>
        <v>0</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177439</v>
      </c>
      <c r="I14" s="772"/>
      <c r="J14" s="774"/>
      <c r="K14" s="766"/>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v>46165</v>
      </c>
      <c r="I22" s="765"/>
      <c r="J22" s="798"/>
      <c r="K22" s="766"/>
    </row>
    <row r="23" spans="1:11" ht="13.5" thickBot="1" x14ac:dyDescent="0.25">
      <c r="A23" s="2254" t="s">
        <v>962</v>
      </c>
      <c r="B23" s="2253"/>
      <c r="C23" s="2253"/>
      <c r="D23" s="2253"/>
      <c r="E23" s="2253"/>
      <c r="F23" s="1783"/>
      <c r="G23" s="1780">
        <f>SUM(G14:G16,G21,G22)</f>
        <v>0</v>
      </c>
      <c r="H23" s="1780">
        <f>SUM(H14:H16,H21,H22)</f>
        <v>223604</v>
      </c>
      <c r="I23" s="1780">
        <f>SUM(I14:I16,I21,I22)</f>
        <v>0</v>
      </c>
      <c r="J23" s="1780">
        <f>SUM(J14:J16,J21,J22)</f>
        <v>0</v>
      </c>
      <c r="K23" s="1780">
        <f>SUM(K14:K16,K21,K22)</f>
        <v>0</v>
      </c>
    </row>
    <row r="24" spans="1:11" ht="14.25" thickTop="1" thickBot="1" x14ac:dyDescent="0.25">
      <c r="A24" s="2254" t="s">
        <v>2024</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110" zoomScaleNormal="110" workbookViewId="0">
      <selection activeCell="I17" sqref="I1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21943</v>
      </c>
      <c r="D5" s="842"/>
      <c r="E5" s="842"/>
      <c r="F5" s="1782">
        <f>(C5+D5)-E5</f>
        <v>21943</v>
      </c>
      <c r="G5" s="838"/>
      <c r="H5" s="843"/>
      <c r="I5" s="843"/>
      <c r="J5" s="843"/>
      <c r="K5" s="794"/>
      <c r="L5" s="1791">
        <f>F5-K5</f>
        <v>21943</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10660523</v>
      </c>
      <c r="D8" s="845">
        <v>30165</v>
      </c>
      <c r="E8" s="845"/>
      <c r="F8" s="1782">
        <f>(C8+D8)-E8</f>
        <v>10690688</v>
      </c>
      <c r="G8" s="844">
        <v>50</v>
      </c>
      <c r="H8" s="766">
        <v>4044500</v>
      </c>
      <c r="I8" s="766">
        <v>185710</v>
      </c>
      <c r="J8" s="766"/>
      <c r="K8" s="1791">
        <f>(H8+I8)-J8</f>
        <v>4230210</v>
      </c>
      <c r="L8" s="1791">
        <f>F8-K8</f>
        <v>6460478</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235264</v>
      </c>
      <c r="D10" s="847"/>
      <c r="E10" s="847"/>
      <c r="F10" s="1786">
        <f>(C10+D10)-E10</f>
        <v>235264</v>
      </c>
      <c r="G10" s="844">
        <v>20</v>
      </c>
      <c r="H10" s="848">
        <v>117585</v>
      </c>
      <c r="I10" s="848">
        <v>9907</v>
      </c>
      <c r="J10" s="848"/>
      <c r="K10" s="1791">
        <f>(H10+I10)-J10</f>
        <v>127492</v>
      </c>
      <c r="L10" s="1791">
        <f>F10-K10</f>
        <v>107772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1728328</v>
      </c>
      <c r="D12" s="845">
        <f>10268+10550+33703+13149</f>
        <v>67670</v>
      </c>
      <c r="E12" s="845"/>
      <c r="F12" s="1782">
        <f>(C12+D12)-E12</f>
        <v>1795998</v>
      </c>
      <c r="G12" s="844">
        <v>10</v>
      </c>
      <c r="H12" s="766">
        <f>1464275+1312</f>
        <v>1465587</v>
      </c>
      <c r="I12" s="766">
        <f>875+60303-3509</f>
        <v>57669</v>
      </c>
      <c r="J12" s="766"/>
      <c r="K12" s="1791">
        <f>(H12+I12)-J12</f>
        <v>1523256</v>
      </c>
      <c r="L12" s="1791">
        <f>F12-K12</f>
        <v>272742</v>
      </c>
    </row>
    <row r="13" spans="1:14" ht="14.25" thickTop="1" thickBot="1" x14ac:dyDescent="0.25">
      <c r="A13" s="849" t="s">
        <v>1184</v>
      </c>
      <c r="B13" s="841">
        <v>252</v>
      </c>
      <c r="C13" s="845"/>
      <c r="D13" s="845">
        <f>11790+17977+5317</f>
        <v>35084</v>
      </c>
      <c r="E13" s="845"/>
      <c r="F13" s="1782">
        <f>(C13+D13)-E13</f>
        <v>35084</v>
      </c>
      <c r="G13" s="844">
        <v>5</v>
      </c>
      <c r="H13" s="766"/>
      <c r="I13" s="766">
        <f>1179+1798+532</f>
        <v>3509</v>
      </c>
      <c r="J13" s="766"/>
      <c r="K13" s="1791">
        <f>(H13+I13)-J13</f>
        <v>3509</v>
      </c>
      <c r="L13" s="1791">
        <f>F13-K13</f>
        <v>31575</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v>7000</v>
      </c>
      <c r="D15" s="845">
        <v>25250</v>
      </c>
      <c r="E15" s="845">
        <v>10268</v>
      </c>
      <c r="F15" s="1782">
        <f>(C15+D15)-E15</f>
        <v>21982</v>
      </c>
      <c r="G15" s="850" t="s">
        <v>917</v>
      </c>
      <c r="H15" s="782"/>
      <c r="I15" s="782"/>
      <c r="J15" s="782"/>
      <c r="K15" s="782"/>
      <c r="L15" s="1791">
        <f>F15-K15</f>
        <v>21982</v>
      </c>
    </row>
    <row r="16" spans="1:14" ht="15" customHeight="1" thickTop="1" thickBot="1" x14ac:dyDescent="0.25">
      <c r="A16" s="1787" t="s">
        <v>664</v>
      </c>
      <c r="B16" s="1788">
        <v>200</v>
      </c>
      <c r="C16" s="1782">
        <f>SUM(C3,C5:C6,C8:C10,C12:C15)</f>
        <v>12653058</v>
      </c>
      <c r="D16" s="1782">
        <f>SUM(D3,D5:D6,D8:D10,D12:D15)</f>
        <v>158169</v>
      </c>
      <c r="E16" s="1782">
        <f>SUM(E3,E5:E6,E8:E10,E12:E15)</f>
        <v>10268</v>
      </c>
      <c r="F16" s="1782">
        <f>SUM(F3,F5:F6,F8:F10,F12:F15)</f>
        <v>12800959</v>
      </c>
      <c r="G16" s="844"/>
      <c r="H16" s="1782">
        <f>SUM(H3,H6,H8:H10,H12:H14,)</f>
        <v>5627672</v>
      </c>
      <c r="I16" s="1782">
        <f>SUM(I3,I6,I8:I10,I12:I14,)</f>
        <v>256795</v>
      </c>
      <c r="J16" s="1782">
        <f>SUM(J3,J6,J8:J10,J12:J14,)</f>
        <v>0</v>
      </c>
      <c r="K16" s="1782">
        <f>(H16+I16)-J16</f>
        <v>5884467</v>
      </c>
      <c r="L16" s="1782">
        <f>F16-K16</f>
        <v>6916492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19199</v>
      </c>
      <c r="G17" s="838">
        <v>10</v>
      </c>
      <c r="H17" s="770"/>
      <c r="I17" s="1791">
        <f>F17/G17</f>
        <v>1919.9</v>
      </c>
      <c r="J17" s="770"/>
      <c r="K17" s="796"/>
      <c r="L17" s="796"/>
    </row>
    <row r="18" spans="1:12" ht="14.25" thickTop="1" thickBot="1" x14ac:dyDescent="0.25">
      <c r="A18" s="1789" t="s">
        <v>706</v>
      </c>
      <c r="B18" s="1790"/>
      <c r="C18" s="772"/>
      <c r="D18" s="772"/>
      <c r="E18" s="772"/>
      <c r="F18" s="851"/>
      <c r="G18" s="852"/>
      <c r="H18" s="774"/>
      <c r="I18" s="1782">
        <f>SUM(I16,I17)</f>
        <v>258714.9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6" activePane="bottomLeft" state="frozen"/>
      <selection activeCell="A47" sqref="A47"/>
      <selection pane="bottomLeft" activeCell="F77" sqref="F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4356176</v>
      </c>
      <c r="G8" s="866"/>
    </row>
    <row r="9" spans="1:7" x14ac:dyDescent="0.2">
      <c r="A9" s="870" t="s">
        <v>480</v>
      </c>
      <c r="B9" s="871" t="s">
        <v>1988</v>
      </c>
      <c r="C9" s="872"/>
      <c r="D9" s="870" t="s">
        <v>522</v>
      </c>
      <c r="E9" s="869"/>
      <c r="F9" s="1935">
        <f>'Expenditures 15-22'!K151</f>
        <v>382918</v>
      </c>
      <c r="G9" s="873"/>
    </row>
    <row r="10" spans="1:7" x14ac:dyDescent="0.2">
      <c r="A10" s="870" t="s">
        <v>520</v>
      </c>
      <c r="B10" s="871" t="s">
        <v>1989</v>
      </c>
      <c r="C10" s="872"/>
      <c r="D10" s="870" t="s">
        <v>522</v>
      </c>
      <c r="E10" s="869"/>
      <c r="F10" s="1935">
        <f>'Expenditures 15-22'!K174</f>
        <v>235895</v>
      </c>
      <c r="G10" s="873"/>
    </row>
    <row r="11" spans="1:7" x14ac:dyDescent="0.2">
      <c r="A11" s="870" t="s">
        <v>481</v>
      </c>
      <c r="B11" s="871" t="s">
        <v>1990</v>
      </c>
      <c r="C11" s="872"/>
      <c r="D11" s="870" t="s">
        <v>522</v>
      </c>
      <c r="E11" s="869"/>
      <c r="F11" s="1935">
        <f>'Expenditures 15-22'!K210</f>
        <v>262791</v>
      </c>
      <c r="G11" s="873"/>
    </row>
    <row r="12" spans="1:7" x14ac:dyDescent="0.2">
      <c r="A12" s="870" t="s">
        <v>482</v>
      </c>
      <c r="B12" s="871" t="s">
        <v>1991</v>
      </c>
      <c r="C12" s="872"/>
      <c r="D12" s="870" t="s">
        <v>522</v>
      </c>
      <c r="E12" s="869"/>
      <c r="F12" s="1935">
        <f>'Expenditures 15-22'!K295</f>
        <v>125601</v>
      </c>
      <c r="G12" s="873"/>
    </row>
    <row r="13" spans="1:7" x14ac:dyDescent="0.2">
      <c r="A13" s="870" t="s">
        <v>108</v>
      </c>
      <c r="B13" s="871" t="s">
        <v>1992</v>
      </c>
      <c r="C13" s="872"/>
      <c r="D13" s="870" t="s">
        <v>522</v>
      </c>
      <c r="E13" s="869"/>
      <c r="F13" s="1935">
        <f>'Expenditures 15-22'!K342</f>
        <v>83425</v>
      </c>
      <c r="G13" s="874"/>
    </row>
    <row r="14" spans="1:7" ht="12" customHeight="1" thickBot="1" x14ac:dyDescent="0.25">
      <c r="A14" s="1792"/>
      <c r="B14" s="1793"/>
      <c r="C14" s="1794"/>
      <c r="D14" s="1795" t="s">
        <v>522</v>
      </c>
      <c r="E14" s="1796" t="s">
        <v>1015</v>
      </c>
      <c r="F14" s="1797">
        <f>SUM(F8:F13)</f>
        <v>5446806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109772</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8247</v>
      </c>
      <c r="G52" s="866"/>
    </row>
    <row r="53" spans="1:7" x14ac:dyDescent="0.2">
      <c r="A53" s="870" t="s">
        <v>479</v>
      </c>
      <c r="B53" s="870" t="s">
        <v>1551</v>
      </c>
      <c r="C53" s="890">
        <f>'Expenditures 15-22'!B102</f>
        <v>4000</v>
      </c>
      <c r="D53" s="889" t="str">
        <f>'Expenditures 15-22'!A102</f>
        <v>Total Payments to Other Govt Units</v>
      </c>
      <c r="E53" s="869"/>
      <c r="F53" s="1939">
        <f>'Expenditures 15-22'!K102</f>
        <v>641358</v>
      </c>
      <c r="G53" s="866"/>
    </row>
    <row r="54" spans="1:7" x14ac:dyDescent="0.2">
      <c r="A54" s="870" t="s">
        <v>479</v>
      </c>
      <c r="B54" s="870" t="s">
        <v>1552</v>
      </c>
      <c r="C54" s="890" t="s">
        <v>1039</v>
      </c>
      <c r="D54" s="886" t="s">
        <v>1157</v>
      </c>
      <c r="E54" s="869"/>
      <c r="F54" s="1939">
        <f>'Expenditures 15-22'!G114</f>
        <v>48233</v>
      </c>
      <c r="G54" s="866"/>
    </row>
    <row r="55" spans="1:7" x14ac:dyDescent="0.2">
      <c r="A55" s="870" t="s">
        <v>479</v>
      </c>
      <c r="B55" s="870" t="s">
        <v>1553</v>
      </c>
      <c r="C55" s="890" t="s">
        <v>1039</v>
      </c>
      <c r="D55" s="886" t="s">
        <v>309</v>
      </c>
      <c r="E55" s="869"/>
      <c r="F55" s="1939">
        <f>'Expenditures 15-22'!I114</f>
        <v>19199</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99668</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120000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5893</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672</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1053042</v>
      </c>
      <c r="G76" s="866"/>
    </row>
    <row r="77" spans="1:8" s="894" customFormat="1" ht="12" customHeight="1" thickTop="1" thickBot="1" x14ac:dyDescent="0.25">
      <c r="A77" s="1801"/>
      <c r="B77" s="1798"/>
      <c r="C77" s="1794"/>
      <c r="D77" s="1799" t="s">
        <v>2011</v>
      </c>
      <c r="E77" s="1796"/>
      <c r="F77" s="1802">
        <f>(F14-F76)</f>
        <v>4393764</v>
      </c>
      <c r="G77" s="870"/>
    </row>
    <row r="78" spans="1:8" s="894" customFormat="1" ht="12" customHeight="1" thickTop="1" x14ac:dyDescent="0.2">
      <c r="A78" s="1803"/>
      <c r="B78" s="1798"/>
      <c r="C78" s="1794"/>
      <c r="D78" s="1799" t="s">
        <v>2057</v>
      </c>
      <c r="E78" s="1796"/>
      <c r="F78" s="899">
        <v>280.63</v>
      </c>
      <c r="G78" s="900"/>
      <c r="H78" s="870"/>
    </row>
    <row r="79" spans="1:8" s="894" customFormat="1" ht="12" customHeight="1" thickBot="1" x14ac:dyDescent="0.25">
      <c r="A79" s="1804"/>
      <c r="B79" s="1798"/>
      <c r="C79" s="1794"/>
      <c r="D79" s="1799" t="s">
        <v>2012</v>
      </c>
      <c r="E79" s="1796" t="s">
        <v>1015</v>
      </c>
      <c r="F79" s="1805">
        <f>IF(F78&gt;0,F77/F78," Complete Line 78")</f>
        <v>15656.786516053166</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250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211295</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15409</v>
      </c>
      <c r="G107" s="913"/>
    </row>
    <row r="108" spans="1:7" x14ac:dyDescent="0.2">
      <c r="A108" s="909" t="s">
        <v>479</v>
      </c>
      <c r="B108" s="909" t="s">
        <v>844</v>
      </c>
      <c r="C108" s="921">
        <f>'Revenues 9-14'!B145</f>
        <v>3360</v>
      </c>
      <c r="D108" s="912" t="str">
        <f>'Revenues 9-14'!A145</f>
        <v>State Free Lunch &amp; Breakfast</v>
      </c>
      <c r="E108" s="907"/>
      <c r="F108" s="1811">
        <f>'Revenues 9-14'!C145</f>
        <v>2487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175181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371135</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172975</v>
      </c>
      <c r="G129" s="931"/>
    </row>
    <row r="130" spans="1:7" x14ac:dyDescent="0.2">
      <c r="A130" s="928" t="s">
        <v>689</v>
      </c>
      <c r="B130" s="928" t="s">
        <v>804</v>
      </c>
      <c r="C130" s="933">
        <v>4300</v>
      </c>
      <c r="D130" s="934" t="str">
        <f>'Revenues 9-14'!A211</f>
        <v>Total Title I</v>
      </c>
      <c r="E130" s="907"/>
      <c r="F130" s="1811">
        <f>SUM('Revenues 9-14'!C211,'Revenues 9-14'!D211,'Revenues 9-14'!F211,'Revenues 9-14'!G211)</f>
        <v>49018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66458</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18154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49360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36795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4560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1183077</v>
      </c>
    </row>
    <row r="179" spans="1:7" ht="12" customHeight="1" x14ac:dyDescent="0.2">
      <c r="A179" s="1792"/>
      <c r="B179" s="1806"/>
      <c r="C179" s="1807"/>
      <c r="D179" s="1808" t="s">
        <v>2014</v>
      </c>
      <c r="E179" s="1809"/>
      <c r="F179" s="1811">
        <f>'PCTC-OEPP 27-28'!F77-F178</f>
        <v>3210687</v>
      </c>
    </row>
    <row r="180" spans="1:7" ht="12" customHeight="1" x14ac:dyDescent="0.2">
      <c r="A180" s="1792"/>
      <c r="B180" s="1806"/>
      <c r="C180" s="1807"/>
      <c r="D180" s="1808" t="s">
        <v>1924</v>
      </c>
      <c r="E180" s="1809"/>
      <c r="F180" s="1811">
        <f>'Cap Outlay Deprec 26'!I18</f>
        <v>258714.9</v>
      </c>
    </row>
    <row r="181" spans="1:7" ht="12" customHeight="1" x14ac:dyDescent="0.2">
      <c r="A181" s="1792"/>
      <c r="B181" s="1806"/>
      <c r="C181" s="1807"/>
      <c r="D181" s="1808" t="s">
        <v>2015</v>
      </c>
      <c r="E181" s="1809"/>
      <c r="F181" s="1811">
        <f>F179+F180</f>
        <v>3469401.9</v>
      </c>
    </row>
    <row r="182" spans="1:7" ht="12" customHeight="1" x14ac:dyDescent="0.2">
      <c r="A182" s="1792"/>
      <c r="B182" s="1812"/>
      <c r="C182" s="1807"/>
      <c r="D182" s="1808" t="str">
        <f>D78</f>
        <v>9 Month ADA from District Average Daily Attendance/Prior General State Aid Inquiry 2017-2018</v>
      </c>
      <c r="E182" s="1809"/>
      <c r="F182" s="1813">
        <f>'PCTC-OEPP 27-28'!F78</f>
        <v>280.63</v>
      </c>
      <c r="G182" s="931"/>
    </row>
    <row r="183" spans="1:7" ht="12" customHeight="1" thickBot="1" x14ac:dyDescent="0.25">
      <c r="A183" s="1792"/>
      <c r="B183" s="1812"/>
      <c r="C183" s="1807"/>
      <c r="D183" s="1808" t="s">
        <v>2016</v>
      </c>
      <c r="E183" s="1809" t="s">
        <v>1626</v>
      </c>
      <c r="F183" s="1814">
        <f>F181/F182</f>
        <v>12362.904536222071</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B22" sqref="B22"/>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92.2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t="30" x14ac:dyDescent="0.25">
      <c r="A17" s="1956" t="s">
        <v>2118</v>
      </c>
      <c r="B17" s="1957" t="s">
        <v>2123</v>
      </c>
      <c r="C17" s="1958" t="s">
        <v>2113</v>
      </c>
      <c r="D17" s="1867">
        <v>2300</v>
      </c>
      <c r="E17" s="1562">
        <f t="shared" ref="E17:E141" si="1">IF(D17&lt;=25000,D17,IF(D17&gt;25000,25000,0))</f>
        <v>2300</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2300</v>
      </c>
      <c r="G17" s="1816">
        <f>IF(F17=0,0,D17-F17)</f>
        <v>0</v>
      </c>
      <c r="H17" s="1669"/>
    </row>
    <row r="18" spans="1:8" x14ac:dyDescent="0.25">
      <c r="A18" s="1956" t="s">
        <v>2119</v>
      </c>
      <c r="B18" s="1957" t="s">
        <v>2124</v>
      </c>
      <c r="C18" s="1958" t="s">
        <v>2116</v>
      </c>
      <c r="D18" s="1867">
        <v>32400</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7400</v>
      </c>
    </row>
    <row r="19" spans="1:8" x14ac:dyDescent="0.25">
      <c r="A19" s="1956" t="s">
        <v>2120</v>
      </c>
      <c r="B19" s="1957" t="s">
        <v>2125</v>
      </c>
      <c r="C19" s="1958" t="s">
        <v>2114</v>
      </c>
      <c r="D19" s="1867">
        <v>3602</v>
      </c>
      <c r="E19" s="1562">
        <f t="shared" si="2"/>
        <v>3602</v>
      </c>
      <c r="F19" s="1815">
        <f t="shared" si="3"/>
        <v>3602</v>
      </c>
      <c r="G19" s="1816">
        <f t="shared" si="4"/>
        <v>0</v>
      </c>
    </row>
    <row r="20" spans="1:8" x14ac:dyDescent="0.25">
      <c r="A20" s="1956" t="s">
        <v>2120</v>
      </c>
      <c r="B20" s="1957" t="s">
        <v>2125</v>
      </c>
      <c r="C20" s="1958" t="s">
        <v>2115</v>
      </c>
      <c r="D20" s="1867">
        <v>2833</v>
      </c>
      <c r="E20" s="1562">
        <f t="shared" si="2"/>
        <v>2833</v>
      </c>
      <c r="F20" s="1815">
        <f t="shared" si="3"/>
        <v>2833</v>
      </c>
      <c r="G20" s="1816">
        <f t="shared" si="4"/>
        <v>0</v>
      </c>
    </row>
    <row r="21" spans="1:8" ht="30" x14ac:dyDescent="0.25">
      <c r="A21" s="1956" t="s">
        <v>2121</v>
      </c>
      <c r="B21" s="1957" t="s">
        <v>2126</v>
      </c>
      <c r="C21" s="1958" t="s">
        <v>2117</v>
      </c>
      <c r="D21" s="1867">
        <v>3585</v>
      </c>
      <c r="E21" s="1562">
        <f t="shared" si="2"/>
        <v>3585</v>
      </c>
      <c r="F21" s="1815">
        <f t="shared" si="3"/>
        <v>3585</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44720</v>
      </c>
      <c r="E141" s="1563">
        <f t="shared" si="1"/>
        <v>25000</v>
      </c>
      <c r="F141" s="1817">
        <f>SUM(F17:F140)</f>
        <v>37320</v>
      </c>
      <c r="G141" s="1818">
        <f>SUM(G17:G140)</f>
        <v>7400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8" colorId="8" zoomScale="110" zoomScaleNormal="110" workbookViewId="0">
      <selection activeCell="F28" sqref="F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2050166</v>
      </c>
      <c r="F19" s="1822"/>
      <c r="G19" s="1824">
        <f>'Expenditures 15-22'!K33-SUM('Expenditures 15-22'!G33,'Expenditures 15-22'!I33)+'Expenditures 15-22'!D229</f>
        <v>2050166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263498</v>
      </c>
      <c r="F21" s="1825"/>
      <c r="G21" s="1828">
        <f>'Expenditures 15-22'!K42-SUM('Expenditures 15-22'!G42,'Expenditures 15-22'!I42)+'Expenditures 15-22'!K120-SUM('Expenditures 15-22'!G120,'Expenditures 15-22'!I120)+'Expenditures 15-22'!K180-SUM('Expenditures 15-22'!G180,'Expenditures 15-22'!I180)+'Expenditures 15-22'!D238</f>
        <v>263498</v>
      </c>
      <c r="H21" s="988"/>
      <c r="I21" s="162"/>
    </row>
    <row r="22" spans="1:9" s="669" customFormat="1" ht="12" customHeight="1" x14ac:dyDescent="0.2">
      <c r="A22" s="995" t="s">
        <v>585</v>
      </c>
      <c r="B22" s="996"/>
      <c r="C22" s="994">
        <v>2200</v>
      </c>
      <c r="D22" s="1825"/>
      <c r="E22" s="1827">
        <f>'Expenditures 15-22'!K47-SUM('Expenditures 15-22'!G47,'Expenditures 15-22'!I47)+'Expenditures 15-22'!D243</f>
        <v>77974</v>
      </c>
      <c r="F22" s="1825"/>
      <c r="G22" s="1828">
        <f>'Expenditures 15-22'!K47-SUM('Expenditures 15-22'!G47,'Expenditures 15-22'!I47)+'Expenditures 15-22'!D243</f>
        <v>77974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448113</v>
      </c>
      <c r="F23" s="1825"/>
      <c r="G23" s="1827">
        <f>'Expenditures 15-22'!K53-SUM('Expenditures 15-22'!G53,'Expenditures 15-22'!I53)+'Expenditures 15-22'!D257+'Expenditures 15-22'!K330-SUM('Expenditures 15-22'!G330,'Expenditures 15-22'!I330)</f>
        <v>448113</v>
      </c>
      <c r="H23" s="988"/>
      <c r="I23" s="162"/>
    </row>
    <row r="24" spans="1:9" s="669" customFormat="1" ht="12" customHeight="1" x14ac:dyDescent="0.2">
      <c r="A24" s="995" t="s">
        <v>587</v>
      </c>
      <c r="B24" s="996"/>
      <c r="C24" s="994">
        <v>2400</v>
      </c>
      <c r="D24" s="1825"/>
      <c r="E24" s="1827">
        <f>'Expenditures 15-22'!K57-SUM('Expenditures 15-22'!G57,'Expenditures 15-22'!I57)+'Expenditures 15-22'!D261</f>
        <v>238062</v>
      </c>
      <c r="F24" s="1825"/>
      <c r="G24" s="1828">
        <f>'Expenditures 15-22'!K57-SUM('Expenditures 15-22'!G57,'Expenditures 15-22'!I57)+'Expenditures 15-22'!D261</f>
        <v>238062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79040</v>
      </c>
      <c r="E26" s="1827">
        <f>'Expenditures 15-22'!K122-SUM('Expenditures 15-22'!G122,'Expenditures 15-22'!I122)+E7</f>
        <v>0</v>
      </c>
      <c r="F26" s="1827">
        <f>'Expenditures 15-22'!K59-SUM('Expenditures 15-22'!G59,'Expenditures 15-22'!I59)+'Expenditures 15-22'!D263-E7</f>
        <v>79040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47529</v>
      </c>
      <c r="E27" s="1827">
        <f>E8</f>
        <v>0</v>
      </c>
      <c r="F27" s="1827">
        <f>'Expenditures 15-22'!K60-SUM('Expenditures 15-22'!G60,'Expenditures 15-22'!I60)+'Expenditures 15-22'!D264-E8</f>
        <v>47529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557773</v>
      </c>
      <c r="F28" s="1829">
        <f>'Expenditures 15-22'!K61-SUM('Expenditures 15-22'!G61,'Expenditures 15-22'!I61)+'Expenditures 15-22'!K124-SUM('Expenditures 15-22'!G124,'Expenditures 15-22'!I124)+'Expenditures 15-22'!D266-E9</f>
        <v>557773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264088</v>
      </c>
      <c r="F29" s="1825"/>
      <c r="G29" s="1828">
        <f>'Expenditures 15-22'!K62-SUM('Expenditures 15-22'!G62,'Expenditures 15-22'!I62)+'Expenditures 15-22'!K125-SUM('Expenditures 15-22'!G125,'Expenditures 15-22'!I125)+'Expenditures 15-22'!K182-SUM('Expenditures 15-22'!G182,'Expenditures 15-22'!I182)+'Expenditures 15-22'!D267</f>
        <v>264088</v>
      </c>
      <c r="H29" s="986"/>
    </row>
    <row r="30" spans="1:9" ht="12" customHeight="1" x14ac:dyDescent="0.2">
      <c r="A30" s="995" t="s">
        <v>102</v>
      </c>
      <c r="B30" s="998"/>
      <c r="C30" s="994">
        <v>2560</v>
      </c>
      <c r="D30" s="1825"/>
      <c r="E30" s="1827">
        <f>'Expenditures 15-22'!K63-SUM('Expenditures 15-22'!G63,'Expenditures 15-22'!I63)+'Expenditures 15-22'!D268-E10</f>
        <v>239393</v>
      </c>
      <c r="F30" s="1825"/>
      <c r="G30" s="1827">
        <f>'Expenditures 15-22'!K63-SUM('Expenditures 15-22'!G63,'Expenditures 15-22'!I63)+'Expenditures 15-22'!D268-E10</f>
        <v>239393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126444</v>
      </c>
      <c r="E37" s="1827">
        <f>E14</f>
        <v>0</v>
      </c>
      <c r="F37" s="1827">
        <f>'Expenditures 15-22'!K71-SUM('Expenditures 15-22'!G71,'Expenditures 15-22'!I71)+'Expenditures 15-22'!D276-E14</f>
        <v>126444</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1454</v>
      </c>
      <c r="F38" s="1825"/>
      <c r="G38" s="1827">
        <f>'Expenditures 15-22'!K73-SUM('Expenditures 15-22'!G73,'Expenditures 15-22'!I73)+'Expenditures 15-22'!K128-SUM('Expenditures 15-22'!G128,'Expenditures 15-22'!I128)+'Expenditures 15-22'!K183-SUM('Expenditures 15-22'!G183,'Expenditures 15-22'!I183)+'Expenditures 15-22'!D278</f>
        <v>1454</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8919</v>
      </c>
      <c r="F39" s="1825"/>
      <c r="G39" s="1827">
        <f>'Expenditures 15-22'!K75-SUM('Expenditures 15-22'!G75,'Expenditures 15-22'!I75)+'Expenditures 15-22'!K130-SUM('Expenditures 15-22'!G130,'Expenditures 15-22'!I130)+'Expenditures 15-22'!K185-SUM('Expenditures 15-22'!G185,'Expenditures 15-22'!I185)+'Expenditures 15-22'!D280</f>
        <v>8919</v>
      </c>
    </row>
    <row r="40" spans="1:7" ht="12" customHeight="1" x14ac:dyDescent="0.2">
      <c r="A40" s="991" t="s">
        <v>1930</v>
      </c>
      <c r="B40" s="992"/>
      <c r="C40" s="994"/>
      <c r="D40" s="1825"/>
      <c r="E40" s="1829">
        <f>-'Contracts Paid in CY 29'!G141</f>
        <v>-7400</v>
      </c>
      <c r="F40" s="1825"/>
      <c r="G40" s="1829">
        <f>-'Contracts Paid in CY 29'!G141</f>
        <v>-7400</v>
      </c>
    </row>
    <row r="41" spans="1:7" ht="12" customHeight="1" x14ac:dyDescent="0.2">
      <c r="A41" s="999" t="s">
        <v>158</v>
      </c>
      <c r="B41" s="1000"/>
      <c r="C41" s="1001"/>
      <c r="D41" s="1829">
        <f>SUM(D19:D39)</f>
        <v>253013</v>
      </c>
      <c r="E41" s="1829">
        <f>SUM(E19:E40)</f>
        <v>4142040</v>
      </c>
      <c r="F41" s="1829">
        <f>SUM(F19:F39)</f>
        <v>810786</v>
      </c>
      <c r="G41" s="1829">
        <f>SUM(G19:G40)</f>
        <v>3584267</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253013</v>
      </c>
      <c r="F43" s="1830" t="s">
        <v>495</v>
      </c>
      <c r="G43" s="1831">
        <f>F41</f>
        <v>810786</v>
      </c>
    </row>
    <row r="44" spans="1:7" ht="12" customHeight="1" x14ac:dyDescent="0.2">
      <c r="A44" s="988"/>
      <c r="B44" s="162"/>
      <c r="C44" s="1002"/>
      <c r="D44" s="1830" t="s">
        <v>494</v>
      </c>
      <c r="E44" s="1831">
        <f>E41</f>
        <v>4142040</v>
      </c>
      <c r="F44" s="1830" t="s">
        <v>494</v>
      </c>
      <c r="G44" s="1831">
        <f>G41</f>
        <v>3584267</v>
      </c>
    </row>
    <row r="45" spans="1:7" ht="12" customHeight="1" x14ac:dyDescent="0.2">
      <c r="A45" s="988"/>
      <c r="B45" s="162"/>
      <c r="C45" s="162"/>
      <c r="D45" s="1832" t="s">
        <v>1063</v>
      </c>
      <c r="E45" s="1833">
        <f>(E43/E44)</f>
        <v>6.1084151770625102E-2</v>
      </c>
      <c r="F45" s="1832" t="s">
        <v>1063</v>
      </c>
      <c r="G45" s="1833">
        <f>(G43/G44)</f>
        <v>0.22620692041078413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Fairmont SD 89</v>
      </c>
      <c r="D6" s="2316"/>
      <c r="E6" s="2316"/>
      <c r="F6" s="1877"/>
    </row>
    <row r="7" spans="1:10" ht="11.25" customHeight="1" thickBot="1" x14ac:dyDescent="0.3">
      <c r="A7" s="1875"/>
      <c r="B7" s="1876"/>
      <c r="C7" s="2317">
        <f>COVER!A13</f>
        <v>56099089002</v>
      </c>
      <c r="D7" s="2317"/>
      <c r="E7" s="231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2100</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K33" sqref="K3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Fairmont SD 89</v>
      </c>
      <c r="J6" s="2337"/>
      <c r="Q6" s="1686"/>
    </row>
    <row r="7" spans="1:17" x14ac:dyDescent="0.2">
      <c r="A7" s="2338" t="s">
        <v>924</v>
      </c>
      <c r="B7" s="2339"/>
      <c r="C7" s="2339"/>
      <c r="D7" s="2339"/>
      <c r="E7" s="2340"/>
      <c r="F7" s="1018"/>
      <c r="G7" s="1010"/>
      <c r="H7" s="1017" t="s">
        <v>390</v>
      </c>
      <c r="I7" s="2341">
        <f>COVER!A13</f>
        <v>56099089002</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279142</v>
      </c>
      <c r="F12" s="1040"/>
      <c r="G12" s="1834">
        <f t="shared" ref="G12:G18" si="0">SUM(E12:F12)</f>
        <v>279142</v>
      </c>
      <c r="H12" s="1041">
        <f>162775+30000+3000+20143+25+1870+10657+364+8000+2500+2500+7000+3000+1500</f>
        <v>253334</v>
      </c>
      <c r="I12" s="1040"/>
      <c r="J12" s="1834">
        <f t="shared" ref="J12:J18" si="1">SUM(H12:I12)</f>
        <v>253334</v>
      </c>
    </row>
    <row r="13" spans="1:17" ht="15" customHeight="1" x14ac:dyDescent="0.2">
      <c r="A13" s="1036">
        <v>2</v>
      </c>
      <c r="B13" s="1037" t="s">
        <v>44</v>
      </c>
      <c r="C13" s="1038"/>
      <c r="D13" s="1039">
        <v>2330</v>
      </c>
      <c r="E13" s="1834">
        <f>'Expenditures 15-22'!K51</f>
        <v>10219</v>
      </c>
      <c r="F13" s="1040"/>
      <c r="G13" s="1834">
        <f t="shared" si="0"/>
        <v>10219</v>
      </c>
      <c r="H13" s="1041">
        <v>0</v>
      </c>
      <c r="I13" s="1040"/>
      <c r="J13" s="1834">
        <f t="shared" si="1"/>
        <v>0</v>
      </c>
    </row>
    <row r="14" spans="1:17" ht="15" customHeight="1" x14ac:dyDescent="0.2">
      <c r="A14" s="1036">
        <v>3</v>
      </c>
      <c r="B14" s="1037" t="s">
        <v>45</v>
      </c>
      <c r="C14" s="1038"/>
      <c r="D14" s="1042">
        <v>2490</v>
      </c>
      <c r="E14" s="1834">
        <f>'Expenditures 15-22'!K56</f>
        <v>50527</v>
      </c>
      <c r="F14" s="1040"/>
      <c r="G14" s="1834">
        <f t="shared" si="0"/>
        <v>50527</v>
      </c>
      <c r="H14" s="1041">
        <f>57960+750+823+154+10657+364+750+500+250</f>
        <v>72208</v>
      </c>
      <c r="I14" s="1040"/>
      <c r="J14" s="1834">
        <f t="shared" si="1"/>
        <v>72208</v>
      </c>
    </row>
    <row r="15" spans="1:17" ht="15" customHeight="1" x14ac:dyDescent="0.2">
      <c r="A15" s="1036">
        <v>4</v>
      </c>
      <c r="B15" s="1037" t="s">
        <v>1128</v>
      </c>
      <c r="C15" s="1038"/>
      <c r="D15" s="1039">
        <v>2510</v>
      </c>
      <c r="E15" s="1834">
        <f>'Expenditures 15-22'!K59</f>
        <v>71531</v>
      </c>
      <c r="F15" s="1834">
        <f>'Expenditures 15-22'!K122</f>
        <v>0</v>
      </c>
      <c r="G15" s="1834">
        <f t="shared" si="0"/>
        <v>71531</v>
      </c>
      <c r="H15" s="1041">
        <f>70000+154+12519+364+2500+15000+1000+1500+750+250</f>
        <v>104037</v>
      </c>
      <c r="I15" s="1041"/>
      <c r="J15" s="1834">
        <f t="shared" si="1"/>
        <v>104037</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411419</v>
      </c>
      <c r="F19" s="1836">
        <f t="shared" si="2"/>
        <v>0</v>
      </c>
      <c r="G19" s="1836">
        <f t="shared" si="2"/>
        <v>411419</v>
      </c>
      <c r="H19" s="1836">
        <f t="shared" si="2"/>
        <v>429579</v>
      </c>
      <c r="I19" s="1836">
        <f t="shared" si="2"/>
        <v>0</v>
      </c>
      <c r="J19" s="1836">
        <f t="shared" si="2"/>
        <v>429579</v>
      </c>
    </row>
    <row r="20" spans="1:10" ht="13.5" thickTop="1" x14ac:dyDescent="0.2">
      <c r="A20" s="1036">
        <v>9</v>
      </c>
      <c r="B20" s="2348" t="s">
        <v>1703</v>
      </c>
      <c r="C20" s="2348"/>
      <c r="D20" s="2349"/>
      <c r="E20" s="1047"/>
      <c r="F20" s="1047"/>
      <c r="G20" s="1047"/>
      <c r="H20" s="1047"/>
      <c r="I20" s="1047"/>
      <c r="J20" s="1837">
        <f>IF(AND(G19&gt;0,J19&gt;0),(((J19-G19)/G19)),"Enter Budget Data")</f>
        <v>4.4139915754984577E-2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B12" sqref="B1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2101</v>
      </c>
    </row>
    <row r="6" spans="1:2" x14ac:dyDescent="0.2">
      <c r="A6" s="1069">
        <v>2</v>
      </c>
      <c r="B6" s="329" t="s">
        <v>2103</v>
      </c>
    </row>
    <row r="7" spans="1:2" x14ac:dyDescent="0.2">
      <c r="A7" s="1069">
        <v>3</v>
      </c>
      <c r="B7" s="329" t="s">
        <v>2102</v>
      </c>
    </row>
    <row r="8" spans="1:2" x14ac:dyDescent="0.2">
      <c r="A8" s="1069">
        <v>4</v>
      </c>
      <c r="B8" s="329" t="s">
        <v>2104</v>
      </c>
    </row>
    <row r="9" spans="1:2" s="259" customFormat="1" x14ac:dyDescent="0.2">
      <c r="A9" s="1069">
        <v>5</v>
      </c>
      <c r="B9" s="329" t="s">
        <v>2105</v>
      </c>
    </row>
    <row r="10" spans="1:2" s="259" customFormat="1" x14ac:dyDescent="0.2">
      <c r="A10" s="1069">
        <v>6</v>
      </c>
      <c r="B10" s="329" t="s">
        <v>2106</v>
      </c>
    </row>
    <row r="11" spans="1:2" s="259" customFormat="1" x14ac:dyDescent="0.2">
      <c r="A11" s="1069">
        <v>7</v>
      </c>
      <c r="B11" s="329" t="s">
        <v>2111</v>
      </c>
    </row>
    <row r="12" spans="1:2" s="259" customFormat="1" x14ac:dyDescent="0.2">
      <c r="A12" s="1069"/>
      <c r="B12" s="329" t="s">
        <v>2110</v>
      </c>
    </row>
    <row r="13" spans="1:2" s="259" customFormat="1" x14ac:dyDescent="0.2">
      <c r="A13" s="1069">
        <v>8</v>
      </c>
      <c r="B13" s="329" t="s">
        <v>2107</v>
      </c>
    </row>
    <row r="14" spans="1:2" s="259" customFormat="1" x14ac:dyDescent="0.2">
      <c r="A14" s="1069">
        <v>9</v>
      </c>
      <c r="B14" s="329" t="s">
        <v>2108</v>
      </c>
    </row>
    <row r="15" spans="1:2" s="259" customFormat="1" x14ac:dyDescent="0.2">
      <c r="A15" s="1069">
        <v>10</v>
      </c>
      <c r="B15" s="329" t="s">
        <v>2109</v>
      </c>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Fairmont SD 89</v>
      </c>
    </row>
    <row r="66" spans="1:2" x14ac:dyDescent="0.2">
      <c r="B66" s="1071">
        <f>COVER!A13</f>
        <v>56099089002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2" sqref="B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50177"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Document.2015"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4647998</v>
      </c>
      <c r="C8" s="1838">
        <f>'Acct Summary 7-8'!D8</f>
        <v>430089</v>
      </c>
      <c r="D8" s="1838">
        <f>'Acct Summary 7-8'!F8</f>
        <v>408797</v>
      </c>
      <c r="E8" s="1838">
        <f>'Acct Summary 7-8'!I8</f>
        <v>28520</v>
      </c>
      <c r="F8" s="1838">
        <f>SUM(B8:E8)</f>
        <v>5515404</v>
      </c>
    </row>
    <row r="9" spans="1:8" s="1080" customFormat="1" ht="14.25" customHeight="1" thickBot="1" x14ac:dyDescent="0.25">
      <c r="A9" s="1079" t="s">
        <v>1436</v>
      </c>
      <c r="B9" s="1839">
        <f>'Acct Summary 7-8'!C17</f>
        <v>4356176</v>
      </c>
      <c r="C9" s="1839">
        <f>'Acct Summary 7-8'!D17</f>
        <v>382918</v>
      </c>
      <c r="D9" s="1839">
        <f>'Acct Summary 7-8'!F17</f>
        <v>262791</v>
      </c>
      <c r="E9" s="1838"/>
      <c r="F9" s="1838">
        <f>SUM(B9:E9)</f>
        <v>5001885</v>
      </c>
    </row>
    <row r="10" spans="1:8" s="1080" customFormat="1" ht="14.25" thickTop="1" thickBot="1" x14ac:dyDescent="0.25">
      <c r="A10" s="1081" t="s">
        <v>1437</v>
      </c>
      <c r="B10" s="1840">
        <f>(B8-B9)</f>
        <v>291822</v>
      </c>
      <c r="C10" s="1840">
        <f>(C8-C9)</f>
        <v>47171</v>
      </c>
      <c r="D10" s="1840">
        <f>(D8-D9)</f>
        <v>146006</v>
      </c>
      <c r="E10" s="1839">
        <f>(E8-E9)</f>
        <v>28520</v>
      </c>
      <c r="F10" s="1841">
        <f>SUM(F8-F9)</f>
        <v>513519</v>
      </c>
    </row>
    <row r="11" spans="1:8" s="1080" customFormat="1" ht="14.25" thickTop="1" thickBot="1" x14ac:dyDescent="0.25">
      <c r="A11" s="1082" t="s">
        <v>1785</v>
      </c>
      <c r="B11" s="1842">
        <f>'Acct Summary 7-8'!C81</f>
        <v>2309748</v>
      </c>
      <c r="C11" s="1842">
        <f>'Acct Summary 7-8'!D81</f>
        <v>151071</v>
      </c>
      <c r="D11" s="1842">
        <f>'Acct Summary 7-8'!F81</f>
        <v>360112</v>
      </c>
      <c r="E11" s="1842">
        <f>'Acct Summary 7-8'!I81</f>
        <v>107285</v>
      </c>
      <c r="F11" s="1843">
        <f>SUM(B11:E11)</f>
        <v>2928216</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74" sqref="D7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56099089002</v>
      </c>
    </row>
    <row r="3" spans="1:2" x14ac:dyDescent="0.2">
      <c r="A3" t="s">
        <v>1013</v>
      </c>
      <c r="B3" s="138" t="str">
        <f>COVER!A15</f>
        <v>Will</v>
      </c>
    </row>
    <row r="4" spans="1:2" x14ac:dyDescent="0.2">
      <c r="A4" t="s">
        <v>1064</v>
      </c>
      <c r="B4" s="138" t="str">
        <f>COVER!A17</f>
        <v>Fairmont SD 89</v>
      </c>
    </row>
    <row r="5" spans="1:2" x14ac:dyDescent="0.2">
      <c r="A5" t="s">
        <v>728</v>
      </c>
      <c r="B5" s="138" t="str">
        <f>COVER!A38</f>
        <v>Dr. Diane Cepela</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066.004890</v>
      </c>
    </row>
    <row r="16" spans="1:2" x14ac:dyDescent="0.2">
      <c r="A16" t="s">
        <v>442</v>
      </c>
      <c r="B16" s="138" t="str">
        <f>COVER!T13</f>
        <v>Macchietto Roth &amp; Company, P.C.</v>
      </c>
    </row>
    <row r="17" spans="1:2" x14ac:dyDescent="0.2">
      <c r="A17" t="s">
        <v>939</v>
      </c>
      <c r="B17" s="138" t="str">
        <f>COVER!T15</f>
        <v>Cathy Macchietto</v>
      </c>
    </row>
    <row r="18" spans="1:2" x14ac:dyDescent="0.2">
      <c r="A18" t="s">
        <v>1212</v>
      </c>
      <c r="B18" s="138" t="str">
        <f>COVER!T17</f>
        <v>911 Lisbon Street</v>
      </c>
    </row>
    <row r="19" spans="1:2" x14ac:dyDescent="0.2">
      <c r="A19" t="s">
        <v>941</v>
      </c>
      <c r="B19" s="138" t="str">
        <f>COVER!T25</f>
        <v>cathy@macchietto-roth.com</v>
      </c>
    </row>
    <row r="20" spans="1:2" x14ac:dyDescent="0.2">
      <c r="A20" t="s">
        <v>942</v>
      </c>
      <c r="B20" s="138" t="str">
        <f>COVER!T19</f>
        <v>Morris</v>
      </c>
    </row>
    <row r="21" spans="1:2" x14ac:dyDescent="0.2">
      <c r="A21" t="s">
        <v>500</v>
      </c>
      <c r="B21" s="138" t="str">
        <f>COVER!X19</f>
        <v>IL</v>
      </c>
    </row>
    <row r="22" spans="1:2" x14ac:dyDescent="0.2">
      <c r="A22" t="s">
        <v>943</v>
      </c>
      <c r="B22" s="138">
        <f>COVER!Z19</f>
        <v>60450</v>
      </c>
    </row>
    <row r="23" spans="1:2" x14ac:dyDescent="0.2">
      <c r="A23" t="s">
        <v>1214</v>
      </c>
      <c r="B23" s="138" t="str">
        <f>COVER!T21</f>
        <v>815-941-9050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Yes</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584551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2316617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6869</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6869</v>
      </c>
      <c r="C91" s="2" t="s">
        <v>594</v>
      </c>
      <c r="D91" s="2" t="str">
        <f t="shared" si="0"/>
        <v>Error?</v>
      </c>
    </row>
    <row r="92" spans="1:4" x14ac:dyDescent="0.2">
      <c r="A92" s="5">
        <v>31</v>
      </c>
      <c r="B92" s="138">
        <f>'Assets-Liab 5-6'!C39</f>
        <v>2309748</v>
      </c>
      <c r="D92" s="2" t="str">
        <f t="shared" si="0"/>
        <v>Error?</v>
      </c>
    </row>
    <row r="93" spans="1:4" x14ac:dyDescent="0.2">
      <c r="A93" s="5">
        <v>32</v>
      </c>
      <c r="B93" s="138">
        <f>'Assets-Liab 5-6'!C41</f>
        <v>2316617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151071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151071</v>
      </c>
      <c r="D123" s="2" t="str">
        <f t="shared" si="0"/>
        <v>Error?</v>
      </c>
    </row>
    <row r="124" spans="1:4" x14ac:dyDescent="0.2">
      <c r="A124" s="5">
        <v>63</v>
      </c>
      <c r="B124" s="138">
        <f>'Assets-Liab 5-6'!D41</f>
        <v>151071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374</v>
      </c>
      <c r="C139" s="2" t="s">
        <v>594</v>
      </c>
      <c r="D139" s="2" t="str">
        <f t="shared" si="1"/>
        <v>Error?</v>
      </c>
    </row>
    <row r="140" spans="1:4" x14ac:dyDescent="0.2">
      <c r="A140" s="5">
        <v>79</v>
      </c>
      <c r="B140" s="138">
        <f>'Assets-Liab 5-6'!E39</f>
        <v>-374</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295000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360171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59</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59</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360171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313929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2432</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2432</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313929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24302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24302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21943</v>
      </c>
      <c r="D273" s="2" t="str">
        <f t="shared" si="3"/>
        <v>Error?</v>
      </c>
    </row>
    <row r="274" spans="1:4" x14ac:dyDescent="0.2">
      <c r="A274" s="5">
        <v>213</v>
      </c>
      <c r="B274" s="138">
        <f>'Assets-Liab 5-6'!M17</f>
        <v>10690688</v>
      </c>
      <c r="D274" s="2" t="str">
        <f t="shared" si="3"/>
        <v>Error?</v>
      </c>
    </row>
    <row r="275" spans="1:4" x14ac:dyDescent="0.2">
      <c r="A275" s="5">
        <v>214</v>
      </c>
      <c r="B275" s="138">
        <f>'Assets-Liab 5-6'!M18</f>
        <v>235264</v>
      </c>
      <c r="D275" s="2" t="str">
        <f t="shared" si="3"/>
        <v>Error?</v>
      </c>
    </row>
    <row r="276" spans="1:4" x14ac:dyDescent="0.2">
      <c r="A276" s="5">
        <v>215</v>
      </c>
      <c r="B276" s="138">
        <f>'Assets-Liab 5-6'!M19</f>
        <v>1831082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12800959</v>
      </c>
      <c r="C279" s="2" t="s">
        <v>594</v>
      </c>
      <c r="D279" s="2" t="str">
        <f t="shared" si="3"/>
        <v>Error?</v>
      </c>
    </row>
    <row r="280" spans="1:4" x14ac:dyDescent="0.2">
      <c r="A280" s="5">
        <v>219</v>
      </c>
      <c r="B280" s="138">
        <f>'Assets-Liab 5-6'!M40</f>
        <v>12800959</v>
      </c>
      <c r="D280" s="2" t="str">
        <f t="shared" si="3"/>
        <v>Error?</v>
      </c>
    </row>
    <row r="281" spans="1:4" x14ac:dyDescent="0.2">
      <c r="A281" s="5">
        <v>220</v>
      </c>
      <c r="B281" s="138">
        <f>'Assets-Liab 5-6'!M41</f>
        <v>12800959</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1485000</v>
      </c>
      <c r="D283" s="2" t="str">
        <f t="shared" si="3"/>
        <v>Error?</v>
      </c>
    </row>
    <row r="284" spans="1:4" x14ac:dyDescent="0.2">
      <c r="A284" s="5">
        <v>223</v>
      </c>
      <c r="B284" s="138">
        <f>'Assets-Liab 5-6'!N23</f>
        <v>1485000</v>
      </c>
      <c r="C284" s="2" t="s">
        <v>594</v>
      </c>
      <c r="D284" s="2" t="str">
        <f t="shared" si="3"/>
        <v>Error?</v>
      </c>
    </row>
    <row r="285" spans="1:4" x14ac:dyDescent="0.2">
      <c r="A285" s="5">
        <v>224</v>
      </c>
      <c r="B285" s="138">
        <f>'Assets-Liab 5-6'!N36</f>
        <v>1485000</v>
      </c>
      <c r="D285" s="2" t="str">
        <f t="shared" si="3"/>
        <v>Error?</v>
      </c>
    </row>
    <row r="286" spans="1:4" x14ac:dyDescent="0.2">
      <c r="A286" s="10">
        <v>225</v>
      </c>
      <c r="D286" s="2" t="str">
        <f t="shared" si="3"/>
        <v>OK</v>
      </c>
    </row>
    <row r="287" spans="1:4" x14ac:dyDescent="0.2">
      <c r="A287" s="5">
        <v>226</v>
      </c>
      <c r="B287" s="138">
        <f>'Assets-Liab 5-6'!N37</f>
        <v>1485000</v>
      </c>
      <c r="C287" s="2" t="s">
        <v>594</v>
      </c>
      <c r="D287" s="2" t="str">
        <f t="shared" si="3"/>
        <v>Error?</v>
      </c>
    </row>
    <row r="288" spans="1:4" x14ac:dyDescent="0.2">
      <c r="A288" s="5">
        <v>227</v>
      </c>
      <c r="B288" s="138">
        <f>'Assets-Liab 5-6'!N41</f>
        <v>1485000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19264</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1139033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121765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15793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1523800</v>
      </c>
      <c r="C720" s="2" t="s">
        <v>594</v>
      </c>
      <c r="D720" s="2" t="str">
        <f t="shared" si="10"/>
        <v>Error?</v>
      </c>
    </row>
    <row r="721" spans="1:4" x14ac:dyDescent="0.2">
      <c r="A721" s="5">
        <v>660</v>
      </c>
      <c r="B721" s="138">
        <f>'Expenditures 15-22'!C36</f>
        <v>92241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45216</v>
      </c>
      <c r="D723" s="2" t="str">
        <f t="shared" si="10"/>
        <v>Error?</v>
      </c>
    </row>
    <row r="724" spans="1:4" x14ac:dyDescent="0.2">
      <c r="A724" s="5">
        <v>663</v>
      </c>
      <c r="B724" s="138">
        <f>'Expenditures 15-22'!C39</f>
        <v>255</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137712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14797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14797</v>
      </c>
      <c r="C731" s="2" t="s">
        <v>594</v>
      </c>
      <c r="D731" s="2" t="str">
        <f t="shared" si="10"/>
        <v>Error?</v>
      </c>
    </row>
    <row r="732" spans="1:4" x14ac:dyDescent="0.2">
      <c r="A732" s="5">
        <v>671</v>
      </c>
      <c r="B732" s="138">
        <f>'Expenditures 15-22'!C49</f>
        <v>4305</v>
      </c>
      <c r="D732" s="2" t="str">
        <f t="shared" si="10"/>
        <v>Error?</v>
      </c>
    </row>
    <row r="733" spans="1:4" x14ac:dyDescent="0.2">
      <c r="A733" s="5">
        <v>672</v>
      </c>
      <c r="B733" s="138">
        <f>'Expenditures 15-22'!C50</f>
        <v>226344</v>
      </c>
      <c r="D733" s="2" t="str">
        <f t="shared" si="10"/>
        <v>Error?</v>
      </c>
    </row>
    <row r="734" spans="1:4" x14ac:dyDescent="0.2">
      <c r="A734" s="5">
        <v>673</v>
      </c>
      <c r="B734" s="138">
        <f>'Expenditures 15-22'!C53</f>
        <v>238773</v>
      </c>
      <c r="C734" s="2" t="s">
        <v>594</v>
      </c>
      <c r="D734" s="2" t="str">
        <f t="shared" si="10"/>
        <v>Error?</v>
      </c>
    </row>
    <row r="735" spans="1:4" x14ac:dyDescent="0.2">
      <c r="A735" s="5">
        <v>674</v>
      </c>
      <c r="B735" s="138">
        <f>'Expenditures 15-22'!C55</f>
        <v>143635</v>
      </c>
      <c r="D735" s="2" t="str">
        <f t="shared" si="10"/>
        <v>Error?</v>
      </c>
    </row>
    <row r="736" spans="1:4" x14ac:dyDescent="0.2">
      <c r="A736" s="5">
        <v>675</v>
      </c>
      <c r="B736" s="138">
        <f>'Expenditures 15-22'!C56</f>
        <v>49539</v>
      </c>
      <c r="D736" s="2" t="str">
        <f t="shared" si="10"/>
        <v>Error?</v>
      </c>
    </row>
    <row r="737" spans="1:4" x14ac:dyDescent="0.2">
      <c r="A737" s="5">
        <v>676</v>
      </c>
      <c r="B737" s="138">
        <f>'Expenditures 15-22'!C57</f>
        <v>193174</v>
      </c>
      <c r="C737" s="2" t="s">
        <v>594</v>
      </c>
      <c r="D737" s="2" t="str">
        <f t="shared" si="10"/>
        <v>Error?</v>
      </c>
    </row>
    <row r="738" spans="1:4" x14ac:dyDescent="0.2">
      <c r="A738" s="5">
        <v>677</v>
      </c>
      <c r="B738" s="138">
        <f>'Expenditures 15-22'!C59</f>
        <v>59319</v>
      </c>
      <c r="D738" s="2" t="str">
        <f t="shared" si="10"/>
        <v>Error?</v>
      </c>
    </row>
    <row r="739" spans="1:4" x14ac:dyDescent="0.2">
      <c r="A739" s="5">
        <v>678</v>
      </c>
      <c r="B739" s="138">
        <f>'Expenditures 15-22'!C60</f>
        <v>38605</v>
      </c>
      <c r="D739" s="2" t="str">
        <f t="shared" si="10"/>
        <v>Error?</v>
      </c>
    </row>
    <row r="740" spans="1:4" x14ac:dyDescent="0.2">
      <c r="A740" s="5">
        <v>679</v>
      </c>
      <c r="B740" s="138">
        <f>'Expenditures 15-22'!C61</f>
        <v>188449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62924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349297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68037</v>
      </c>
      <c r="D751" s="2" t="str">
        <f t="shared" si="10"/>
        <v>Error?</v>
      </c>
    </row>
    <row r="752" spans="1:4" x14ac:dyDescent="0.2">
      <c r="A752" s="10">
        <v>691</v>
      </c>
      <c r="D752" s="2" t="str">
        <f t="shared" si="10"/>
        <v>OK</v>
      </c>
    </row>
    <row r="753" spans="1:4" x14ac:dyDescent="0.2">
      <c r="A753" s="5">
        <v>692</v>
      </c>
      <c r="B753" s="138">
        <f>'Expenditures 15-22'!C72</f>
        <v>68037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1001790</v>
      </c>
      <c r="C755" s="2" t="s">
        <v>594</v>
      </c>
      <c r="D755" s="2" t="str">
        <f t="shared" si="10"/>
        <v>Error?</v>
      </c>
    </row>
    <row r="756" spans="1:4" x14ac:dyDescent="0.2">
      <c r="A756" s="5">
        <v>695</v>
      </c>
      <c r="B756" s="138">
        <f>'Expenditures 15-22'!C75</f>
        <v>2784</v>
      </c>
      <c r="D756" s="2" t="str">
        <f t="shared" si="10"/>
        <v>Error?</v>
      </c>
    </row>
    <row r="757" spans="1:4" x14ac:dyDescent="0.2">
      <c r="A757" s="5">
        <v>696</v>
      </c>
      <c r="B757" s="138">
        <f>'Expenditures 15-22'!C114</f>
        <v>2528374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197605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26780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2384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259323</v>
      </c>
      <c r="C778" s="2" t="s">
        <v>594</v>
      </c>
      <c r="D778" s="2" t="str">
        <f t="shared" si="11"/>
        <v>Error?</v>
      </c>
    </row>
    <row r="779" spans="1:4" x14ac:dyDescent="0.2">
      <c r="A779" s="5">
        <v>718</v>
      </c>
      <c r="B779" s="138">
        <f>'Expenditures 15-22'!D36</f>
        <v>1746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9446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11192</v>
      </c>
      <c r="C785" s="2" t="s">
        <v>594</v>
      </c>
      <c r="D785" s="2" t="str">
        <f t="shared" si="11"/>
        <v>Error?</v>
      </c>
    </row>
    <row r="786" spans="1:4" x14ac:dyDescent="0.2">
      <c r="A786" s="5">
        <v>725</v>
      </c>
      <c r="B786" s="138">
        <f>'Expenditures 15-22'!D44</f>
        <v>3250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3250</v>
      </c>
      <c r="C789" s="2" t="s">
        <v>594</v>
      </c>
      <c r="D789" s="2" t="str">
        <f t="shared" si="11"/>
        <v>Error?</v>
      </c>
    </row>
    <row r="790" spans="1:4" x14ac:dyDescent="0.2">
      <c r="A790" s="5">
        <v>729</v>
      </c>
      <c r="B790" s="138">
        <f>'Expenditures 15-22'!D49</f>
        <v>8015</v>
      </c>
      <c r="D790" s="2" t="str">
        <f t="shared" si="11"/>
        <v>Error?</v>
      </c>
    </row>
    <row r="791" spans="1:4" x14ac:dyDescent="0.2">
      <c r="A791" s="5">
        <v>730</v>
      </c>
      <c r="B791" s="138">
        <f>'Expenditures 15-22'!D50</f>
        <v>21627</v>
      </c>
      <c r="D791" s="2" t="str">
        <f t="shared" si="11"/>
        <v>Error?</v>
      </c>
    </row>
    <row r="792" spans="1:4" x14ac:dyDescent="0.2">
      <c r="A792" s="5">
        <v>731</v>
      </c>
      <c r="B792" s="138">
        <f>'Expenditures 15-22'!D53</f>
        <v>31737</v>
      </c>
      <c r="C792" s="2" t="s">
        <v>594</v>
      </c>
      <c r="D792" s="2" t="str">
        <f t="shared" si="11"/>
        <v>Error?</v>
      </c>
    </row>
    <row r="793" spans="1:4" x14ac:dyDescent="0.2">
      <c r="A793" s="5">
        <v>732</v>
      </c>
      <c r="B793" s="138">
        <f>'Expenditures 15-22'!D55</f>
        <v>20899</v>
      </c>
      <c r="D793" s="2" t="str">
        <f t="shared" si="11"/>
        <v>Error?</v>
      </c>
    </row>
    <row r="794" spans="1:4" x14ac:dyDescent="0.2">
      <c r="A794" s="5">
        <v>733</v>
      </c>
      <c r="B794" s="138">
        <f>'Expenditures 15-22'!D56</f>
        <v>988</v>
      </c>
      <c r="D794" s="2" t="str">
        <f t="shared" si="11"/>
        <v>Error?</v>
      </c>
    </row>
    <row r="795" spans="1:4" x14ac:dyDescent="0.2">
      <c r="A795" s="5">
        <v>734</v>
      </c>
      <c r="B795" s="138">
        <f>'Expenditures 15-22'!D57</f>
        <v>21887</v>
      </c>
      <c r="C795" s="2" t="s">
        <v>594</v>
      </c>
      <c r="D795" s="2" t="str">
        <f t="shared" si="11"/>
        <v>Error?</v>
      </c>
    </row>
    <row r="796" spans="1:4" x14ac:dyDescent="0.2">
      <c r="A796" s="5">
        <v>735</v>
      </c>
      <c r="B796" s="138">
        <f>'Expenditures 15-22'!D59</f>
        <v>5610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25413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8229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39252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9342</v>
      </c>
      <c r="D809" s="2" t="str">
        <f t="shared" si="11"/>
        <v>Error?</v>
      </c>
    </row>
    <row r="810" spans="1:4" x14ac:dyDescent="0.2">
      <c r="A810" s="10">
        <v>749</v>
      </c>
      <c r="D810" s="2" t="str">
        <f t="shared" si="11"/>
        <v>OK</v>
      </c>
    </row>
    <row r="811" spans="1:4" x14ac:dyDescent="0.2">
      <c r="A811" s="5">
        <v>750</v>
      </c>
      <c r="B811" s="138">
        <f>'Expenditures 15-22'!D72</f>
        <v>9342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116660</v>
      </c>
      <c r="C813" s="2" t="s">
        <v>594</v>
      </c>
      <c r="D813" s="2" t="str">
        <f t="shared" si="11"/>
        <v>Error?</v>
      </c>
    </row>
    <row r="814" spans="1:4" x14ac:dyDescent="0.2">
      <c r="A814" s="5">
        <v>753</v>
      </c>
      <c r="B814" s="138">
        <f>'Expenditures 15-22'!D75</f>
        <v>2095</v>
      </c>
      <c r="D814" s="2" t="str">
        <f t="shared" si="11"/>
        <v>Error?</v>
      </c>
    </row>
    <row r="815" spans="1:4" x14ac:dyDescent="0.2">
      <c r="A815" s="5">
        <v>754</v>
      </c>
      <c r="B815" s="138">
        <f>'Expenditures 15-22'!D114</f>
        <v>378078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27617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2332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29999</v>
      </c>
      <c r="C836" s="2" t="s">
        <v>594</v>
      </c>
      <c r="D836" s="2" t="str">
        <f t="shared" si="12"/>
        <v>Error?</v>
      </c>
    </row>
    <row r="837" spans="1:4" x14ac:dyDescent="0.2">
      <c r="A837" s="5">
        <v>776</v>
      </c>
      <c r="B837" s="138">
        <f>'Expenditures 15-22'!E36</f>
        <v>126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96</v>
      </c>
      <c r="D839" s="2" t="str">
        <f t="shared" si="12"/>
        <v>Error?</v>
      </c>
    </row>
    <row r="840" spans="1:4" x14ac:dyDescent="0.2">
      <c r="A840" s="5">
        <v>779</v>
      </c>
      <c r="B840" s="138">
        <f>'Expenditures 15-22'!E39</f>
        <v>11146</v>
      </c>
      <c r="D840" s="2" t="str">
        <f t="shared" si="12"/>
        <v>Error?</v>
      </c>
    </row>
    <row r="841" spans="1:4" x14ac:dyDescent="0.2">
      <c r="A841" s="5">
        <v>780</v>
      </c>
      <c r="B841" s="138">
        <f>'Expenditures 15-22'!E40</f>
        <v>94029</v>
      </c>
      <c r="D841" s="2" t="str">
        <f t="shared" si="12"/>
        <v>Error?</v>
      </c>
    </row>
    <row r="842" spans="1:4" x14ac:dyDescent="0.2">
      <c r="A842" s="5">
        <v>781</v>
      </c>
      <c r="B842" s="138">
        <f>'Expenditures 15-22'!E41</f>
        <v>175</v>
      </c>
      <c r="D842" s="2" t="str">
        <f t="shared" si="12"/>
        <v>Error?</v>
      </c>
    </row>
    <row r="843" spans="1:4" x14ac:dyDescent="0.2">
      <c r="A843" s="5">
        <v>782</v>
      </c>
      <c r="B843" s="138">
        <f>'Expenditures 15-22'!E42</f>
        <v>105572</v>
      </c>
      <c r="C843" s="2" t="s">
        <v>594</v>
      </c>
      <c r="D843" s="2" t="str">
        <f t="shared" si="12"/>
        <v>Error?</v>
      </c>
    </row>
    <row r="844" spans="1:4" x14ac:dyDescent="0.2">
      <c r="A844" s="5">
        <v>783</v>
      </c>
      <c r="B844" s="138">
        <f>'Expenditures 15-22'!E44</f>
        <v>48769</v>
      </c>
      <c r="D844" s="2" t="str">
        <f t="shared" si="12"/>
        <v>Error?</v>
      </c>
    </row>
    <row r="845" spans="1:4" x14ac:dyDescent="0.2">
      <c r="A845" s="5">
        <v>784</v>
      </c>
      <c r="B845" s="138">
        <f>'Expenditures 15-22'!E45</f>
        <v>194</v>
      </c>
      <c r="D845" s="2" t="str">
        <f t="shared" si="12"/>
        <v>Error?</v>
      </c>
    </row>
    <row r="846" spans="1:4" x14ac:dyDescent="0.2">
      <c r="A846" s="5">
        <v>785</v>
      </c>
      <c r="B846" s="138">
        <f>'Expenditures 15-22'!E46</f>
        <v>38</v>
      </c>
      <c r="D846" s="2" t="str">
        <f t="shared" si="12"/>
        <v>Error?</v>
      </c>
    </row>
    <row r="847" spans="1:4" x14ac:dyDescent="0.2">
      <c r="A847" s="5">
        <v>786</v>
      </c>
      <c r="B847" s="138">
        <f>'Expenditures 15-22'!E47</f>
        <v>49001</v>
      </c>
      <c r="C847" s="2" t="s">
        <v>594</v>
      </c>
      <c r="D847" s="2" t="str">
        <f t="shared" si="12"/>
        <v>Error?</v>
      </c>
    </row>
    <row r="848" spans="1:4" x14ac:dyDescent="0.2">
      <c r="A848" s="5">
        <v>787</v>
      </c>
      <c r="B848" s="138">
        <f>'Expenditures 15-22'!E49</f>
        <v>39094</v>
      </c>
      <c r="D848" s="2" t="str">
        <f t="shared" si="12"/>
        <v>Error?</v>
      </c>
    </row>
    <row r="849" spans="1:4" x14ac:dyDescent="0.2">
      <c r="A849" s="5">
        <v>788</v>
      </c>
      <c r="B849" s="138">
        <f>'Expenditures 15-22'!E50</f>
        <v>20328</v>
      </c>
      <c r="D849" s="2" t="str">
        <f t="shared" si="12"/>
        <v>Error?</v>
      </c>
    </row>
    <row r="850" spans="1:4" x14ac:dyDescent="0.2">
      <c r="A850" s="5">
        <v>789</v>
      </c>
      <c r="B850" s="138">
        <f>'Expenditures 15-22'!E53</f>
        <v>59422</v>
      </c>
      <c r="C850" s="2" t="s">
        <v>594</v>
      </c>
      <c r="D850" s="2" t="str">
        <f t="shared" si="12"/>
        <v>Error?</v>
      </c>
    </row>
    <row r="851" spans="1:4" x14ac:dyDescent="0.2">
      <c r="A851" s="5">
        <v>790</v>
      </c>
      <c r="B851" s="138">
        <f>'Expenditures 15-22'!E55</f>
        <v>4903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4903</v>
      </c>
      <c r="C853" s="2" t="s">
        <v>594</v>
      </c>
      <c r="D853" s="2" t="str">
        <f t="shared" si="12"/>
        <v>Error?</v>
      </c>
    </row>
    <row r="854" spans="1:4" x14ac:dyDescent="0.2">
      <c r="A854" s="5">
        <v>793</v>
      </c>
      <c r="B854" s="138">
        <f>'Expenditures 15-22'!E59</f>
        <v>6399</v>
      </c>
      <c r="D854" s="2" t="str">
        <f t="shared" si="12"/>
        <v>Error?</v>
      </c>
    </row>
    <row r="855" spans="1:4" x14ac:dyDescent="0.2">
      <c r="A855" s="5">
        <v>794</v>
      </c>
      <c r="B855" s="138">
        <f>'Expenditures 15-22'!E60</f>
        <v>8007</v>
      </c>
      <c r="D855" s="2" t="str">
        <f t="shared" si="12"/>
        <v>Error?</v>
      </c>
    </row>
    <row r="856" spans="1:4" x14ac:dyDescent="0.2">
      <c r="A856" s="5">
        <v>795</v>
      </c>
      <c r="B856" s="138">
        <f>'Expenditures 15-22'!E61</f>
        <v>34737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150258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199401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35847</v>
      </c>
      <c r="D867" s="2" t="str">
        <f t="shared" si="12"/>
        <v>Error?</v>
      </c>
    </row>
    <row r="868" spans="1:4" x14ac:dyDescent="0.2">
      <c r="A868" s="10">
        <v>807</v>
      </c>
      <c r="D868" s="2" t="str">
        <f t="shared" si="12"/>
        <v>OK</v>
      </c>
    </row>
    <row r="869" spans="1:4" x14ac:dyDescent="0.2">
      <c r="A869" s="5">
        <v>808</v>
      </c>
      <c r="B869" s="138">
        <f>'Expenditures 15-22'!E72</f>
        <v>35847</v>
      </c>
      <c r="C869" s="2" t="s">
        <v>594</v>
      </c>
      <c r="D869" s="2" t="str">
        <f t="shared" si="12"/>
        <v>Error?</v>
      </c>
    </row>
    <row r="870" spans="1:4" x14ac:dyDescent="0.2">
      <c r="A870" s="5">
        <v>809</v>
      </c>
      <c r="B870" s="138">
        <f>'Expenditures 15-22'!E73</f>
        <v>936</v>
      </c>
      <c r="D870" s="2" t="str">
        <f t="shared" si="12"/>
        <v>Error?</v>
      </c>
    </row>
    <row r="871" spans="1:4" x14ac:dyDescent="0.2">
      <c r="A871" s="5">
        <v>810</v>
      </c>
      <c r="B871" s="138">
        <f>'Expenditures 15-22'!E74</f>
        <v>455082</v>
      </c>
      <c r="C871" s="2" t="s">
        <v>594</v>
      </c>
      <c r="D871" s="2" t="str">
        <f t="shared" si="12"/>
        <v>Error?</v>
      </c>
    </row>
    <row r="872" spans="1:4" x14ac:dyDescent="0.2">
      <c r="A872" s="5">
        <v>811</v>
      </c>
      <c r="B872" s="138">
        <f>'Expenditures 15-22'!E75</f>
        <v>2000</v>
      </c>
      <c r="D872" s="2" t="str">
        <f t="shared" si="12"/>
        <v>Error?</v>
      </c>
    </row>
    <row r="873" spans="1:4" x14ac:dyDescent="0.2">
      <c r="A873" s="5">
        <v>812</v>
      </c>
      <c r="B873" s="138">
        <f>'Expenditures 15-22'!E114</f>
        <v>531757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180879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9308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195274</v>
      </c>
      <c r="C894" s="2" t="s">
        <v>594</v>
      </c>
      <c r="D894" s="2" t="str">
        <f t="shared" si="12"/>
        <v>Error?</v>
      </c>
    </row>
    <row r="895" spans="1:4" x14ac:dyDescent="0.2">
      <c r="A895" s="5">
        <v>834</v>
      </c>
      <c r="B895" s="138">
        <f>'Expenditures 15-22'!F36</f>
        <v>96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460</v>
      </c>
      <c r="D900" s="2" t="str">
        <f t="shared" si="13"/>
        <v>Error?</v>
      </c>
    </row>
    <row r="901" spans="1:4" x14ac:dyDescent="0.2">
      <c r="A901" s="5">
        <v>840</v>
      </c>
      <c r="B901" s="138">
        <f>'Expenditures 15-22'!F42</f>
        <v>1525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8856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8856</v>
      </c>
      <c r="C905" s="2" t="s">
        <v>594</v>
      </c>
      <c r="D905" s="2" t="str">
        <f t="shared" si="13"/>
        <v>Error?</v>
      </c>
    </row>
    <row r="906" spans="1:4" x14ac:dyDescent="0.2">
      <c r="A906" s="5">
        <v>845</v>
      </c>
      <c r="B906" s="138">
        <f>'Expenditures 15-22'!F49</f>
        <v>3175</v>
      </c>
      <c r="D906" s="2" t="str">
        <f t="shared" si="13"/>
        <v>Error?</v>
      </c>
    </row>
    <row r="907" spans="1:4" x14ac:dyDescent="0.2">
      <c r="A907" s="5">
        <v>846</v>
      </c>
      <c r="B907" s="138">
        <f>'Expenditures 15-22'!F50</f>
        <v>9895</v>
      </c>
      <c r="D907" s="2" t="str">
        <f t="shared" si="13"/>
        <v>Error?</v>
      </c>
    </row>
    <row r="908" spans="1:4" x14ac:dyDescent="0.2">
      <c r="A908" s="5">
        <v>847</v>
      </c>
      <c r="B908" s="138">
        <f>'Expenditures 15-22'!F53</f>
        <v>13070</v>
      </c>
      <c r="C908" s="2" t="s">
        <v>594</v>
      </c>
      <c r="D908" s="2" t="str">
        <f t="shared" si="13"/>
        <v>Error?</v>
      </c>
    </row>
    <row r="909" spans="1:4" x14ac:dyDescent="0.2">
      <c r="A909" s="5">
        <v>848</v>
      </c>
      <c r="B909" s="138">
        <f>'Expenditures 15-22'!F55</f>
        <v>8876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8876</v>
      </c>
      <c r="C911" s="2" t="s">
        <v>594</v>
      </c>
      <c r="D911" s="2" t="str">
        <f t="shared" si="13"/>
        <v>Error?</v>
      </c>
    </row>
    <row r="912" spans="1:4" x14ac:dyDescent="0.2">
      <c r="A912" s="5">
        <v>851</v>
      </c>
      <c r="B912" s="138">
        <f>'Expenditures 15-22'!F59</f>
        <v>121</v>
      </c>
      <c r="D912" s="2" t="str">
        <f t="shared" si="13"/>
        <v>Error?</v>
      </c>
    </row>
    <row r="913" spans="1:4" x14ac:dyDescent="0.2">
      <c r="A913" s="5">
        <v>852</v>
      </c>
      <c r="B913" s="138">
        <f>'Expenditures 15-22'!F60</f>
        <v>675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8805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9601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3889</v>
      </c>
      <c r="D925" s="2" t="str">
        <f t="shared" si="13"/>
        <v>Error?</v>
      </c>
    </row>
    <row r="926" spans="1:4" x14ac:dyDescent="0.2">
      <c r="A926" s="10">
        <v>865</v>
      </c>
      <c r="D926" s="2" t="str">
        <f t="shared" si="13"/>
        <v>OK</v>
      </c>
    </row>
    <row r="927" spans="1:4" x14ac:dyDescent="0.2">
      <c r="A927" s="5">
        <v>866</v>
      </c>
      <c r="B927" s="138">
        <f>'Expenditures 15-22'!F72</f>
        <v>3889</v>
      </c>
      <c r="C927" s="2" t="s">
        <v>594</v>
      </c>
      <c r="D927" s="2" t="str">
        <f t="shared" si="13"/>
        <v>Error?</v>
      </c>
    </row>
    <row r="928" spans="1:4" x14ac:dyDescent="0.2">
      <c r="A928" s="5">
        <v>867</v>
      </c>
      <c r="B928" s="138">
        <f>'Expenditures 15-22'!F73</f>
        <v>518</v>
      </c>
      <c r="D928" s="2" t="str">
        <f t="shared" si="13"/>
        <v>Error?</v>
      </c>
    </row>
    <row r="929" spans="1:4" x14ac:dyDescent="0.2">
      <c r="A929" s="5">
        <v>868</v>
      </c>
      <c r="B929" s="138">
        <f>'Expenditures 15-22'!F74</f>
        <v>46335</v>
      </c>
      <c r="C929" s="2" t="s">
        <v>594</v>
      </c>
      <c r="D929" s="2" t="str">
        <f t="shared" si="13"/>
        <v>Error?</v>
      </c>
    </row>
    <row r="930" spans="1:4" x14ac:dyDescent="0.2">
      <c r="A930" s="5">
        <v>869</v>
      </c>
      <c r="B930" s="138">
        <f>'Expenditures 15-22'!F75</f>
        <v>1368</v>
      </c>
      <c r="D930" s="2" t="str">
        <f t="shared" si="13"/>
        <v>Error?</v>
      </c>
    </row>
    <row r="931" spans="1:4" x14ac:dyDescent="0.2">
      <c r="A931" s="5">
        <v>870</v>
      </c>
      <c r="B931" s="138">
        <f>'Expenditures 15-22'!F114</f>
        <v>242977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13149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13149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35084</v>
      </c>
      <c r="D983" s="2" t="str">
        <f t="shared" si="14"/>
        <v>Error?</v>
      </c>
    </row>
    <row r="984" spans="1:4" x14ac:dyDescent="0.2">
      <c r="A984" s="10">
        <v>923</v>
      </c>
      <c r="D984" s="2" t="str">
        <f t="shared" si="14"/>
        <v>OK</v>
      </c>
    </row>
    <row r="985" spans="1:4" x14ac:dyDescent="0.2">
      <c r="A985" s="5">
        <v>924</v>
      </c>
      <c r="B985" s="138">
        <f>'Expenditures 15-22'!G72</f>
        <v>35084</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35084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48233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2525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6247</v>
      </c>
      <c r="D1022" s="2" t="str">
        <f t="shared" si="14"/>
        <v>Error?</v>
      </c>
    </row>
    <row r="1023" spans="1:4" x14ac:dyDescent="0.2">
      <c r="A1023" s="5">
        <v>962</v>
      </c>
      <c r="B1023" s="138">
        <f>'Expenditures 15-22'!H50</f>
        <v>948</v>
      </c>
      <c r="D1023" s="2" t="str">
        <f t="shared" ref="D1023:D1086" si="15">IF(ISBLANK(B1023),"OK",IF(A1023-B1023=0,"OK","Error?"))</f>
        <v>Error?</v>
      </c>
    </row>
    <row r="1024" spans="1:4" x14ac:dyDescent="0.2">
      <c r="A1024" s="5">
        <v>963</v>
      </c>
      <c r="B1024" s="138">
        <f>'Expenditures 15-22'!H53</f>
        <v>7195</v>
      </c>
      <c r="C1024" s="2" t="s">
        <v>594</v>
      </c>
      <c r="D1024" s="2" t="str">
        <f t="shared" si="15"/>
        <v>Error?</v>
      </c>
    </row>
    <row r="1025" spans="1:4" x14ac:dyDescent="0.2">
      <c r="A1025" s="5">
        <v>964</v>
      </c>
      <c r="B1025" s="138">
        <f>'Expenditures 15-22'!H55</f>
        <v>709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709</v>
      </c>
      <c r="C1027" s="2" t="s">
        <v>594</v>
      </c>
      <c r="D1027" s="2" t="str">
        <f t="shared" si="15"/>
        <v>Error?</v>
      </c>
    </row>
    <row r="1028" spans="1:4" x14ac:dyDescent="0.2">
      <c r="A1028" s="5">
        <v>967</v>
      </c>
      <c r="B1028" s="138">
        <f>'Expenditures 15-22'!H59</f>
        <v>82</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365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447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8351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596682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607558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1558283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148595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32342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2024070</v>
      </c>
      <c r="C1108" s="2" t="s">
        <v>594</v>
      </c>
      <c r="D1108" s="2" t="str">
        <f t="shared" si="16"/>
        <v>Error?</v>
      </c>
    </row>
    <row r="1109" spans="1:4" x14ac:dyDescent="0.2">
      <c r="A1109" s="5">
        <v>1048</v>
      </c>
      <c r="B1109" s="138">
        <f>'Expenditures 15-22'!K36</f>
        <v>94209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55727</v>
      </c>
      <c r="C1111" s="2" t="s">
        <v>594</v>
      </c>
      <c r="D1111" s="2" t="str">
        <f t="shared" si="16"/>
        <v>Error?</v>
      </c>
    </row>
    <row r="1112" spans="1:4" x14ac:dyDescent="0.2">
      <c r="A1112" s="5">
        <v>1051</v>
      </c>
      <c r="B1112" s="138">
        <f>'Expenditures 15-22'!K39</f>
        <v>11401</v>
      </c>
      <c r="C1112" s="2" t="s">
        <v>594</v>
      </c>
      <c r="D1112" s="2" t="str">
        <f t="shared" si="16"/>
        <v>Error?</v>
      </c>
    </row>
    <row r="1113" spans="1:4" x14ac:dyDescent="0.2">
      <c r="A1113" s="5">
        <v>1052</v>
      </c>
      <c r="B1113" s="138">
        <f>'Expenditures 15-22'!K40</f>
        <v>94029</v>
      </c>
      <c r="C1113" s="2" t="s">
        <v>594</v>
      </c>
      <c r="D1113" s="2" t="str">
        <f t="shared" si="16"/>
        <v>Error?</v>
      </c>
    </row>
    <row r="1114" spans="1:4" x14ac:dyDescent="0.2">
      <c r="A1114" s="5">
        <v>1053</v>
      </c>
      <c r="B1114" s="138">
        <f>'Expenditures 15-22'!K41</f>
        <v>635</v>
      </c>
      <c r="C1114" s="2" t="s">
        <v>594</v>
      </c>
      <c r="D1114" s="2" t="str">
        <f t="shared" si="16"/>
        <v>Error?</v>
      </c>
    </row>
    <row r="1115" spans="1:4" x14ac:dyDescent="0.2">
      <c r="A1115" s="5">
        <v>1054</v>
      </c>
      <c r="B1115" s="138">
        <f>'Expenditures 15-22'!K42</f>
        <v>256001</v>
      </c>
      <c r="C1115" s="2" t="s">
        <v>594</v>
      </c>
      <c r="D1115" s="2" t="str">
        <f t="shared" si="16"/>
        <v>Error?</v>
      </c>
    </row>
    <row r="1116" spans="1:4" x14ac:dyDescent="0.2">
      <c r="A1116" s="5">
        <v>1055</v>
      </c>
      <c r="B1116" s="138">
        <f>'Expenditures 15-22'!K44</f>
        <v>52019</v>
      </c>
      <c r="C1116" s="2" t="s">
        <v>594</v>
      </c>
      <c r="D1116" s="2" t="str">
        <f t="shared" si="16"/>
        <v>Error?</v>
      </c>
    </row>
    <row r="1117" spans="1:4" x14ac:dyDescent="0.2">
      <c r="A1117" s="5">
        <v>1056</v>
      </c>
      <c r="B1117" s="138">
        <f>'Expenditures 15-22'!K45</f>
        <v>23847</v>
      </c>
      <c r="C1117" s="2" t="s">
        <v>594</v>
      </c>
      <c r="D1117" s="2" t="str">
        <f t="shared" si="16"/>
        <v>Error?</v>
      </c>
    </row>
    <row r="1118" spans="1:4" x14ac:dyDescent="0.2">
      <c r="A1118" s="5">
        <v>1057</v>
      </c>
      <c r="B1118" s="138">
        <f>'Expenditures 15-22'!K46</f>
        <v>38</v>
      </c>
      <c r="C1118" s="2" t="s">
        <v>594</v>
      </c>
      <c r="D1118" s="2" t="str">
        <f t="shared" si="16"/>
        <v>Error?</v>
      </c>
    </row>
    <row r="1119" spans="1:4" x14ac:dyDescent="0.2">
      <c r="A1119" s="5">
        <v>1058</v>
      </c>
      <c r="B1119" s="138">
        <f>'Expenditures 15-22'!K47</f>
        <v>75904</v>
      </c>
      <c r="C1119" s="2" t="s">
        <v>594</v>
      </c>
      <c r="D1119" s="2" t="str">
        <f t="shared" si="16"/>
        <v>Error?</v>
      </c>
    </row>
    <row r="1120" spans="1:4" x14ac:dyDescent="0.2">
      <c r="A1120" s="5">
        <v>1059</v>
      </c>
      <c r="B1120" s="138">
        <f>'Expenditures 15-22'!K49</f>
        <v>62076</v>
      </c>
      <c r="C1120" s="2" t="s">
        <v>594</v>
      </c>
      <c r="D1120" s="2" t="str">
        <f t="shared" si="16"/>
        <v>Error?</v>
      </c>
    </row>
    <row r="1121" spans="1:4" x14ac:dyDescent="0.2">
      <c r="A1121" s="5">
        <v>1060</v>
      </c>
      <c r="B1121" s="138">
        <f>'Expenditures 15-22'!K50</f>
        <v>279142</v>
      </c>
      <c r="C1121" s="2" t="s">
        <v>594</v>
      </c>
      <c r="D1121" s="2" t="str">
        <f t="shared" si="16"/>
        <v>Error?</v>
      </c>
    </row>
    <row r="1122" spans="1:4" x14ac:dyDescent="0.2">
      <c r="A1122" s="5">
        <v>1061</v>
      </c>
      <c r="B1122" s="138">
        <f>'Expenditures 15-22'!K53</f>
        <v>351437</v>
      </c>
      <c r="C1122" s="2" t="s">
        <v>594</v>
      </c>
      <c r="D1122" s="2" t="str">
        <f t="shared" si="16"/>
        <v>Error?</v>
      </c>
    </row>
    <row r="1123" spans="1:4" x14ac:dyDescent="0.2">
      <c r="A1123" s="5">
        <v>1062</v>
      </c>
      <c r="B1123" s="138">
        <f>'Expenditures 15-22'!K55</f>
        <v>179022</v>
      </c>
      <c r="C1123" s="2" t="s">
        <v>594</v>
      </c>
      <c r="D1123" s="2" t="str">
        <f t="shared" si="16"/>
        <v>Error?</v>
      </c>
    </row>
    <row r="1124" spans="1:4" x14ac:dyDescent="0.2">
      <c r="A1124" s="5">
        <v>1063</v>
      </c>
      <c r="B1124" s="138">
        <f>'Expenditures 15-22'!K56</f>
        <v>50527</v>
      </c>
      <c r="C1124" s="2" t="s">
        <v>594</v>
      </c>
      <c r="D1124" s="2" t="str">
        <f t="shared" si="16"/>
        <v>Error?</v>
      </c>
    </row>
    <row r="1125" spans="1:4" x14ac:dyDescent="0.2">
      <c r="A1125" s="5">
        <v>1064</v>
      </c>
      <c r="B1125" s="138">
        <f>'Expenditures 15-22'!K57</f>
        <v>229549</v>
      </c>
      <c r="C1125" s="2" t="s">
        <v>594</v>
      </c>
      <c r="D1125" s="2" t="str">
        <f t="shared" si="16"/>
        <v>Error?</v>
      </c>
    </row>
    <row r="1126" spans="1:4" x14ac:dyDescent="0.2">
      <c r="A1126" s="5">
        <v>1065</v>
      </c>
      <c r="B1126" s="138">
        <f>'Expenditures 15-22'!K59</f>
        <v>71531</v>
      </c>
      <c r="C1126" s="2" t="s">
        <v>594</v>
      </c>
      <c r="D1126" s="2" t="str">
        <f t="shared" si="16"/>
        <v>Error?</v>
      </c>
    </row>
    <row r="1127" spans="1:4" x14ac:dyDescent="0.2">
      <c r="A1127" s="5">
        <v>1066</v>
      </c>
      <c r="B1127" s="138">
        <f>'Expenditures 15-22'!K60</f>
        <v>47287</v>
      </c>
      <c r="C1127" s="2" t="s">
        <v>594</v>
      </c>
      <c r="D1127" s="2" t="str">
        <f t="shared" si="16"/>
        <v>Error?</v>
      </c>
    </row>
    <row r="1128" spans="1:4" x14ac:dyDescent="0.2">
      <c r="A1128" s="5">
        <v>1067</v>
      </c>
      <c r="B1128" s="138">
        <f>'Expenditures 15-22'!K61</f>
        <v>248599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230581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597998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170158</v>
      </c>
      <c r="C1139" s="2" t="s">
        <v>594</v>
      </c>
      <c r="D1139" s="2" t="str">
        <f t="shared" si="16"/>
        <v>Error?</v>
      </c>
    </row>
    <row r="1140" spans="1:4" x14ac:dyDescent="0.2">
      <c r="A1140" s="10">
        <v>1079</v>
      </c>
      <c r="D1140" s="2" t="str">
        <f t="shared" si="16"/>
        <v>OK</v>
      </c>
    </row>
    <row r="1141" spans="1:4" x14ac:dyDescent="0.2">
      <c r="A1141" s="5">
        <v>1080</v>
      </c>
      <c r="B1141" s="138">
        <f>'Expenditures 15-22'!K72</f>
        <v>170158</v>
      </c>
      <c r="C1141" s="2" t="s">
        <v>594</v>
      </c>
      <c r="D1141" s="2" t="str">
        <f t="shared" si="16"/>
        <v>Error?</v>
      </c>
    </row>
    <row r="1142" spans="1:4" x14ac:dyDescent="0.2">
      <c r="A1142" s="5">
        <v>1081</v>
      </c>
      <c r="B1142" s="138">
        <f>'Expenditures 15-22'!K73</f>
        <v>1454</v>
      </c>
      <c r="C1142" s="2" t="s">
        <v>594</v>
      </c>
      <c r="D1142" s="2" t="str">
        <f t="shared" si="16"/>
        <v>Error?</v>
      </c>
    </row>
    <row r="1143" spans="1:4" x14ac:dyDescent="0.2">
      <c r="A1143" s="5">
        <v>1082</v>
      </c>
      <c r="B1143" s="138">
        <f>'Expenditures 15-22'!K74</f>
        <v>1682501</v>
      </c>
      <c r="C1143" s="2" t="s">
        <v>594</v>
      </c>
      <c r="D1143" s="2" t="str">
        <f t="shared" si="16"/>
        <v>Error?</v>
      </c>
    </row>
    <row r="1144" spans="1:4" x14ac:dyDescent="0.2">
      <c r="A1144" s="5">
        <v>1083</v>
      </c>
      <c r="B1144" s="138">
        <f>'Expenditures 15-22'!K75</f>
        <v>8247</v>
      </c>
      <c r="C1144" s="2" t="s">
        <v>594</v>
      </c>
      <c r="D1144" s="2" t="str">
        <f t="shared" si="16"/>
        <v>Error?</v>
      </c>
    </row>
    <row r="1145" spans="1:4" x14ac:dyDescent="0.2">
      <c r="A1145" s="5">
        <v>1084</v>
      </c>
      <c r="B1145" s="138">
        <f>'Expenditures 15-22'!K102</f>
        <v>641358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4356176</v>
      </c>
      <c r="C1152" s="2" t="s">
        <v>594</v>
      </c>
      <c r="D1152" s="2" t="str">
        <f t="shared" si="17"/>
        <v>Error?</v>
      </c>
    </row>
    <row r="1153" spans="1:4" x14ac:dyDescent="0.2">
      <c r="A1153" s="5">
        <v>1092</v>
      </c>
      <c r="B1153" s="138">
        <f>'Expenditures 15-22'!K115</f>
        <v>291822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153044</v>
      </c>
      <c r="D1237" s="2" t="str">
        <f t="shared" si="18"/>
        <v>Error?</v>
      </c>
    </row>
    <row r="1238" spans="1:4" x14ac:dyDescent="0.2">
      <c r="A1238" s="10">
        <v>1177</v>
      </c>
      <c r="D1238" s="2" t="str">
        <f t="shared" si="18"/>
        <v>OK</v>
      </c>
    </row>
    <row r="1239" spans="1:4" x14ac:dyDescent="0.2">
      <c r="A1239" s="5">
        <v>1178</v>
      </c>
      <c r="B1239" s="138">
        <f>'Expenditures 15-22'!E127</f>
        <v>153044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153044</v>
      </c>
      <c r="C1241" s="2" t="s">
        <v>594</v>
      </c>
      <c r="D1241" s="2" t="str">
        <f t="shared" si="18"/>
        <v>Error?</v>
      </c>
    </row>
    <row r="1242" spans="1:4" x14ac:dyDescent="0.2">
      <c r="A1242" s="5">
        <v>1181</v>
      </c>
      <c r="B1242" s="138">
        <f>'Expenditures 15-22'!E151</f>
        <v>153044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130206</v>
      </c>
      <c r="D1245" s="2" t="str">
        <f t="shared" si="18"/>
        <v>Error?</v>
      </c>
    </row>
    <row r="1246" spans="1:4" x14ac:dyDescent="0.2">
      <c r="A1246" s="10">
        <v>1185</v>
      </c>
      <c r="D1246" s="2" t="str">
        <f t="shared" si="18"/>
        <v>OK</v>
      </c>
    </row>
    <row r="1247" spans="1:4" x14ac:dyDescent="0.2">
      <c r="A1247" s="5">
        <v>1186</v>
      </c>
      <c r="B1247" s="138">
        <f>'Expenditures 15-22'!F127</f>
        <v>130206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130206</v>
      </c>
      <c r="C1249" s="2" t="s">
        <v>594</v>
      </c>
      <c r="D1249" s="2" t="str">
        <f t="shared" si="18"/>
        <v>Error?</v>
      </c>
    </row>
    <row r="1250" spans="1:4" x14ac:dyDescent="0.2">
      <c r="A1250" s="5">
        <v>1189</v>
      </c>
      <c r="B1250" s="138">
        <f>'Expenditures 15-22'!F151</f>
        <v>130206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99668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99668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99668</v>
      </c>
      <c r="C1258" s="2" t="s">
        <v>594</v>
      </c>
      <c r="D1258" s="2" t="str">
        <f t="shared" si="18"/>
        <v>Error?</v>
      </c>
    </row>
    <row r="1259" spans="1:4" x14ac:dyDescent="0.2">
      <c r="A1259" s="5">
        <v>1198</v>
      </c>
      <c r="B1259" s="138">
        <f>'Expenditures 15-22'!G151</f>
        <v>99668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382918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382918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382918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382918</v>
      </c>
      <c r="C1288" s="2" t="s">
        <v>594</v>
      </c>
      <c r="D1288" s="2" t="str">
        <f t="shared" si="19"/>
        <v>Error?</v>
      </c>
    </row>
    <row r="1289" spans="1:4" x14ac:dyDescent="0.2">
      <c r="A1289" s="5">
        <v>1228</v>
      </c>
      <c r="B1289" s="138">
        <f>'Expenditures 15-22'!K152</f>
        <v>47171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52329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120000</v>
      </c>
      <c r="D1315" s="2" t="str">
        <f t="shared" si="19"/>
        <v>Error?</v>
      </c>
    </row>
    <row r="1316" spans="1:4" x14ac:dyDescent="0.2">
      <c r="A1316" s="5">
        <v>1255</v>
      </c>
      <c r="B1316" s="138">
        <f>'Expenditures 15-22'!H171</f>
        <v>63566</v>
      </c>
      <c r="D1316" s="2" t="str">
        <f t="shared" si="19"/>
        <v>Error?</v>
      </c>
    </row>
    <row r="1317" spans="1:4" x14ac:dyDescent="0.2">
      <c r="A1317" s="5">
        <v>1256</v>
      </c>
      <c r="B1317" s="138">
        <f>'Expenditures 15-22'!H172</f>
        <v>235895</v>
      </c>
      <c r="C1317" s="2" t="s">
        <v>594</v>
      </c>
      <c r="D1317" s="2" t="str">
        <f t="shared" si="19"/>
        <v>Error?</v>
      </c>
    </row>
    <row r="1318" spans="1:4" x14ac:dyDescent="0.2">
      <c r="A1318" s="5">
        <v>1257</v>
      </c>
      <c r="B1318" s="138">
        <f>'Expenditures 15-22'!H174</f>
        <v>235895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52329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120000</v>
      </c>
      <c r="C1329" s="2" t="s">
        <v>594</v>
      </c>
      <c r="D1329" s="2" t="str">
        <f t="shared" si="19"/>
        <v>Error?</v>
      </c>
    </row>
    <row r="1330" spans="1:4" x14ac:dyDescent="0.2">
      <c r="A1330" s="5">
        <v>1269</v>
      </c>
      <c r="B1330" s="138">
        <f>'Expenditures 15-22'!K171</f>
        <v>63566</v>
      </c>
      <c r="C1330" s="2" t="s">
        <v>594</v>
      </c>
      <c r="D1330" s="2" t="str">
        <f t="shared" si="19"/>
        <v>Error?</v>
      </c>
    </row>
    <row r="1331" spans="1:4" x14ac:dyDescent="0.2">
      <c r="A1331" s="5">
        <v>1270</v>
      </c>
      <c r="B1331" s="138">
        <f>'Expenditures 15-22'!K172</f>
        <v>235895</v>
      </c>
      <c r="C1331" s="2" t="s">
        <v>594</v>
      </c>
      <c r="D1331" s="2" t="str">
        <f t="shared" si="19"/>
        <v>Error?</v>
      </c>
    </row>
    <row r="1332" spans="1:4" x14ac:dyDescent="0.2">
      <c r="A1332" s="5">
        <v>1271</v>
      </c>
      <c r="B1332" s="138">
        <f>'Expenditures 15-22'!K174</f>
        <v>235895</v>
      </c>
      <c r="C1332" s="2" t="s">
        <v>594</v>
      </c>
      <c r="D1332" s="2" t="str">
        <f t="shared" si="19"/>
        <v>Error?</v>
      </c>
    </row>
    <row r="1333" spans="1:4" x14ac:dyDescent="0.2">
      <c r="A1333" s="5">
        <v>1272</v>
      </c>
      <c r="B1333" s="138">
        <f>'Expenditures 15-22'!K175</f>
        <v>-235895</v>
      </c>
      <c r="C1333" s="2" t="s">
        <v>594</v>
      </c>
      <c r="D1333" s="2" t="str">
        <f t="shared" si="19"/>
        <v>Error?</v>
      </c>
    </row>
    <row r="1334" spans="1:4" x14ac:dyDescent="0.2">
      <c r="A1334" s="10">
        <v>1273</v>
      </c>
      <c r="D1334" s="2" t="str">
        <f t="shared" si="19"/>
        <v>OK</v>
      </c>
    </row>
    <row r="1335" spans="1:4" x14ac:dyDescent="0.2">
      <c r="A1335" s="5">
        <v>1274</v>
      </c>
      <c r="B1335" s="138">
        <f>'Expenditures 15-22'!C182</f>
        <v>8755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8755</v>
      </c>
      <c r="C1339" s="2" t="s">
        <v>594</v>
      </c>
      <c r="D1339" s="2" t="str">
        <f t="shared" si="19"/>
        <v>Error?</v>
      </c>
    </row>
    <row r="1340" spans="1:4" x14ac:dyDescent="0.2">
      <c r="A1340" s="5">
        <v>1279</v>
      </c>
      <c r="B1340" s="138">
        <f>'Expenditures 15-22'!C210</f>
        <v>8755</v>
      </c>
      <c r="C1340" s="2" t="s">
        <v>594</v>
      </c>
      <c r="D1340" s="2" t="str">
        <f t="shared" si="19"/>
        <v>Error?</v>
      </c>
    </row>
    <row r="1341" spans="1:4" x14ac:dyDescent="0.2">
      <c r="A1341" s="5">
        <v>1280</v>
      </c>
      <c r="B1341" s="138">
        <f>'Expenditures 15-22'!D182</f>
        <v>1561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1561</v>
      </c>
      <c r="C1345" s="2" t="s">
        <v>594</v>
      </c>
      <c r="D1345" s="2" t="str">
        <f t="shared" si="20"/>
        <v>Error?</v>
      </c>
    </row>
    <row r="1346" spans="1:4" x14ac:dyDescent="0.2">
      <c r="A1346" s="5">
        <v>1285</v>
      </c>
      <c r="B1346" s="138">
        <f>'Expenditures 15-22'!D210</f>
        <v>1561</v>
      </c>
      <c r="C1346" s="2" t="s">
        <v>594</v>
      </c>
      <c r="D1346" s="2" t="str">
        <f t="shared" si="20"/>
        <v>Error?</v>
      </c>
    </row>
    <row r="1347" spans="1:4" x14ac:dyDescent="0.2">
      <c r="A1347" s="5">
        <v>1286</v>
      </c>
      <c r="B1347" s="138">
        <f>'Expenditures 15-22'!E182</f>
        <v>220955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220955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220955</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31520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31520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31520</v>
      </c>
      <c r="C1376" s="2" t="s">
        <v>594</v>
      </c>
      <c r="D1376" s="2" t="str">
        <f t="shared" si="20"/>
        <v>Error?</v>
      </c>
    </row>
    <row r="1377" spans="1:4" x14ac:dyDescent="0.2">
      <c r="A1377" s="5">
        <v>1316</v>
      </c>
      <c r="B1377" s="138">
        <f>'Expenditures 15-22'!K182</f>
        <v>262791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262791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262791</v>
      </c>
      <c r="C1388" s="2" t="s">
        <v>594</v>
      </c>
      <c r="D1388" s="2" t="str">
        <f t="shared" si="20"/>
        <v>Error?</v>
      </c>
    </row>
    <row r="1389" spans="1:4" x14ac:dyDescent="0.2">
      <c r="A1389" s="5">
        <v>1328</v>
      </c>
      <c r="B1389" s="138">
        <f>'Expenditures 15-22'!K211</f>
        <v>146006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1715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921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39245</v>
      </c>
      <c r="C1410" s="2" t="s">
        <v>594</v>
      </c>
      <c r="D1410" s="2" t="str">
        <f t="shared" si="21"/>
        <v>Error?</v>
      </c>
    </row>
    <row r="1411" spans="1:4" x14ac:dyDescent="0.2">
      <c r="A1411" s="5">
        <v>1350</v>
      </c>
      <c r="B1411" s="138">
        <f>'Expenditures 15-22'!D232</f>
        <v>1338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6159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7497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2070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2070</v>
      </c>
      <c r="C1421" s="2" t="s">
        <v>594</v>
      </c>
      <c r="D1421" s="2" t="str">
        <f t="shared" si="21"/>
        <v>Error?</v>
      </c>
    </row>
    <row r="1422" spans="1:4" x14ac:dyDescent="0.2">
      <c r="A1422" s="5">
        <v>1361</v>
      </c>
      <c r="B1422" s="138">
        <f>'Expenditures 15-22'!D245</f>
        <v>596</v>
      </c>
      <c r="D1422" s="2" t="str">
        <f t="shared" si="21"/>
        <v>Error?</v>
      </c>
    </row>
    <row r="1423" spans="1:4" x14ac:dyDescent="0.2">
      <c r="A1423" s="5">
        <v>1362</v>
      </c>
      <c r="B1423" s="138">
        <f>'Expenditures 15-22'!D246</f>
        <v>9668</v>
      </c>
      <c r="D1423" s="2" t="str">
        <f t="shared" si="21"/>
        <v>Error?</v>
      </c>
    </row>
    <row r="1424" spans="1:4" x14ac:dyDescent="0.2">
      <c r="A1424" s="5">
        <v>1363</v>
      </c>
      <c r="B1424" s="138">
        <f>'Expenditures 15-22'!D257</f>
        <v>14491</v>
      </c>
      <c r="C1424" s="2" t="s">
        <v>594</v>
      </c>
      <c r="D1424" s="2" t="str">
        <f t="shared" si="21"/>
        <v>Error?</v>
      </c>
    </row>
    <row r="1425" spans="1:4" x14ac:dyDescent="0.2">
      <c r="A1425" s="5">
        <v>1364</v>
      </c>
      <c r="B1425" s="138">
        <f>'Expenditures 15-22'!D259</f>
        <v>7795</v>
      </c>
      <c r="D1425" s="2" t="str">
        <f t="shared" si="21"/>
        <v>Error?</v>
      </c>
    </row>
    <row r="1426" spans="1:4" x14ac:dyDescent="0.2">
      <c r="A1426" s="5">
        <v>1365</v>
      </c>
      <c r="B1426" s="138">
        <f>'Expenditures 15-22'!D260</f>
        <v>718</v>
      </c>
      <c r="D1426" s="2" t="str">
        <f t="shared" si="21"/>
        <v>Error?</v>
      </c>
    </row>
    <row r="1427" spans="1:4" x14ac:dyDescent="0.2">
      <c r="A1427" s="5">
        <v>1366</v>
      </c>
      <c r="B1427" s="138">
        <f>'Expenditures 15-22'!D261</f>
        <v>8513</v>
      </c>
      <c r="C1427" s="2" t="s">
        <v>594</v>
      </c>
      <c r="D1427" s="2" t="str">
        <f t="shared" si="21"/>
        <v>Error?</v>
      </c>
    </row>
    <row r="1428" spans="1:4" x14ac:dyDescent="0.2">
      <c r="A1428" s="5">
        <v>1367</v>
      </c>
      <c r="B1428" s="138">
        <f>'Expenditures 15-22'!D263</f>
        <v>7509</v>
      </c>
      <c r="D1428" s="2" t="str">
        <f t="shared" si="21"/>
        <v>Error?</v>
      </c>
    </row>
    <row r="1429" spans="1:4" x14ac:dyDescent="0.2">
      <c r="A1429" s="5">
        <v>1368</v>
      </c>
      <c r="B1429" s="138">
        <f>'Expenditures 15-22'!D264</f>
        <v>242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25924</v>
      </c>
      <c r="D1431" s="2" t="str">
        <f t="shared" si="21"/>
        <v>Error?</v>
      </c>
    </row>
    <row r="1432" spans="1:4" x14ac:dyDescent="0.2">
      <c r="A1432" s="5">
        <v>1371</v>
      </c>
      <c r="B1432" s="138">
        <f>'Expenditures 15-22'!D267</f>
        <v>1297</v>
      </c>
      <c r="D1432" s="2" t="str">
        <f t="shared" si="21"/>
        <v>Error?</v>
      </c>
    </row>
    <row r="1433" spans="1:4" x14ac:dyDescent="0.2">
      <c r="A1433" s="5">
        <v>1372</v>
      </c>
      <c r="B1433" s="138">
        <f>'Expenditures 15-22'!D268</f>
        <v>8812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43784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9329</v>
      </c>
      <c r="D1442" s="2" t="str">
        <f t="shared" si="21"/>
        <v>Error?</v>
      </c>
    </row>
    <row r="1443" spans="1:4" x14ac:dyDescent="0.2">
      <c r="A1443" s="10">
        <v>1382</v>
      </c>
      <c r="D1443" s="2" t="str">
        <f t="shared" si="21"/>
        <v>OK</v>
      </c>
    </row>
    <row r="1444" spans="1:4" x14ac:dyDescent="0.2">
      <c r="A1444" s="5">
        <v>1383</v>
      </c>
      <c r="B1444" s="138">
        <f>'Expenditures 15-22'!D277</f>
        <v>9329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85684</v>
      </c>
      <c r="C1446" s="2" t="s">
        <v>594</v>
      </c>
      <c r="D1446" s="2" t="str">
        <f t="shared" si="21"/>
        <v>Error?</v>
      </c>
    </row>
    <row r="1447" spans="1:4" x14ac:dyDescent="0.2">
      <c r="A1447" s="5">
        <v>1386</v>
      </c>
      <c r="B1447" s="138">
        <f>'Expenditures 15-22'!D280</f>
        <v>672</v>
      </c>
      <c r="D1447" s="2" t="str">
        <f t="shared" si="21"/>
        <v>Error?</v>
      </c>
    </row>
    <row r="1448" spans="1:4" x14ac:dyDescent="0.2">
      <c r="A1448" s="5">
        <v>1387</v>
      </c>
      <c r="B1448" s="138">
        <f>'Expenditures 15-22'!D295</f>
        <v>125601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1715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921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39245</v>
      </c>
      <c r="C1474" s="2" t="s">
        <v>594</v>
      </c>
      <c r="D1474" s="2" t="str">
        <f t="shared" si="22"/>
        <v>Error?</v>
      </c>
    </row>
    <row r="1475" spans="1:4" x14ac:dyDescent="0.2">
      <c r="A1475" s="5">
        <v>1414</v>
      </c>
      <c r="B1475" s="138">
        <f>'Expenditures 15-22'!K232</f>
        <v>1338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6159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7497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2070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2070</v>
      </c>
      <c r="C1485" s="2" t="s">
        <v>594</v>
      </c>
      <c r="D1485" s="2" t="str">
        <f t="shared" si="22"/>
        <v>Error?</v>
      </c>
    </row>
    <row r="1486" spans="1:4" x14ac:dyDescent="0.2">
      <c r="A1486" s="5">
        <v>1425</v>
      </c>
      <c r="B1486" s="138">
        <f>'Expenditures 15-22'!K245</f>
        <v>596</v>
      </c>
      <c r="C1486" s="2" t="s">
        <v>594</v>
      </c>
      <c r="D1486" s="2" t="str">
        <f t="shared" si="22"/>
        <v>Error?</v>
      </c>
    </row>
    <row r="1487" spans="1:4" x14ac:dyDescent="0.2">
      <c r="A1487" s="5">
        <v>1426</v>
      </c>
      <c r="B1487" s="138">
        <f>'Expenditures 15-22'!K246</f>
        <v>9668</v>
      </c>
      <c r="C1487" s="2" t="s">
        <v>594</v>
      </c>
      <c r="D1487" s="2" t="str">
        <f t="shared" si="22"/>
        <v>Error?</v>
      </c>
    </row>
    <row r="1488" spans="1:4" x14ac:dyDescent="0.2">
      <c r="A1488" s="5">
        <v>1427</v>
      </c>
      <c r="B1488" s="138">
        <f>'Expenditures 15-22'!K257</f>
        <v>14491</v>
      </c>
      <c r="C1488" s="2" t="s">
        <v>594</v>
      </c>
      <c r="D1488" s="2" t="str">
        <f t="shared" si="22"/>
        <v>Error?</v>
      </c>
    </row>
    <row r="1489" spans="1:4" x14ac:dyDescent="0.2">
      <c r="A1489" s="5">
        <v>1428</v>
      </c>
      <c r="B1489" s="138">
        <f>'Expenditures 15-22'!K259</f>
        <v>7795</v>
      </c>
      <c r="C1489" s="2" t="s">
        <v>594</v>
      </c>
      <c r="D1489" s="2" t="str">
        <f t="shared" si="22"/>
        <v>Error?</v>
      </c>
    </row>
    <row r="1490" spans="1:4" x14ac:dyDescent="0.2">
      <c r="A1490" s="5">
        <v>1429</v>
      </c>
      <c r="B1490" s="138">
        <f>'Expenditures 15-22'!K260</f>
        <v>718</v>
      </c>
      <c r="C1490" s="2" t="s">
        <v>594</v>
      </c>
      <c r="D1490" s="2" t="str">
        <f t="shared" si="22"/>
        <v>Error?</v>
      </c>
    </row>
    <row r="1491" spans="1:4" x14ac:dyDescent="0.2">
      <c r="A1491" s="5">
        <v>1430</v>
      </c>
      <c r="B1491" s="138">
        <f>'Expenditures 15-22'!K261</f>
        <v>8513</v>
      </c>
      <c r="C1491" s="2" t="s">
        <v>594</v>
      </c>
      <c r="D1491" s="2" t="str">
        <f t="shared" si="22"/>
        <v>Error?</v>
      </c>
    </row>
    <row r="1492" spans="1:4" x14ac:dyDescent="0.2">
      <c r="A1492" s="5">
        <v>1431</v>
      </c>
      <c r="B1492" s="138">
        <f>'Expenditures 15-22'!K263</f>
        <v>7509</v>
      </c>
      <c r="C1492" s="2" t="s">
        <v>594</v>
      </c>
      <c r="D1492" s="2" t="str">
        <f t="shared" si="22"/>
        <v>Error?</v>
      </c>
    </row>
    <row r="1493" spans="1:4" x14ac:dyDescent="0.2">
      <c r="A1493" s="5">
        <v>1432</v>
      </c>
      <c r="B1493" s="138">
        <f>'Expenditures 15-22'!K264</f>
        <v>242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25924</v>
      </c>
      <c r="C1495" s="2" t="s">
        <v>594</v>
      </c>
      <c r="D1495" s="2" t="str">
        <f t="shared" si="22"/>
        <v>Error?</v>
      </c>
    </row>
    <row r="1496" spans="1:4" x14ac:dyDescent="0.2">
      <c r="A1496" s="5">
        <v>1435</v>
      </c>
      <c r="B1496" s="138">
        <f>'Expenditures 15-22'!K267</f>
        <v>1297</v>
      </c>
      <c r="C1496" s="2" t="s">
        <v>594</v>
      </c>
      <c r="D1496" s="2" t="str">
        <f t="shared" si="22"/>
        <v>Error?</v>
      </c>
    </row>
    <row r="1497" spans="1:4" x14ac:dyDescent="0.2">
      <c r="A1497" s="5">
        <v>1436</v>
      </c>
      <c r="B1497" s="138">
        <f>'Expenditures 15-22'!K268</f>
        <v>8812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43784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9329</v>
      </c>
      <c r="C1506" s="2" t="s">
        <v>594</v>
      </c>
      <c r="D1506" s="2" t="str">
        <f t="shared" si="22"/>
        <v>Error?</v>
      </c>
    </row>
    <row r="1507" spans="1:4" x14ac:dyDescent="0.2">
      <c r="A1507" s="10">
        <v>1446</v>
      </c>
      <c r="D1507" s="2" t="str">
        <f t="shared" si="22"/>
        <v>OK</v>
      </c>
    </row>
    <row r="1508" spans="1:4" x14ac:dyDescent="0.2">
      <c r="A1508" s="5">
        <v>1447</v>
      </c>
      <c r="B1508" s="138">
        <f>'Expenditures 15-22'!K277</f>
        <v>9329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85684</v>
      </c>
      <c r="C1510" s="2" t="s">
        <v>594</v>
      </c>
      <c r="D1510" s="2" t="str">
        <f t="shared" si="22"/>
        <v>Error?</v>
      </c>
    </row>
    <row r="1511" spans="1:4" x14ac:dyDescent="0.2">
      <c r="A1511" s="5">
        <v>1450</v>
      </c>
      <c r="B1511" s="138">
        <f>'Expenditures 15-22'!K280</f>
        <v>672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125601</v>
      </c>
      <c r="C1517" s="2" t="s">
        <v>594</v>
      </c>
      <c r="D1517" s="2" t="str">
        <f t="shared" si="22"/>
        <v>Error?</v>
      </c>
    </row>
    <row r="1518" spans="1:4" x14ac:dyDescent="0.2">
      <c r="A1518" s="5">
        <v>1457</v>
      </c>
      <c r="B1518" s="138">
        <f>'Expenditures 15-22'!K296</f>
        <v>27849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2047926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2309748</v>
      </c>
      <c r="C1630" s="2" t="s">
        <v>594</v>
      </c>
      <c r="D1630" s="2" t="str">
        <f t="shared" si="24"/>
        <v>Error?</v>
      </c>
    </row>
    <row r="1631" spans="1:4" x14ac:dyDescent="0.2">
      <c r="A1631" s="5">
        <v>1570</v>
      </c>
      <c r="B1631" s="138">
        <f>'Acct Summary 7-8'!D79</f>
        <v>194009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151071</v>
      </c>
      <c r="C1644" s="2" t="s">
        <v>594</v>
      </c>
      <c r="D1644" s="2" t="str">
        <f t="shared" si="24"/>
        <v>Error?</v>
      </c>
    </row>
    <row r="1645" spans="1:4" x14ac:dyDescent="0.2">
      <c r="A1645" s="5">
        <v>1584</v>
      </c>
      <c r="B1645" s="138">
        <f>'Acct Summary 7-8'!E79</f>
        <v>3928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-374</v>
      </c>
      <c r="C1658" s="2" t="s">
        <v>594</v>
      </c>
      <c r="D1658" s="2" t="str">
        <f t="shared" si="24"/>
        <v>Error?</v>
      </c>
    </row>
    <row r="1659" spans="1:4" x14ac:dyDescent="0.2">
      <c r="A1659" s="5">
        <v>1598</v>
      </c>
      <c r="B1659" s="138">
        <f>'Acct Summary 7-8'!F79</f>
        <v>234106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360112</v>
      </c>
      <c r="C1672" s="2" t="s">
        <v>594</v>
      </c>
      <c r="D1672" s="2" t="str">
        <f t="shared" si="25"/>
        <v>Error?</v>
      </c>
    </row>
    <row r="1673" spans="1:4" x14ac:dyDescent="0.2">
      <c r="A1673" s="5">
        <v>1612</v>
      </c>
      <c r="B1673" s="138">
        <f>'Acct Summary 7-8'!G79</f>
        <v>283648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311497</v>
      </c>
      <c r="C1686" s="2" t="s">
        <v>594</v>
      </c>
      <c r="D1686" s="2" t="str">
        <f t="shared" si="25"/>
        <v>Error?</v>
      </c>
    </row>
    <row r="1687" spans="1:4" x14ac:dyDescent="0.2">
      <c r="A1687" s="5">
        <v>1626</v>
      </c>
      <c r="B1687" s="138">
        <f>'Acct Summary 7-8'!H79</f>
        <v>24286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24302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1977643</v>
      </c>
      <c r="C1744" s="2" t="s">
        <v>594</v>
      </c>
      <c r="D1744" s="2" t="str">
        <f t="shared" si="26"/>
        <v>Error?</v>
      </c>
    </row>
    <row r="1745" spans="1:5" x14ac:dyDescent="0.2">
      <c r="A1745" s="5">
        <v>1684</v>
      </c>
      <c r="B1745" s="138">
        <f>'Tax Sched 23'!B5</f>
        <v>304839</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189911</v>
      </c>
      <c r="C1747" s="2" t="s">
        <v>594</v>
      </c>
      <c r="D1747" s="2" t="str">
        <f t="shared" si="26"/>
        <v>Error?</v>
      </c>
    </row>
    <row r="1748" spans="1:5" x14ac:dyDescent="0.2">
      <c r="A1748" s="5">
        <v>1687</v>
      </c>
      <c r="B1748" s="138">
        <f>'Tax Sched 23'!B8</f>
        <v>71169</v>
      </c>
      <c r="C1748" s="2" t="s">
        <v>594</v>
      </c>
      <c r="D1748" s="2" t="str">
        <f t="shared" si="26"/>
        <v>Error?</v>
      </c>
    </row>
    <row r="1749" spans="1:5" x14ac:dyDescent="0.2">
      <c r="A1749" s="5">
        <v>1688</v>
      </c>
      <c r="B1749" s="138">
        <f>'Tax Sched 23'!B10</f>
        <v>28520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121948</v>
      </c>
      <c r="C1752" s="2" t="s">
        <v>594</v>
      </c>
      <c r="D1752" s="2" t="str">
        <f t="shared" si="26"/>
        <v>Error?</v>
      </c>
    </row>
    <row r="1753" spans="1:5" x14ac:dyDescent="0.2">
      <c r="A1753" s="5">
        <v>1692</v>
      </c>
      <c r="B1753" s="138">
        <f>'Tax Sched 23'!B12</f>
        <v>55961</v>
      </c>
      <c r="C1753" s="2" t="s">
        <v>594</v>
      </c>
      <c r="D1753" s="2" t="str">
        <f t="shared" si="26"/>
        <v>Error?</v>
      </c>
    </row>
    <row r="1754" spans="1:5" x14ac:dyDescent="0.2">
      <c r="A1754" s="5">
        <v>1693</v>
      </c>
      <c r="B1754" s="138">
        <f>'Tax Sched 23'!B14</f>
        <v>223604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3051876</v>
      </c>
      <c r="C1759" s="2" t="s">
        <v>594</v>
      </c>
      <c r="D1759" s="2" t="str">
        <f t="shared" si="26"/>
        <v>Error?</v>
      </c>
    </row>
    <row r="1760" spans="1:5" x14ac:dyDescent="0.2">
      <c r="A1760" s="5">
        <v>1699</v>
      </c>
      <c r="B1760" s="138">
        <f>'Tax Sched 23'!D4</f>
        <v>949538</v>
      </c>
      <c r="C1760" s="2" t="s">
        <v>594</v>
      </c>
      <c r="D1760" s="2" t="str">
        <f t="shared" si="26"/>
        <v>Error?</v>
      </c>
    </row>
    <row r="1761" spans="1:5" x14ac:dyDescent="0.2">
      <c r="A1761" s="5">
        <v>1700</v>
      </c>
      <c r="B1761" s="138">
        <f>'Tax Sched 23'!D5</f>
        <v>146837</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91471</v>
      </c>
      <c r="C1763" s="2" t="s">
        <v>594</v>
      </c>
      <c r="D1763" s="2" t="str">
        <f t="shared" si="26"/>
        <v>Error?</v>
      </c>
    </row>
    <row r="1764" spans="1:5" x14ac:dyDescent="0.2">
      <c r="A1764" s="5">
        <v>1703</v>
      </c>
      <c r="B1764" s="138">
        <f>'Tax Sched 23'!D8</f>
        <v>34273</v>
      </c>
      <c r="C1764" s="2" t="s">
        <v>594</v>
      </c>
      <c r="D1764" s="2" t="str">
        <f t="shared" si="26"/>
        <v>Error?</v>
      </c>
    </row>
    <row r="1765" spans="1:5" x14ac:dyDescent="0.2">
      <c r="A1765" s="5">
        <v>1704</v>
      </c>
      <c r="B1765" s="138">
        <f>'Tax Sched 23'!D10</f>
        <v>13733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58741</v>
      </c>
      <c r="C1768" s="2" t="s">
        <v>594</v>
      </c>
      <c r="D1768" s="2" t="str">
        <f t="shared" si="26"/>
        <v>Error?</v>
      </c>
    </row>
    <row r="1769" spans="1:5" x14ac:dyDescent="0.2">
      <c r="A1769" s="5">
        <v>1708</v>
      </c>
      <c r="B1769" s="138">
        <f>'Tax Sched 23'!D12</f>
        <v>26941</v>
      </c>
      <c r="C1769" s="2" t="s">
        <v>594</v>
      </c>
      <c r="D1769" s="2" t="str">
        <f t="shared" si="26"/>
        <v>Error?</v>
      </c>
    </row>
    <row r="1770" spans="1:5" x14ac:dyDescent="0.2">
      <c r="A1770" s="5">
        <v>1709</v>
      </c>
      <c r="B1770" s="138">
        <f>'Tax Sched 23'!D14</f>
        <v>107706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1466946</v>
      </c>
      <c r="C1775" s="2" t="s">
        <v>594</v>
      </c>
      <c r="D1775" s="2" t="str">
        <f t="shared" si="26"/>
        <v>Error?</v>
      </c>
    </row>
    <row r="1776" spans="1:5" x14ac:dyDescent="0.2">
      <c r="A1776" s="5">
        <v>1715</v>
      </c>
      <c r="B1776" s="138">
        <f>'Tax Sched 23'!C4</f>
        <v>1028105</v>
      </c>
      <c r="D1776" s="2" t="str">
        <f t="shared" si="26"/>
        <v>Error?</v>
      </c>
    </row>
    <row r="1777" spans="1:4" x14ac:dyDescent="0.2">
      <c r="A1777" s="5">
        <v>1716</v>
      </c>
      <c r="B1777" s="138">
        <f>'Tax Sched 23'!C5</f>
        <v>158002</v>
      </c>
      <c r="D1777" s="2" t="str">
        <f t="shared" si="26"/>
        <v>Error?</v>
      </c>
    </row>
    <row r="1778" spans="1:4" x14ac:dyDescent="0.2">
      <c r="A1778" s="5">
        <v>1717</v>
      </c>
      <c r="B1778" s="138">
        <f>'Tax Sched 23'!C6</f>
        <v>0</v>
      </c>
      <c r="D1778" s="2" t="str">
        <f t="shared" si="26"/>
        <v>Error?</v>
      </c>
    </row>
    <row r="1779" spans="1:4" x14ac:dyDescent="0.2">
      <c r="A1779" s="5">
        <v>1718</v>
      </c>
      <c r="B1779" s="138">
        <f>'Tax Sched 23'!C7</f>
        <v>98440</v>
      </c>
      <c r="D1779" s="2" t="str">
        <f t="shared" si="26"/>
        <v>Error?</v>
      </c>
    </row>
    <row r="1780" spans="1:4" x14ac:dyDescent="0.2">
      <c r="A1780" s="5">
        <v>1719</v>
      </c>
      <c r="B1780" s="138">
        <f>'Tax Sched 23'!C8</f>
        <v>36896</v>
      </c>
      <c r="D1780" s="2" t="str">
        <f t="shared" si="26"/>
        <v>Error?</v>
      </c>
    </row>
    <row r="1781" spans="1:4" x14ac:dyDescent="0.2">
      <c r="A1781" s="5">
        <v>1720</v>
      </c>
      <c r="B1781" s="138">
        <f>'Tax Sched 23'!C10</f>
        <v>14787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63207</v>
      </c>
      <c r="D1784" s="2" t="str">
        <f t="shared" si="26"/>
        <v>Error?</v>
      </c>
    </row>
    <row r="1785" spans="1:4" x14ac:dyDescent="0.2">
      <c r="A1785" s="5">
        <v>1724</v>
      </c>
      <c r="B1785" s="138">
        <f>'Tax Sched 23'!C12</f>
        <v>29020</v>
      </c>
      <c r="D1785" s="2" t="str">
        <f t="shared" si="26"/>
        <v>Error?</v>
      </c>
    </row>
    <row r="1786" spans="1:4" x14ac:dyDescent="0.2">
      <c r="A1786" s="5">
        <v>1725</v>
      </c>
      <c r="B1786" s="138">
        <f>'Tax Sched 23'!C14</f>
        <v>115898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1584930</v>
      </c>
      <c r="C1791" s="2" t="s">
        <v>594</v>
      </c>
      <c r="D1791" s="2" t="str">
        <f t="shared" ref="D1791:D1854" si="27">IF(ISBLANK(B1791),"OK",IF(A1791-B1791=0,"OK","Error?"))</f>
        <v>Error?</v>
      </c>
    </row>
    <row r="1792" spans="1:4" x14ac:dyDescent="0.2">
      <c r="A1792" s="5">
        <v>1731</v>
      </c>
      <c r="B1792" s="138">
        <f>'Tax Sched 23'!F4</f>
        <v>1013313</v>
      </c>
      <c r="C1792" s="2" t="s">
        <v>594</v>
      </c>
      <c r="D1792" s="2" t="str">
        <f t="shared" si="27"/>
        <v>Error?</v>
      </c>
    </row>
    <row r="1793" spans="1:4" x14ac:dyDescent="0.2">
      <c r="A1793" s="5">
        <v>1732</v>
      </c>
      <c r="B1793" s="138">
        <f>'Tax Sched 23'!F5</f>
        <v>155734</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97031</v>
      </c>
      <c r="C1795" s="2" t="s">
        <v>594</v>
      </c>
      <c r="D1795" s="2" t="str">
        <f t="shared" si="27"/>
        <v>Error?</v>
      </c>
    </row>
    <row r="1796" spans="1:4" x14ac:dyDescent="0.2">
      <c r="A1796" s="5">
        <v>1735</v>
      </c>
      <c r="B1796" s="138">
        <f>'Tax Sched 23'!F8</f>
        <v>36365</v>
      </c>
      <c r="C1796" s="2" t="s">
        <v>594</v>
      </c>
      <c r="D1796" s="2" t="str">
        <f t="shared" si="27"/>
        <v>Error?</v>
      </c>
    </row>
    <row r="1797" spans="1:4" x14ac:dyDescent="0.2">
      <c r="A1797" s="5">
        <v>1736</v>
      </c>
      <c r="B1797" s="138">
        <f>'Tax Sched 23'!F10</f>
        <v>14569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62300</v>
      </c>
      <c r="C1800" s="2" t="s">
        <v>594</v>
      </c>
      <c r="D1800" s="2" t="str">
        <f t="shared" si="27"/>
        <v>Error?</v>
      </c>
    </row>
    <row r="1801" spans="1:4" x14ac:dyDescent="0.2">
      <c r="A1801" s="5">
        <v>1740</v>
      </c>
      <c r="B1801" s="138">
        <f>'Tax Sched 23'!F12</f>
        <v>28593</v>
      </c>
      <c r="C1801" s="2" t="s">
        <v>594</v>
      </c>
      <c r="D1801" s="2" t="str">
        <f t="shared" si="27"/>
        <v>Error?</v>
      </c>
    </row>
    <row r="1802" spans="1:4" x14ac:dyDescent="0.2">
      <c r="A1802" s="5">
        <v>1741</v>
      </c>
      <c r="B1802" s="138">
        <f>'Tax Sched 23'!F14</f>
        <v>114231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1562129</v>
      </c>
      <c r="C1807" s="2" t="s">
        <v>594</v>
      </c>
      <c r="D1807" s="2" t="str">
        <f t="shared" si="27"/>
        <v>Error?</v>
      </c>
    </row>
    <row r="1808" spans="1:4" x14ac:dyDescent="0.2">
      <c r="A1808" s="5">
        <v>1747</v>
      </c>
      <c r="B1808" s="138">
        <f>'Tax Sched 23'!E4</f>
        <v>2041418</v>
      </c>
      <c r="D1808" s="2" t="str">
        <f t="shared" si="27"/>
        <v>Error?</v>
      </c>
    </row>
    <row r="1809" spans="1:4" x14ac:dyDescent="0.2">
      <c r="A1809" s="5">
        <v>1748</v>
      </c>
      <c r="B1809" s="138">
        <f>'Tax Sched 23'!E5</f>
        <v>313736</v>
      </c>
      <c r="D1809" s="2" t="str">
        <f t="shared" si="27"/>
        <v>Error?</v>
      </c>
    </row>
    <row r="1810" spans="1:4" x14ac:dyDescent="0.2">
      <c r="A1810" s="5">
        <v>1749</v>
      </c>
      <c r="B1810" s="138">
        <f>'Tax Sched 23'!E6</f>
        <v>0</v>
      </c>
      <c r="D1810" s="2" t="str">
        <f t="shared" si="27"/>
        <v>Error?</v>
      </c>
    </row>
    <row r="1811" spans="1:4" x14ac:dyDescent="0.2">
      <c r="A1811" s="5">
        <v>1750</v>
      </c>
      <c r="B1811" s="138">
        <f>'Tax Sched 23'!E7</f>
        <v>195471</v>
      </c>
      <c r="D1811" s="2" t="str">
        <f t="shared" si="27"/>
        <v>Error?</v>
      </c>
    </row>
    <row r="1812" spans="1:4" x14ac:dyDescent="0.2">
      <c r="A1812" s="5">
        <v>1751</v>
      </c>
      <c r="B1812" s="138">
        <f>'Tax Sched 23'!E8</f>
        <v>73261</v>
      </c>
      <c r="D1812" s="2" t="str">
        <f t="shared" si="27"/>
        <v>Error?</v>
      </c>
    </row>
    <row r="1813" spans="1:4" x14ac:dyDescent="0.2">
      <c r="A1813" s="5">
        <v>1752</v>
      </c>
      <c r="B1813" s="138">
        <f>'Tax Sched 23'!E10</f>
        <v>29356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125507</v>
      </c>
      <c r="D1816" s="2" t="str">
        <f t="shared" si="27"/>
        <v>Error?</v>
      </c>
    </row>
    <row r="1817" spans="1:4" x14ac:dyDescent="0.2">
      <c r="A1817" s="5">
        <v>1756</v>
      </c>
      <c r="B1817" s="138">
        <f>'Tax Sched 23'!E12</f>
        <v>57613</v>
      </c>
      <c r="D1817" s="2" t="str">
        <f t="shared" si="27"/>
        <v>Error?</v>
      </c>
    </row>
    <row r="1818" spans="1:4" x14ac:dyDescent="0.2">
      <c r="A1818" s="5">
        <v>1757</v>
      </c>
      <c r="B1818" s="138">
        <f>'Tax Sched 23'!E14</f>
        <v>230129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3147059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1565000</v>
      </c>
      <c r="C1939" s="2" t="s">
        <v>594</v>
      </c>
      <c r="D1939" s="2" t="str">
        <f t="shared" si="29"/>
        <v>Error?</v>
      </c>
    </row>
    <row r="1940" spans="1:5" x14ac:dyDescent="0.2">
      <c r="A1940" s="5">
        <v>1879</v>
      </c>
      <c r="B1940" s="138">
        <f>'Short-Term Long-Term Debt 24'!F49</f>
        <v>1365000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223604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223604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46165</v>
      </c>
      <c r="D1980" s="2" t="str">
        <f t="shared" si="29"/>
        <v>Error?</v>
      </c>
    </row>
    <row r="1981" spans="1:5" x14ac:dyDescent="0.2">
      <c r="A1981" s="10">
        <v>1920</v>
      </c>
      <c r="D1981" s="2" t="str">
        <f t="shared" si="29"/>
        <v>OK</v>
      </c>
      <c r="E1981" s="2" t="s">
        <v>137</v>
      </c>
    </row>
    <row r="1982" spans="1:5" x14ac:dyDescent="0.2">
      <c r="A1982" s="5">
        <v>1921</v>
      </c>
      <c r="B1982" s="138">
        <f>'Rest Tax Levies-Tort Im 25'!H23</f>
        <v>223604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21943</v>
      </c>
      <c r="D2008" s="2" t="str">
        <f t="shared" si="30"/>
        <v>Error?</v>
      </c>
    </row>
    <row r="2009" spans="1:4" x14ac:dyDescent="0.2">
      <c r="A2009" s="5">
        <v>1948</v>
      </c>
      <c r="B2009" s="138">
        <f>'Cap Outlay Deprec 26'!C8</f>
        <v>10660523</v>
      </c>
      <c r="D2009" s="2" t="str">
        <f t="shared" si="30"/>
        <v>Error?</v>
      </c>
    </row>
    <row r="2010" spans="1:4" x14ac:dyDescent="0.2">
      <c r="A2010" s="5">
        <v>1949</v>
      </c>
      <c r="B2010" s="138">
        <f>'Cap Outlay Deprec 26'!C10</f>
        <v>235264</v>
      </c>
      <c r="D2010" s="2" t="str">
        <f t="shared" si="30"/>
        <v>Error?</v>
      </c>
    </row>
    <row r="2011" spans="1:4" x14ac:dyDescent="0.2">
      <c r="A2011" s="5">
        <v>1950</v>
      </c>
      <c r="B2011" s="138">
        <f>'Cap Outlay Deprec 26'!C12</f>
        <v>1728328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12653058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30165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67670</v>
      </c>
      <c r="D2017" s="2" t="str">
        <f t="shared" si="30"/>
        <v>Error?</v>
      </c>
    </row>
    <row r="2018" spans="1:4" x14ac:dyDescent="0.2">
      <c r="A2018" s="5">
        <v>1957</v>
      </c>
      <c r="B2018" s="138">
        <f>'Cap Outlay Deprec 26'!D13</f>
        <v>35084</v>
      </c>
      <c r="D2018" s="2" t="str">
        <f t="shared" si="30"/>
        <v>Error?</v>
      </c>
    </row>
    <row r="2019" spans="1:4" x14ac:dyDescent="0.2">
      <c r="A2019" s="5">
        <v>1958</v>
      </c>
      <c r="B2019" s="138">
        <f>'Cap Outlay Deprec 26'!D16</f>
        <v>158169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10268</v>
      </c>
      <c r="C2025" s="2" t="s">
        <v>594</v>
      </c>
      <c r="D2025" s="2" t="str">
        <f t="shared" si="30"/>
        <v>Error?</v>
      </c>
    </row>
    <row r="2026" spans="1:4" x14ac:dyDescent="0.2">
      <c r="A2026" s="5">
        <v>1965</v>
      </c>
      <c r="B2026" s="138">
        <f>'Cap Outlay Deprec 26'!F5</f>
        <v>21943</v>
      </c>
      <c r="C2026" s="2" t="s">
        <v>594</v>
      </c>
      <c r="D2026" s="2" t="str">
        <f t="shared" si="30"/>
        <v>Error?</v>
      </c>
    </row>
    <row r="2027" spans="1:4" x14ac:dyDescent="0.2">
      <c r="A2027" s="5">
        <v>1966</v>
      </c>
      <c r="B2027" s="138">
        <f>'Cap Outlay Deprec 26'!F8</f>
        <v>10690688</v>
      </c>
      <c r="C2027" s="2" t="s">
        <v>594</v>
      </c>
      <c r="D2027" s="2" t="str">
        <f t="shared" si="30"/>
        <v>Error?</v>
      </c>
    </row>
    <row r="2028" spans="1:4" x14ac:dyDescent="0.2">
      <c r="A2028" s="5">
        <v>1967</v>
      </c>
      <c r="B2028" s="138">
        <f>'Cap Outlay Deprec 26'!F10</f>
        <v>235264</v>
      </c>
      <c r="C2028" s="2" t="s">
        <v>594</v>
      </c>
      <c r="D2028" s="2" t="str">
        <f t="shared" si="30"/>
        <v>Error?</v>
      </c>
    </row>
    <row r="2029" spans="1:4" x14ac:dyDescent="0.2">
      <c r="A2029" s="5">
        <v>1968</v>
      </c>
      <c r="B2029" s="138">
        <f>'Cap Outlay Deprec 26'!F12</f>
        <v>1795998</v>
      </c>
      <c r="C2029" s="2" t="s">
        <v>594</v>
      </c>
      <c r="D2029" s="2" t="str">
        <f t="shared" si="30"/>
        <v>Error?</v>
      </c>
    </row>
    <row r="2030" spans="1:4" x14ac:dyDescent="0.2">
      <c r="A2030" s="5">
        <v>1969</v>
      </c>
      <c r="B2030" s="138">
        <f>'Cap Outlay Deprec 26'!F13</f>
        <v>35084</v>
      </c>
      <c r="C2030" s="2" t="s">
        <v>594</v>
      </c>
      <c r="D2030" s="2" t="str">
        <f t="shared" si="30"/>
        <v>Error?</v>
      </c>
    </row>
    <row r="2031" spans="1:4" x14ac:dyDescent="0.2">
      <c r="A2031" s="5">
        <v>1970</v>
      </c>
      <c r="B2031" s="138">
        <f>'Cap Outlay Deprec 26'!F16</f>
        <v>12800959</v>
      </c>
      <c r="C2031" s="2" t="s">
        <v>594</v>
      </c>
      <c r="D2031" s="2" t="str">
        <f t="shared" si="30"/>
        <v>Error?</v>
      </c>
    </row>
    <row r="2032" spans="1:4" x14ac:dyDescent="0.2">
      <c r="A2032" s="10">
        <v>1971</v>
      </c>
      <c r="D2032" s="2" t="str">
        <f t="shared" si="30"/>
        <v>OK</v>
      </c>
    </row>
    <row r="2033" spans="1:4" x14ac:dyDescent="0.2">
      <c r="A2033" s="5">
        <v>1972</v>
      </c>
      <c r="B2033" s="138">
        <f>'Cap Outlay Deprec 26'!H8</f>
        <v>4044500</v>
      </c>
      <c r="D2033" s="2" t="str">
        <f t="shared" si="30"/>
        <v>Error?</v>
      </c>
    </row>
    <row r="2034" spans="1:4" x14ac:dyDescent="0.2">
      <c r="A2034" s="5">
        <v>1973</v>
      </c>
      <c r="B2034" s="138">
        <f>'Cap Outlay Deprec 26'!H10</f>
        <v>117585</v>
      </c>
      <c r="D2034" s="2" t="str">
        <f t="shared" si="30"/>
        <v>Error?</v>
      </c>
    </row>
    <row r="2035" spans="1:4" x14ac:dyDescent="0.2">
      <c r="A2035" s="5">
        <v>1974</v>
      </c>
      <c r="B2035" s="138">
        <f>'Cap Outlay Deprec 26'!H12</f>
        <v>1465587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5627672</v>
      </c>
      <c r="C2037" s="2" t="s">
        <v>594</v>
      </c>
      <c r="D2037" s="2" t="str">
        <f t="shared" si="30"/>
        <v>Error?</v>
      </c>
    </row>
    <row r="2038" spans="1:4" x14ac:dyDescent="0.2">
      <c r="A2038" s="10">
        <v>1977</v>
      </c>
      <c r="D2038" s="2" t="str">
        <f t="shared" si="30"/>
        <v>OK</v>
      </c>
    </row>
    <row r="2039" spans="1:4" x14ac:dyDescent="0.2">
      <c r="A2039" s="5">
        <v>1978</v>
      </c>
      <c r="B2039" s="138">
        <f>'Cap Outlay Deprec 26'!I8</f>
        <v>185710</v>
      </c>
      <c r="D2039" s="2" t="str">
        <f t="shared" si="30"/>
        <v>Error?</v>
      </c>
    </row>
    <row r="2040" spans="1:4" x14ac:dyDescent="0.2">
      <c r="A2040" s="5">
        <v>1979</v>
      </c>
      <c r="B2040" s="138">
        <f>'Cap Outlay Deprec 26'!I10</f>
        <v>9907</v>
      </c>
      <c r="D2040" s="2" t="str">
        <f t="shared" si="30"/>
        <v>Error?</v>
      </c>
    </row>
    <row r="2041" spans="1:4" x14ac:dyDescent="0.2">
      <c r="A2041" s="5">
        <v>1980</v>
      </c>
      <c r="B2041" s="138">
        <f>'Cap Outlay Deprec 26'!I12</f>
        <v>57669</v>
      </c>
      <c r="D2041" s="2" t="str">
        <f t="shared" si="30"/>
        <v>Error?</v>
      </c>
    </row>
    <row r="2042" spans="1:4" x14ac:dyDescent="0.2">
      <c r="A2042" s="5">
        <v>1981</v>
      </c>
      <c r="B2042" s="138">
        <f>'Cap Outlay Deprec 26'!I13</f>
        <v>3509</v>
      </c>
      <c r="D2042" s="2" t="str">
        <f t="shared" si="30"/>
        <v>Error?</v>
      </c>
    </row>
    <row r="2043" spans="1:4" x14ac:dyDescent="0.2">
      <c r="A2043" s="5">
        <v>1982</v>
      </c>
      <c r="B2043" s="138">
        <f>'Cap Outlay Deprec 26'!I16</f>
        <v>256795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4230210</v>
      </c>
      <c r="C2051" s="2" t="s">
        <v>594</v>
      </c>
      <c r="D2051" s="2" t="str">
        <f t="shared" si="31"/>
        <v>Error?</v>
      </c>
    </row>
    <row r="2052" spans="1:4" x14ac:dyDescent="0.2">
      <c r="A2052" s="5">
        <v>1991</v>
      </c>
      <c r="B2052" s="138">
        <f>'Cap Outlay Deprec 26'!K10</f>
        <v>127492</v>
      </c>
      <c r="C2052" s="2" t="s">
        <v>594</v>
      </c>
      <c r="D2052" s="2" t="str">
        <f t="shared" si="31"/>
        <v>Error?</v>
      </c>
    </row>
    <row r="2053" spans="1:4" x14ac:dyDescent="0.2">
      <c r="A2053" s="5">
        <v>1992</v>
      </c>
      <c r="B2053" s="138">
        <f>'Cap Outlay Deprec 26'!K12</f>
        <v>1523256</v>
      </c>
      <c r="C2053" s="2" t="s">
        <v>594</v>
      </c>
      <c r="D2053" s="2" t="str">
        <f t="shared" si="31"/>
        <v>Error?</v>
      </c>
    </row>
    <row r="2054" spans="1:4" x14ac:dyDescent="0.2">
      <c r="A2054" s="5">
        <v>1993</v>
      </c>
      <c r="B2054" s="138">
        <f>'Cap Outlay Deprec 26'!K13</f>
        <v>3509</v>
      </c>
      <c r="C2054" s="2" t="s">
        <v>594</v>
      </c>
      <c r="D2054" s="2" t="str">
        <f t="shared" si="31"/>
        <v>Error?</v>
      </c>
    </row>
    <row r="2055" spans="1:4" x14ac:dyDescent="0.2">
      <c r="A2055" s="5">
        <v>1994</v>
      </c>
      <c r="B2055" s="138">
        <f>'Cap Outlay Deprec 26'!K16</f>
        <v>5884467</v>
      </c>
      <c r="C2055" s="2" t="s">
        <v>594</v>
      </c>
      <c r="D2055" s="2" t="str">
        <f t="shared" si="31"/>
        <v>Error?</v>
      </c>
    </row>
    <row r="2056" spans="1:4" x14ac:dyDescent="0.2">
      <c r="A2056" s="5">
        <v>1995</v>
      </c>
      <c r="B2056" s="138">
        <f>'Cap Outlay Deprec 26'!L5</f>
        <v>21943</v>
      </c>
      <c r="C2056" s="2" t="s">
        <v>594</v>
      </c>
      <c r="D2056" s="2" t="str">
        <f t="shared" si="31"/>
        <v>Error?</v>
      </c>
    </row>
    <row r="2057" spans="1:4" x14ac:dyDescent="0.2">
      <c r="A2057" s="5">
        <v>1996</v>
      </c>
      <c r="B2057" s="138">
        <f>'Cap Outlay Deprec 26'!L8</f>
        <v>6460478</v>
      </c>
      <c r="C2057" s="2" t="s">
        <v>594</v>
      </c>
      <c r="D2057" s="2" t="str">
        <f t="shared" si="31"/>
        <v>Error?</v>
      </c>
    </row>
    <row r="2058" spans="1:4" x14ac:dyDescent="0.2">
      <c r="A2058" s="5">
        <v>1997</v>
      </c>
      <c r="B2058" s="138">
        <f>'Cap Outlay Deprec 26'!L10</f>
        <v>107772</v>
      </c>
      <c r="C2058" s="2" t="s">
        <v>594</v>
      </c>
      <c r="D2058" s="2" t="str">
        <f t="shared" si="31"/>
        <v>Error?</v>
      </c>
    </row>
    <row r="2059" spans="1:4" x14ac:dyDescent="0.2">
      <c r="A2059" s="5">
        <v>1998</v>
      </c>
      <c r="B2059" s="138">
        <f>'Cap Outlay Deprec 26'!L12</f>
        <v>272742</v>
      </c>
      <c r="C2059" s="2" t="s">
        <v>594</v>
      </c>
      <c r="D2059" s="2" t="str">
        <f t="shared" si="31"/>
        <v>Error?</v>
      </c>
    </row>
    <row r="2060" spans="1:4" x14ac:dyDescent="0.2">
      <c r="A2060" s="5">
        <v>1999</v>
      </c>
      <c r="B2060" s="138">
        <f>'Cap Outlay Deprec 26'!L13</f>
        <v>31575</v>
      </c>
      <c r="C2060" s="2" t="s">
        <v>594</v>
      </c>
      <c r="D2060" s="2" t="str">
        <f t="shared" si="31"/>
        <v>Error?</v>
      </c>
    </row>
    <row r="2061" spans="1:4" x14ac:dyDescent="0.2">
      <c r="A2061" s="5">
        <v>2000</v>
      </c>
      <c r="B2061" s="138">
        <f>'Cap Outlay Deprec 26'!L16</f>
        <v>6916492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596682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641358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360112</v>
      </c>
      <c r="D2475" s="2" t="str">
        <f t="shared" si="37"/>
        <v>Error?</v>
      </c>
    </row>
    <row r="2476" spans="1:4" x14ac:dyDescent="0.2">
      <c r="A2476" s="10">
        <v>2415</v>
      </c>
      <c r="D2476" s="2" t="str">
        <f t="shared" si="37"/>
        <v>OK</v>
      </c>
    </row>
    <row r="2477" spans="1:4" x14ac:dyDescent="0.2">
      <c r="A2477" s="5">
        <v>2416</v>
      </c>
      <c r="B2477" s="138">
        <f>'Assets-Liab 5-6'!G38</f>
        <v>311497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24302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2261740</v>
      </c>
      <c r="C2551" s="2" t="s">
        <v>594</v>
      </c>
      <c r="D2551" s="2" t="str">
        <f t="shared" si="38"/>
        <v>Error?</v>
      </c>
    </row>
    <row r="2552" spans="1:4" x14ac:dyDescent="0.2">
      <c r="A2552" s="10">
        <v>2491</v>
      </c>
      <c r="D2552" s="2" t="str">
        <f t="shared" si="38"/>
        <v>OK</v>
      </c>
    </row>
    <row r="2553" spans="1:4" x14ac:dyDescent="0.2">
      <c r="A2553" s="5">
        <v>2492</v>
      </c>
      <c r="B2553" s="138">
        <f>'Acct Summary 7-8'!C6</f>
        <v>2022643</v>
      </c>
      <c r="C2553" s="2" t="s">
        <v>594</v>
      </c>
      <c r="D2553" s="2" t="str">
        <f t="shared" si="38"/>
        <v>Error?</v>
      </c>
    </row>
    <row r="2554" spans="1:4" x14ac:dyDescent="0.2">
      <c r="A2554" s="5">
        <v>2493</v>
      </c>
      <c r="B2554" s="138">
        <f>'Acct Summary 7-8'!C7</f>
        <v>363615</v>
      </c>
      <c r="C2554" s="2" t="s">
        <v>594</v>
      </c>
      <c r="D2554" s="2" t="str">
        <f t="shared" si="38"/>
        <v>Error?</v>
      </c>
    </row>
    <row r="2555" spans="1:4" x14ac:dyDescent="0.2">
      <c r="A2555" s="5">
        <v>2494</v>
      </c>
      <c r="B2555" s="138">
        <f>'Acct Summary 7-8'!C8</f>
        <v>4647998</v>
      </c>
      <c r="C2555" s="2" t="s">
        <v>594</v>
      </c>
      <c r="D2555" s="2" t="str">
        <f t="shared" si="38"/>
        <v>Error?</v>
      </c>
    </row>
    <row r="2556" spans="1:4" x14ac:dyDescent="0.2">
      <c r="A2556" s="5">
        <v>2495</v>
      </c>
      <c r="B2556" s="138">
        <f>'Acct Summary 7-8'!C12</f>
        <v>2024070</v>
      </c>
      <c r="C2556" s="2" t="s">
        <v>594</v>
      </c>
      <c r="D2556" s="2" t="str">
        <f t="shared" si="38"/>
        <v>Error?</v>
      </c>
    </row>
    <row r="2557" spans="1:4" x14ac:dyDescent="0.2">
      <c r="A2557" s="5">
        <v>2496</v>
      </c>
      <c r="B2557" s="138">
        <f>'Acct Summary 7-8'!C13</f>
        <v>1682501</v>
      </c>
      <c r="C2557" s="2" t="s">
        <v>594</v>
      </c>
      <c r="D2557" s="2" t="str">
        <f t="shared" si="38"/>
        <v>Error?</v>
      </c>
    </row>
    <row r="2558" spans="1:4" x14ac:dyDescent="0.2">
      <c r="A2558" s="5">
        <v>2497</v>
      </c>
      <c r="B2558" s="138">
        <f>'Acct Summary 7-8'!C14</f>
        <v>8247</v>
      </c>
      <c r="C2558" s="2" t="s">
        <v>594</v>
      </c>
      <c r="D2558" s="2" t="str">
        <f t="shared" si="38"/>
        <v>Error?</v>
      </c>
    </row>
    <row r="2559" spans="1:4" x14ac:dyDescent="0.2">
      <c r="A2559" s="5">
        <v>2498</v>
      </c>
      <c r="B2559" s="138">
        <f>'Acct Summary 7-8'!C15</f>
        <v>641358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4356176</v>
      </c>
      <c r="C2561" s="2" t="s">
        <v>594</v>
      </c>
      <c r="D2561" s="2" t="str">
        <f t="shared" si="39"/>
        <v>Error?</v>
      </c>
    </row>
    <row r="2562" spans="1:4" x14ac:dyDescent="0.2">
      <c r="A2562" s="5">
        <v>2501</v>
      </c>
      <c r="B2562" s="138">
        <f>'Acct Summary 7-8'!C20</f>
        <v>291822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305089</v>
      </c>
      <c r="C2564" s="2" t="s">
        <v>594</v>
      </c>
      <c r="D2564" s="2" t="str">
        <f t="shared" si="39"/>
        <v>Error?</v>
      </c>
    </row>
    <row r="2565" spans="1:4" x14ac:dyDescent="0.2">
      <c r="A2565" s="10">
        <v>2504</v>
      </c>
      <c r="D2565" s="2" t="str">
        <f t="shared" si="39"/>
        <v>OK</v>
      </c>
    </row>
    <row r="2566" spans="1:4" x14ac:dyDescent="0.2">
      <c r="A2566" s="5">
        <v>2505</v>
      </c>
      <c r="B2566" s="138">
        <f>'Acct Summary 7-8'!D6</f>
        <v>125000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430089</v>
      </c>
      <c r="C2568" s="2" t="s">
        <v>594</v>
      </c>
      <c r="D2568" s="2" t="str">
        <f t="shared" si="39"/>
        <v>Error?</v>
      </c>
    </row>
    <row r="2569" spans="1:4" x14ac:dyDescent="0.2">
      <c r="A2569" s="5">
        <v>2508</v>
      </c>
      <c r="B2569" s="138">
        <f>'Acct Summary 7-8'!D13</f>
        <v>382918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382918</v>
      </c>
      <c r="C2573" s="2" t="s">
        <v>594</v>
      </c>
      <c r="D2573" s="2" t="str">
        <f t="shared" si="39"/>
        <v>Error?</v>
      </c>
    </row>
    <row r="2574" spans="1:4" x14ac:dyDescent="0.2">
      <c r="A2574" s="5">
        <v>2513</v>
      </c>
      <c r="B2574" s="138">
        <f>'Acct Summary 7-8'!D20</f>
        <v>47171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189911</v>
      </c>
      <c r="C2591" s="2" t="s">
        <v>594</v>
      </c>
      <c r="D2591" s="2" t="str">
        <f t="shared" si="39"/>
        <v>Error?</v>
      </c>
    </row>
    <row r="2592" spans="1:4" x14ac:dyDescent="0.2">
      <c r="A2592" s="10">
        <v>2531</v>
      </c>
      <c r="D2592" s="2" t="str">
        <f t="shared" si="39"/>
        <v>OK</v>
      </c>
    </row>
    <row r="2593" spans="1:4" x14ac:dyDescent="0.2">
      <c r="A2593" s="5">
        <v>2532</v>
      </c>
      <c r="B2593" s="138">
        <f>'Acct Summary 7-8'!F6</f>
        <v>175181</v>
      </c>
      <c r="C2593" s="2" t="s">
        <v>594</v>
      </c>
      <c r="D2593" s="2" t="str">
        <f t="shared" si="39"/>
        <v>Error?</v>
      </c>
    </row>
    <row r="2594" spans="1:4" x14ac:dyDescent="0.2">
      <c r="A2594" s="5">
        <v>2533</v>
      </c>
      <c r="B2594" s="138">
        <f>'Acct Summary 7-8'!F7</f>
        <v>43705</v>
      </c>
      <c r="C2594" s="2" t="s">
        <v>594</v>
      </c>
      <c r="D2594" s="2" t="str">
        <f t="shared" si="39"/>
        <v>Error?</v>
      </c>
    </row>
    <row r="2595" spans="1:4" x14ac:dyDescent="0.2">
      <c r="A2595" s="5">
        <v>2534</v>
      </c>
      <c r="B2595" s="138">
        <f>'Acct Summary 7-8'!F8</f>
        <v>408797</v>
      </c>
      <c r="C2595" s="2" t="s">
        <v>594</v>
      </c>
      <c r="D2595" s="2" t="str">
        <f t="shared" si="39"/>
        <v>Error?</v>
      </c>
    </row>
    <row r="2596" spans="1:4" x14ac:dyDescent="0.2">
      <c r="A2596" s="5">
        <v>2535</v>
      </c>
      <c r="B2596" s="138">
        <f>'Acct Summary 7-8'!F13</f>
        <v>262791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262791</v>
      </c>
      <c r="C2600" s="2" t="s">
        <v>594</v>
      </c>
      <c r="D2600" s="2" t="str">
        <f t="shared" si="39"/>
        <v>Error?</v>
      </c>
    </row>
    <row r="2601" spans="1:4" x14ac:dyDescent="0.2">
      <c r="A2601" s="5">
        <v>2540</v>
      </c>
      <c r="B2601" s="138">
        <f>'Acct Summary 7-8'!F20</f>
        <v>146006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153450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153450</v>
      </c>
      <c r="C2606" s="2" t="s">
        <v>594</v>
      </c>
      <c r="D2606" s="2" t="str">
        <f t="shared" si="39"/>
        <v>Error?</v>
      </c>
    </row>
    <row r="2607" spans="1:4" x14ac:dyDescent="0.2">
      <c r="A2607" s="5">
        <v>2546</v>
      </c>
      <c r="B2607" s="138">
        <f>'Acct Summary 7-8'!G12</f>
        <v>39245</v>
      </c>
      <c r="C2607" s="2" t="s">
        <v>594</v>
      </c>
      <c r="D2607" s="2" t="str">
        <f t="shared" si="39"/>
        <v>Error?</v>
      </c>
    </row>
    <row r="2608" spans="1:4" x14ac:dyDescent="0.2">
      <c r="A2608" s="5">
        <v>2547</v>
      </c>
      <c r="B2608" s="138">
        <f>'Acct Summary 7-8'!G13</f>
        <v>85684</v>
      </c>
      <c r="C2608" s="2" t="s">
        <v>594</v>
      </c>
      <c r="D2608" s="2" t="str">
        <f t="shared" si="39"/>
        <v>Error?</v>
      </c>
    </row>
    <row r="2609" spans="1:4" x14ac:dyDescent="0.2">
      <c r="A2609" s="5">
        <v>2548</v>
      </c>
      <c r="B2609" s="138">
        <f>'Acct Summary 7-8'!G14</f>
        <v>672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125601</v>
      </c>
      <c r="C2612" s="2" t="s">
        <v>594</v>
      </c>
      <c r="D2612" s="2" t="str">
        <f t="shared" si="39"/>
        <v>Error?</v>
      </c>
    </row>
    <row r="2613" spans="1:4" x14ac:dyDescent="0.2">
      <c r="A2613" s="5">
        <v>2552</v>
      </c>
      <c r="B2613" s="138">
        <f>'Acct Summary 7-8'!G20</f>
        <v>27849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235895</v>
      </c>
      <c r="C2634" s="2" t="s">
        <v>594</v>
      </c>
      <c r="D2634" s="2" t="str">
        <f t="shared" si="40"/>
        <v>Error?</v>
      </c>
    </row>
    <row r="2635" spans="1:4" x14ac:dyDescent="0.2">
      <c r="A2635" s="5">
        <v>2574</v>
      </c>
      <c r="B2635" s="138">
        <f>'Acct Summary 7-8'!E17</f>
        <v>235895</v>
      </c>
      <c r="C2635" s="2" t="s">
        <v>594</v>
      </c>
      <c r="D2635" s="2" t="str">
        <f t="shared" si="40"/>
        <v>Error?</v>
      </c>
    </row>
    <row r="2636" spans="1:4" x14ac:dyDescent="0.2">
      <c r="A2636" s="5">
        <v>2575</v>
      </c>
      <c r="B2636" s="138">
        <f>'Acct Summary 7-8'!E20</f>
        <v>-235895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16</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8124</v>
      </c>
      <c r="D2718" s="2" t="str">
        <f t="shared" si="41"/>
        <v>Error?</v>
      </c>
    </row>
    <row r="2719" spans="1:4" x14ac:dyDescent="0.2">
      <c r="A2719" s="5">
        <v>2658</v>
      </c>
      <c r="B2719" s="138">
        <f>'Expenditures 15-22'!D51</f>
        <v>2095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10219</v>
      </c>
      <c r="C2724" s="2" t="s">
        <v>594</v>
      </c>
      <c r="D2724" s="2" t="str">
        <f t="shared" si="41"/>
        <v>Error?</v>
      </c>
    </row>
    <row r="2725" spans="1:4" x14ac:dyDescent="0.2">
      <c r="A2725" s="5">
        <v>2664</v>
      </c>
      <c r="B2725" s="138">
        <f>'Expenditures 15-22'!D247</f>
        <v>671</v>
      </c>
      <c r="D2725" s="2" t="str">
        <f t="shared" si="41"/>
        <v>Error?</v>
      </c>
    </row>
    <row r="2726" spans="1:4" x14ac:dyDescent="0.2">
      <c r="A2726" s="5">
        <v>2665</v>
      </c>
      <c r="B2726" s="138">
        <f>'Expenditures 15-22'!K247</f>
        <v>671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44676</v>
      </c>
      <c r="C2789" s="2" t="s">
        <v>594</v>
      </c>
      <c r="D2789" s="2" t="str">
        <f t="shared" si="42"/>
        <v>Error?</v>
      </c>
    </row>
    <row r="2790" spans="1:4" x14ac:dyDescent="0.2">
      <c r="A2790" s="5">
        <v>2729</v>
      </c>
      <c r="B2790" s="138">
        <f>'Expenditures 15-22'!E102</f>
        <v>44676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21982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92000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107285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15153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107285</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107285</v>
      </c>
      <c r="C2913" s="2" t="s">
        <v>594</v>
      </c>
      <c r="D2913" s="2" t="str">
        <f t="shared" si="44"/>
        <v>Error?</v>
      </c>
    </row>
    <row r="2914" spans="1:4" x14ac:dyDescent="0.2">
      <c r="A2914" s="5">
        <v>2853</v>
      </c>
      <c r="B2914" s="138">
        <f>'Assets-Liab 5-6'!L33</f>
        <v>15153</v>
      </c>
      <c r="D2914" s="2" t="str">
        <f t="shared" si="44"/>
        <v>Error?</v>
      </c>
    </row>
    <row r="2915" spans="1:4" x14ac:dyDescent="0.2">
      <c r="A2915" s="10">
        <v>2854</v>
      </c>
      <c r="D2915" s="2" t="str">
        <f t="shared" si="44"/>
        <v>OK</v>
      </c>
    </row>
    <row r="2916" spans="1:4" x14ac:dyDescent="0.2">
      <c r="A2916" s="5">
        <v>2855</v>
      </c>
      <c r="B2916" s="138">
        <f>'Assets-Liab 5-6'!L34</f>
        <v>15153</v>
      </c>
      <c r="C2916" s="2" t="s">
        <v>594</v>
      </c>
      <c r="D2916" s="2" t="str">
        <f t="shared" si="44"/>
        <v>Error?</v>
      </c>
    </row>
    <row r="2917" spans="1:4" x14ac:dyDescent="0.2">
      <c r="A2917" s="5">
        <v>2856</v>
      </c>
      <c r="B2917" s="138">
        <f>'Assets-Liab 5-6'!L41</f>
        <v>15153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44676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586346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10336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631022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10336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1365000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28520</v>
      </c>
      <c r="C3225" s="2" t="s">
        <v>594</v>
      </c>
      <c r="D3225" s="2" t="str">
        <f t="shared" si="49"/>
        <v>Error?</v>
      </c>
    </row>
    <row r="3226" spans="1:4" x14ac:dyDescent="0.2">
      <c r="A3226" s="5">
        <v>3165</v>
      </c>
      <c r="B3226" s="138">
        <f>'Acct Summary 7-8'!I8</f>
        <v>28520</v>
      </c>
      <c r="C3226" s="2" t="s">
        <v>594</v>
      </c>
      <c r="D3226" s="2" t="str">
        <f t="shared" si="49"/>
        <v>Error?</v>
      </c>
    </row>
    <row r="3227" spans="1:4" x14ac:dyDescent="0.2">
      <c r="A3227" s="5">
        <v>3166</v>
      </c>
      <c r="B3227" s="138">
        <f>'Acct Summary 7-8'!I20</f>
        <v>28520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30000</v>
      </c>
      <c r="C3231" s="2" t="s">
        <v>594</v>
      </c>
      <c r="D3231" s="2" t="str">
        <f t="shared" si="49"/>
        <v>Error?</v>
      </c>
    </row>
    <row r="3232" spans="1:4" x14ac:dyDescent="0.2">
      <c r="A3232" s="5">
        <v>3171</v>
      </c>
      <c r="B3232" s="138">
        <f>'Acct Summary 7-8'!C77</f>
        <v>-30000</v>
      </c>
      <c r="C3232" s="2" t="s">
        <v>594</v>
      </c>
      <c r="D3232" s="2" t="str">
        <f t="shared" si="49"/>
        <v>Error?</v>
      </c>
    </row>
    <row r="3233" spans="1:4" x14ac:dyDescent="0.2">
      <c r="A3233" s="5">
        <v>3172</v>
      </c>
      <c r="B3233" s="138">
        <f>'Acct Summary 7-8'!C78</f>
        <v>261822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140109</v>
      </c>
      <c r="C3237" s="2" t="s">
        <v>594</v>
      </c>
      <c r="D3237" s="2" t="str">
        <f t="shared" si="49"/>
        <v>Error?</v>
      </c>
    </row>
    <row r="3238" spans="1:4" x14ac:dyDescent="0.2">
      <c r="A3238" s="5">
        <v>3177</v>
      </c>
      <c r="B3238" s="138">
        <f>'Acct Summary 7-8'!D77</f>
        <v>-90109</v>
      </c>
      <c r="C3238" s="2" t="s">
        <v>594</v>
      </c>
      <c r="D3238" s="2" t="str">
        <f t="shared" si="49"/>
        <v>Error?</v>
      </c>
    </row>
    <row r="3239" spans="1:4" x14ac:dyDescent="0.2">
      <c r="A3239" s="5">
        <v>3178</v>
      </c>
      <c r="B3239" s="138">
        <f>'Acct Summary 7-8'!D78</f>
        <v>-42938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20000</v>
      </c>
      <c r="C3254" s="2" t="s">
        <v>594</v>
      </c>
      <c r="D3254" s="2" t="str">
        <f t="shared" si="49"/>
        <v>Error?</v>
      </c>
    </row>
    <row r="3255" spans="1:4" x14ac:dyDescent="0.2">
      <c r="A3255" s="5">
        <v>3194</v>
      </c>
      <c r="B3255" s="138">
        <f>'Acct Summary 7-8'!F77</f>
        <v>-20000</v>
      </c>
      <c r="C3255" s="2" t="s">
        <v>594</v>
      </c>
      <c r="D3255" s="2" t="str">
        <f t="shared" si="49"/>
        <v>Error?</v>
      </c>
    </row>
    <row r="3256" spans="1:4" x14ac:dyDescent="0.2">
      <c r="A3256" s="5">
        <v>3195</v>
      </c>
      <c r="B3256" s="138">
        <f>'Acct Summary 7-8'!F78</f>
        <v>126006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27849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1556593</v>
      </c>
      <c r="C3274" s="2" t="s">
        <v>594</v>
      </c>
      <c r="D3274" s="2" t="str">
        <f t="shared" si="50"/>
        <v>Error?</v>
      </c>
    </row>
    <row r="3275" spans="1:4" x14ac:dyDescent="0.2">
      <c r="A3275" s="5">
        <v>3214</v>
      </c>
      <c r="B3275" s="138">
        <f>'Acct Summary 7-8'!E75</f>
        <v>1325000</v>
      </c>
      <c r="D3275" s="2" t="str">
        <f t="shared" si="50"/>
        <v>Error?</v>
      </c>
    </row>
    <row r="3276" spans="1:4" x14ac:dyDescent="0.2">
      <c r="A3276" s="5">
        <v>3215</v>
      </c>
      <c r="B3276" s="138">
        <f>'Acct Summary 7-8'!E76</f>
        <v>1325000</v>
      </c>
      <c r="C3276" s="2" t="s">
        <v>594</v>
      </c>
      <c r="D3276" s="2" t="str">
        <f t="shared" si="50"/>
        <v>Error?</v>
      </c>
    </row>
    <row r="3277" spans="1:4" x14ac:dyDescent="0.2">
      <c r="A3277" s="5">
        <v>3216</v>
      </c>
      <c r="B3277" s="138">
        <f>'Acct Summary 7-8'!E77</f>
        <v>231593</v>
      </c>
      <c r="C3277" s="2" t="s">
        <v>594</v>
      </c>
      <c r="D3277" s="2" t="str">
        <f t="shared" si="50"/>
        <v>Error?</v>
      </c>
    </row>
    <row r="3278" spans="1:4" x14ac:dyDescent="0.2">
      <c r="A3278" s="5">
        <v>3217</v>
      </c>
      <c r="B3278" s="138">
        <f>'Acct Summary 7-8'!E78</f>
        <v>-4302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28520</v>
      </c>
      <c r="C3320" s="2" t="s">
        <v>594</v>
      </c>
      <c r="D3320" s="2" t="str">
        <f t="shared" si="50"/>
        <v>Error?</v>
      </c>
    </row>
    <row r="3321" spans="1:4" x14ac:dyDescent="0.2">
      <c r="A3321" s="5">
        <v>3260</v>
      </c>
      <c r="B3321" s="138">
        <f>'Acct Summary 7-8'!I79</f>
        <v>78765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107285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158214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16857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175078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28355</v>
      </c>
      <c r="D3387" s="2" t="str">
        <f t="shared" si="51"/>
        <v>Error?</v>
      </c>
    </row>
    <row r="3388" spans="1:4" x14ac:dyDescent="0.2">
      <c r="A3388" s="5">
        <v>3327</v>
      </c>
      <c r="B3388" s="138">
        <f>'Expenditures 15-22'!D217</f>
        <v>2361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28355</v>
      </c>
      <c r="C3390" s="2" t="s">
        <v>594</v>
      </c>
      <c r="D3390" s="2" t="str">
        <f t="shared" si="51"/>
        <v>Error?</v>
      </c>
    </row>
    <row r="3391" spans="1:4" x14ac:dyDescent="0.2">
      <c r="A3391" s="5">
        <v>3330</v>
      </c>
      <c r="B3391" s="138">
        <f>'Expenditures 15-22'!K217</f>
        <v>2361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1732066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151071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65171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313929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24252</v>
      </c>
      <c r="D3425" s="2" t="str">
        <f t="shared" si="52"/>
        <v>Error?</v>
      </c>
    </row>
    <row r="3426" spans="1:4" x14ac:dyDescent="0.2">
      <c r="A3426" s="10">
        <v>3365</v>
      </c>
      <c r="D3426" s="2" t="str">
        <f t="shared" si="52"/>
        <v>OK</v>
      </c>
    </row>
    <row r="3427" spans="1:4" x14ac:dyDescent="0.2">
      <c r="A3427" s="5">
        <v>3366</v>
      </c>
      <c r="B3427" s="138">
        <f>'Assets-Liab 5-6'!I4</f>
        <v>15285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15153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78281</v>
      </c>
      <c r="C3446" s="2" t="s">
        <v>594</v>
      </c>
      <c r="D3446" s="2" t="str">
        <f t="shared" si="52"/>
        <v>Error?</v>
      </c>
    </row>
    <row r="3447" spans="1:4" x14ac:dyDescent="0.2">
      <c r="A3447" s="5">
        <v>3386</v>
      </c>
      <c r="B3447" s="138">
        <f>'Tax Sched 23'!D16</f>
        <v>37706</v>
      </c>
      <c r="C3447" s="2" t="s">
        <v>594</v>
      </c>
      <c r="D3447" s="2" t="str">
        <f t="shared" si="52"/>
        <v>Error?</v>
      </c>
    </row>
    <row r="3448" spans="1:4" x14ac:dyDescent="0.2">
      <c r="A3448" s="5">
        <v>3387</v>
      </c>
      <c r="B3448" s="138">
        <f>'Tax Sched 23'!C16</f>
        <v>40575</v>
      </c>
      <c r="D3448" s="2" t="str">
        <f t="shared" si="52"/>
        <v>Error?</v>
      </c>
    </row>
    <row r="3449" spans="1:4" x14ac:dyDescent="0.2">
      <c r="A3449" s="5">
        <v>3388</v>
      </c>
      <c r="B3449" s="138">
        <f>'Tax Sched 23'!F16</f>
        <v>39993</v>
      </c>
      <c r="C3449" s="2" t="s">
        <v>594</v>
      </c>
      <c r="D3449" s="2" t="str">
        <f t="shared" si="52"/>
        <v>Error?</v>
      </c>
    </row>
    <row r="3450" spans="1:4" x14ac:dyDescent="0.2">
      <c r="A3450" s="5">
        <v>3389</v>
      </c>
      <c r="B3450" s="138">
        <f>'Tax Sched 23'!E16</f>
        <v>80568</v>
      </c>
      <c r="D3450" s="2" t="str">
        <f t="shared" si="52"/>
        <v>Error?</v>
      </c>
    </row>
    <row r="3451" spans="1:4" x14ac:dyDescent="0.2">
      <c r="A3451" s="5">
        <v>3390</v>
      </c>
      <c r="B3451" s="138">
        <f>'Cap Outlay Deprec 26'!C15</f>
        <v>7000</v>
      </c>
      <c r="D3451" s="2" t="str">
        <f t="shared" si="52"/>
        <v>Error?</v>
      </c>
    </row>
    <row r="3452" spans="1:4" x14ac:dyDescent="0.2">
      <c r="A3452" s="5">
        <v>3391</v>
      </c>
      <c r="B3452" s="138">
        <f>'Cap Outlay Deprec 26'!D15</f>
        <v>25250</v>
      </c>
      <c r="D3452" s="2" t="str">
        <f t="shared" si="52"/>
        <v>Error?</v>
      </c>
    </row>
    <row r="3453" spans="1:4" x14ac:dyDescent="0.2">
      <c r="A3453" s="5">
        <v>3392</v>
      </c>
      <c r="B3453" s="138">
        <f>'Cap Outlay Deprec 26'!E15</f>
        <v>10268</v>
      </c>
      <c r="D3453" s="2" t="str">
        <f t="shared" si="52"/>
        <v>Error?</v>
      </c>
    </row>
    <row r="3454" spans="1:4" x14ac:dyDescent="0.2">
      <c r="A3454" s="5">
        <v>3393</v>
      </c>
      <c r="B3454" s="138">
        <f>'Cap Outlay Deprec 26'!F15</f>
        <v>21982</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21982</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28741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52097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80838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80838</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80838</v>
      </c>
      <c r="C3568" s="2" t="s">
        <v>594</v>
      </c>
      <c r="D3568" s="2" t="str">
        <f t="shared" si="54"/>
        <v>Error?</v>
      </c>
    </row>
    <row r="3569" spans="1:4" x14ac:dyDescent="0.2">
      <c r="A3569" s="5">
        <v>3508</v>
      </c>
      <c r="B3569" s="138">
        <f>'Acct Summary 7-8'!K4</f>
        <v>55961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55961</v>
      </c>
      <c r="C3571" s="2" t="s">
        <v>594</v>
      </c>
      <c r="D3571" s="2" t="str">
        <f t="shared" si="54"/>
        <v>Error?</v>
      </c>
    </row>
    <row r="3572" spans="1:4" x14ac:dyDescent="0.2">
      <c r="A3572" s="5">
        <v>3511</v>
      </c>
      <c r="B3572" s="138">
        <f>'Acct Summary 7-8'!K13</f>
        <v>1264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1264</v>
      </c>
      <c r="C3575" s="2" t="s">
        <v>594</v>
      </c>
      <c r="D3575" s="2" t="str">
        <f t="shared" si="54"/>
        <v>Error?</v>
      </c>
    </row>
    <row r="3576" spans="1:4" x14ac:dyDescent="0.2">
      <c r="A3576" s="5">
        <v>3515</v>
      </c>
      <c r="B3576" s="138">
        <f>'Acct Summary 7-8'!K20</f>
        <v>54697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32220</v>
      </c>
      <c r="C3586" s="2" t="s">
        <v>594</v>
      </c>
      <c r="D3586" s="2" t="str">
        <f t="shared" si="55"/>
        <v>Error?</v>
      </c>
    </row>
    <row r="3587" spans="1:4" x14ac:dyDescent="0.2">
      <c r="A3587" s="5">
        <v>3526</v>
      </c>
      <c r="B3587" s="138">
        <f>'Acct Summary 7-8'!K77</f>
        <v>-32220</v>
      </c>
      <c r="C3587" s="2" t="s">
        <v>594</v>
      </c>
      <c r="D3587" s="2" t="str">
        <f t="shared" si="55"/>
        <v>Error?</v>
      </c>
    </row>
    <row r="3588" spans="1:4" x14ac:dyDescent="0.2">
      <c r="A3588" s="5">
        <v>3527</v>
      </c>
      <c r="B3588" s="138">
        <f>'Acct Summary 7-8'!K78</f>
        <v>22477</v>
      </c>
      <c r="C3588" s="2" t="s">
        <v>594</v>
      </c>
      <c r="D3588" s="2" t="str">
        <f t="shared" si="55"/>
        <v>Error?</v>
      </c>
    </row>
    <row r="3589" spans="1:4" x14ac:dyDescent="0.2">
      <c r="A3589" s="5">
        <v>3528</v>
      </c>
      <c r="B3589" s="138">
        <f>'Acct Summary 7-8'!K79</f>
        <v>58361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80838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125</v>
      </c>
      <c r="D3632" s="2" t="str">
        <f t="shared" si="55"/>
        <v>Error?</v>
      </c>
    </row>
    <row r="3633" spans="1:4" x14ac:dyDescent="0.2">
      <c r="A3633" s="5">
        <v>3572</v>
      </c>
      <c r="B3633" s="138">
        <f>'Expenditures 15-22'!E350</f>
        <v>125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125</v>
      </c>
      <c r="C3635" s="2" t="s">
        <v>594</v>
      </c>
      <c r="D3635" s="2" t="str">
        <f t="shared" si="55"/>
        <v>Error?</v>
      </c>
    </row>
    <row r="3636" spans="1:4" x14ac:dyDescent="0.2">
      <c r="A3636" s="5">
        <v>3575</v>
      </c>
      <c r="B3636" s="138">
        <f>'Expenditures 15-22'!E367</f>
        <v>125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1139</v>
      </c>
      <c r="D3639" s="2" t="str">
        <f t="shared" si="55"/>
        <v>Error?</v>
      </c>
    </row>
    <row r="3640" spans="1:4" x14ac:dyDescent="0.2">
      <c r="A3640" s="5">
        <v>3579</v>
      </c>
      <c r="B3640" s="138">
        <f>'Expenditures 15-22'!F350</f>
        <v>1139</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1139</v>
      </c>
      <c r="C3642" s="2" t="s">
        <v>594</v>
      </c>
      <c r="D3642" s="2" t="str">
        <f t="shared" si="55"/>
        <v>Error?</v>
      </c>
    </row>
    <row r="3643" spans="1:4" x14ac:dyDescent="0.2">
      <c r="A3643" s="5">
        <v>3582</v>
      </c>
      <c r="B3643" s="138">
        <f>'Expenditures 15-22'!F367</f>
        <v>1139</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1264</v>
      </c>
      <c r="C3669" s="2" t="s">
        <v>594</v>
      </c>
      <c r="D3669" s="2" t="str">
        <f t="shared" si="56"/>
        <v>Error?</v>
      </c>
    </row>
    <row r="3670" spans="1:4" x14ac:dyDescent="0.2">
      <c r="A3670" s="5">
        <v>3609</v>
      </c>
      <c r="B3670" s="138">
        <f>'Expenditures 15-22'!K350</f>
        <v>1264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1264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1264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54697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32220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32220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1148245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5796243</v>
      </c>
      <c r="C4122" s="2" t="s">
        <v>594</v>
      </c>
      <c r="D4122" s="2" t="str">
        <f t="shared" si="63"/>
        <v>Error?</v>
      </c>
    </row>
    <row r="4123" spans="1:4" x14ac:dyDescent="0.2">
      <c r="A4123" s="5">
        <v>4062</v>
      </c>
      <c r="B4123" s="138">
        <f>'Acct Summary 7-8'!D10</f>
        <v>430089</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408797</v>
      </c>
      <c r="C4125" s="2" t="s">
        <v>594</v>
      </c>
      <c r="D4125" s="2" t="str">
        <f t="shared" si="63"/>
        <v>Error?</v>
      </c>
    </row>
    <row r="4126" spans="1:4" x14ac:dyDescent="0.2">
      <c r="A4126" s="5">
        <v>4065</v>
      </c>
      <c r="B4126" s="138">
        <f>'Acct Summary 7-8'!G10</f>
        <v>153450</v>
      </c>
      <c r="C4126" s="2" t="s">
        <v>594</v>
      </c>
      <c r="D4126" s="2" t="str">
        <f t="shared" si="63"/>
        <v>Error?</v>
      </c>
    </row>
    <row r="4127" spans="1:4" x14ac:dyDescent="0.2">
      <c r="A4127" s="5">
        <v>4066</v>
      </c>
      <c r="B4127" s="138">
        <f>'Acct Summary 7-8'!H10</f>
        <v>16</v>
      </c>
      <c r="C4127" s="2" t="s">
        <v>594</v>
      </c>
      <c r="D4127" s="2" t="str">
        <f t="shared" si="63"/>
        <v>Error?</v>
      </c>
    </row>
    <row r="4128" spans="1:4" x14ac:dyDescent="0.2">
      <c r="A4128" s="5">
        <v>4067</v>
      </c>
      <c r="B4128" s="138">
        <f>'Acct Summary 7-8'!I10</f>
        <v>28520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55961</v>
      </c>
      <c r="C4130" s="2" t="s">
        <v>594</v>
      </c>
      <c r="D4130" s="2" t="str">
        <f t="shared" si="63"/>
        <v>Error?</v>
      </c>
    </row>
    <row r="4131" spans="1:4" x14ac:dyDescent="0.2">
      <c r="A4131" s="5">
        <v>4070</v>
      </c>
      <c r="B4131" s="138">
        <f>'Acct Summary 7-8'!C18</f>
        <v>1148245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5504421</v>
      </c>
      <c r="C4136" s="2" t="s">
        <v>594</v>
      </c>
      <c r="D4136" s="2" t="str">
        <f t="shared" si="63"/>
        <v>Error?</v>
      </c>
    </row>
    <row r="4137" spans="1:4" x14ac:dyDescent="0.2">
      <c r="A4137" s="5">
        <v>4076</v>
      </c>
      <c r="B4137" s="138">
        <f>'Acct Summary 7-8'!D19</f>
        <v>382918</v>
      </c>
      <c r="C4137" s="2" t="s">
        <v>594</v>
      </c>
      <c r="D4137" s="2" t="str">
        <f t="shared" si="63"/>
        <v>Error?</v>
      </c>
    </row>
    <row r="4138" spans="1:4" x14ac:dyDescent="0.2">
      <c r="A4138" s="5">
        <v>4077</v>
      </c>
      <c r="B4138" s="138">
        <f>'Acct Summary 7-8'!E19</f>
        <v>235895</v>
      </c>
      <c r="C4138" s="2" t="s">
        <v>594</v>
      </c>
      <c r="D4138" s="2" t="str">
        <f t="shared" si="63"/>
        <v>Error?</v>
      </c>
    </row>
    <row r="4139" spans="1:4" x14ac:dyDescent="0.2">
      <c r="A4139" s="5">
        <v>4078</v>
      </c>
      <c r="B4139" s="138">
        <f>'Acct Summary 7-8'!F19</f>
        <v>262791</v>
      </c>
      <c r="C4139" s="2" t="s">
        <v>594</v>
      </c>
      <c r="D4139" s="2" t="str">
        <f t="shared" si="63"/>
        <v>Error?</v>
      </c>
    </row>
    <row r="4140" spans="1:4" x14ac:dyDescent="0.2">
      <c r="A4140" s="5">
        <v>4079</v>
      </c>
      <c r="B4140" s="138">
        <f>'Acct Summary 7-8'!G19</f>
        <v>125601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1264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1485000</v>
      </c>
      <c r="C4171" s="2" t="s">
        <v>594</v>
      </c>
      <c r="D4171" s="2" t="str">
        <f t="shared" si="64"/>
        <v>Error?</v>
      </c>
    </row>
    <row r="4172" spans="1:4" x14ac:dyDescent="0.2">
      <c r="A4172" s="5">
        <v>4111</v>
      </c>
      <c r="B4172" s="138">
        <f>'Short-Term Long-Term Debt 24'!J49</f>
        <v>1485000</v>
      </c>
      <c r="C4172" s="2" t="s">
        <v>594</v>
      </c>
      <c r="D4172" s="2" t="str">
        <f t="shared" si="64"/>
        <v>Error?</v>
      </c>
    </row>
    <row r="4173" spans="1:4" x14ac:dyDescent="0.2">
      <c r="A4173" s="5">
        <v>4112</v>
      </c>
      <c r="B4173" s="138">
        <f>'Short-Term Long-Term Debt 24'!H49</f>
        <v>120000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-1325000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3157.1000000000004</v>
      </c>
      <c r="C4265" s="2" t="s">
        <v>594</v>
      </c>
      <c r="D4265" s="2" t="str">
        <f t="shared" si="65"/>
        <v>Error?</v>
      </c>
      <c r="E4265" s="128"/>
    </row>
    <row r="4266" spans="1:5" x14ac:dyDescent="0.2">
      <c r="A4266" s="12">
        <v>4205</v>
      </c>
      <c r="B4266" s="138">
        <f>('FP Info 3'!F10)*100000</f>
        <v>485.20000000000005</v>
      </c>
      <c r="C4266" s="2" t="s">
        <v>594</v>
      </c>
      <c r="D4266" s="2" t="str">
        <f t="shared" si="65"/>
        <v>Error?</v>
      </c>
      <c r="E4266" s="128"/>
    </row>
    <row r="4267" spans="1:5" x14ac:dyDescent="0.2">
      <c r="A4267" s="12">
        <v>4206</v>
      </c>
      <c r="B4267" s="138">
        <f>('FP Info 3'!H10)*100000</f>
        <v>302.3</v>
      </c>
      <c r="C4267" s="2" t="s">
        <v>594</v>
      </c>
      <c r="D4267" s="2" t="str">
        <f t="shared" si="65"/>
        <v>Error?</v>
      </c>
      <c r="E4267" s="128"/>
    </row>
    <row r="4268" spans="1:5" x14ac:dyDescent="0.2">
      <c r="A4268" s="12">
        <v>4207</v>
      </c>
      <c r="B4268" s="138">
        <f>('FP Info 3'!J10)*100000</f>
        <v>3945</v>
      </c>
      <c r="C4268" s="2" t="s">
        <v>594</v>
      </c>
      <c r="D4268" s="2" t="str">
        <f t="shared" si="65"/>
        <v>Error?</v>
      </c>
    </row>
    <row r="4269" spans="1:5" x14ac:dyDescent="0.2">
      <c r="A4269" s="12">
        <v>4208</v>
      </c>
      <c r="B4269" s="138">
        <f>'FP Info 3'!J16</f>
        <v>2928216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5655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43705</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36795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18154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371135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4560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64661165</v>
      </c>
      <c r="D4995" s="2" t="str">
        <f t="shared" si="77"/>
        <v>Error?</v>
      </c>
    </row>
    <row r="4996" spans="1:4" x14ac:dyDescent="0.2">
      <c r="A4996" s="12">
        <v>4935</v>
      </c>
      <c r="B4996" s="138">
        <f>'FP Info 3'!H31</f>
        <v>4461620.3850000007</v>
      </c>
      <c r="D4996" s="2" t="str">
        <f t="shared" si="77"/>
        <v>Error?</v>
      </c>
    </row>
    <row r="4997" spans="1:4" x14ac:dyDescent="0.2">
      <c r="A4997" s="12">
        <v>4936</v>
      </c>
      <c r="B4997" s="138">
        <f>'FP Info 3'!H37</f>
        <v>1485000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50000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30000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20000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1977643</v>
      </c>
      <c r="D5061" s="2" t="str">
        <f t="shared" si="78"/>
        <v>Error?</v>
      </c>
    </row>
    <row r="5062" spans="1:4" x14ac:dyDescent="0.2">
      <c r="A5062" s="10">
        <v>5001</v>
      </c>
      <c r="D5062" s="2" t="str">
        <f t="shared" si="78"/>
        <v>OK</v>
      </c>
    </row>
    <row r="5063" spans="1:4" x14ac:dyDescent="0.2">
      <c r="A5063" s="5">
        <v>5002</v>
      </c>
      <c r="B5063" s="138">
        <f>'Revenues 9-14'!C7</f>
        <v>223604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2201247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15055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15055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13038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13038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1088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17343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13969</v>
      </c>
      <c r="D5119" s="2" t="str">
        <f t="shared" ref="D5119:D5182" si="79">IF(ISBLANK(B5119),"OK",IF(A5119-B5119=0,"OK","Error?"))</f>
        <v>Error?</v>
      </c>
    </row>
    <row r="5120" spans="1:4" x14ac:dyDescent="0.2">
      <c r="A5120" s="5">
        <v>5059</v>
      </c>
      <c r="B5120" s="138">
        <f>'Revenues 9-14'!C108</f>
        <v>32400</v>
      </c>
      <c r="C5120" s="2" t="s">
        <v>594</v>
      </c>
      <c r="D5120" s="2" t="str">
        <f t="shared" si="79"/>
        <v>Error?</v>
      </c>
    </row>
    <row r="5121" spans="1:4" x14ac:dyDescent="0.2">
      <c r="A5121" s="5">
        <v>5060</v>
      </c>
      <c r="B5121" s="138">
        <f>'Revenues 9-14'!C109</f>
        <v>2261740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1293143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1293143</v>
      </c>
      <c r="C5132" s="2" t="s">
        <v>594</v>
      </c>
      <c r="D5132" s="2" t="str">
        <f t="shared" si="79"/>
        <v>Error?</v>
      </c>
    </row>
    <row r="5133" spans="1:4" x14ac:dyDescent="0.2">
      <c r="A5133" s="5">
        <v>5072</v>
      </c>
      <c r="B5133" s="138">
        <f>'Revenues 9-14'!C124</f>
        <v>62182</v>
      </c>
      <c r="D5133" s="2" t="str">
        <f t="shared" si="79"/>
        <v>Error?</v>
      </c>
    </row>
    <row r="5134" spans="1:4" x14ac:dyDescent="0.2">
      <c r="A5134" s="5">
        <v>5073</v>
      </c>
      <c r="B5134" s="138">
        <f>'Revenues 9-14'!C125</f>
        <v>22292</v>
      </c>
      <c r="D5134" s="2" t="str">
        <f t="shared" si="79"/>
        <v>Error?</v>
      </c>
    </row>
    <row r="5135" spans="1:4" x14ac:dyDescent="0.2">
      <c r="A5135" s="5">
        <v>5074</v>
      </c>
      <c r="B5135" s="138">
        <f>'Revenues 9-14'!C126</f>
        <v>22937</v>
      </c>
      <c r="D5135" s="2" t="str">
        <f t="shared" si="79"/>
        <v>Error?</v>
      </c>
    </row>
    <row r="5136" spans="1:4" x14ac:dyDescent="0.2">
      <c r="A5136" s="10">
        <v>5075</v>
      </c>
      <c r="D5136" s="2" t="str">
        <f t="shared" si="79"/>
        <v>OK</v>
      </c>
    </row>
    <row r="5137" spans="1:4" x14ac:dyDescent="0.2">
      <c r="A5137" s="5">
        <v>5076</v>
      </c>
      <c r="B5137" s="138">
        <f>'Revenues 9-14'!C127</f>
        <v>87728</v>
      </c>
      <c r="D5137" s="2" t="str">
        <f t="shared" si="79"/>
        <v>Error?</v>
      </c>
    </row>
    <row r="5138" spans="1:4" x14ac:dyDescent="0.2">
      <c r="A5138" s="10">
        <v>5077</v>
      </c>
      <c r="D5138" s="2" t="str">
        <f t="shared" si="79"/>
        <v>OK</v>
      </c>
    </row>
    <row r="5139" spans="1:4" x14ac:dyDescent="0.2">
      <c r="A5139" s="5">
        <v>5078</v>
      </c>
      <c r="B5139" s="138">
        <f>'Revenues 9-14'!C128</f>
        <v>9372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6784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211295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15409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15409</v>
      </c>
      <c r="C5165" s="2" t="s">
        <v>594</v>
      </c>
      <c r="D5165" s="2" t="str">
        <f t="shared" si="79"/>
        <v>Error?</v>
      </c>
    </row>
    <row r="5166" spans="1:4" x14ac:dyDescent="0.2">
      <c r="A5166" s="10">
        <v>5105</v>
      </c>
      <c r="D5166" s="2" t="str">
        <f t="shared" si="79"/>
        <v>OK</v>
      </c>
    </row>
    <row r="5167" spans="1:4" x14ac:dyDescent="0.2">
      <c r="A5167" s="5">
        <v>5106</v>
      </c>
      <c r="B5167" s="138">
        <f>'Revenues 9-14'!C145</f>
        <v>2487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129174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729500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2022643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139252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33723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172975</v>
      </c>
      <c r="C5246" s="2" t="s">
        <v>594</v>
      </c>
      <c r="D5246" s="2" t="str">
        <f t="shared" si="80"/>
        <v>Error?</v>
      </c>
    </row>
    <row r="5247" spans="1:4" x14ac:dyDescent="0.2">
      <c r="A5247" s="5">
        <v>5186</v>
      </c>
      <c r="B5247" s="138">
        <f>'Revenues 9-14'!C203</f>
        <v>49018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49018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66458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66458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363615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363615</v>
      </c>
      <c r="C5326" s="2" t="s">
        <v>594</v>
      </c>
      <c r="D5326" s="2" t="str">
        <f t="shared" si="82"/>
        <v>Error?</v>
      </c>
    </row>
    <row r="5327" spans="1:4" x14ac:dyDescent="0.2">
      <c r="A5327" s="5">
        <v>5266</v>
      </c>
      <c r="B5327" s="138">
        <f>'Revenues 9-14'!C275</f>
        <v>4647998</v>
      </c>
      <c r="C5327" s="2" t="s">
        <v>594</v>
      </c>
      <c r="D5327" s="2" t="str">
        <f t="shared" si="82"/>
        <v>Error?</v>
      </c>
    </row>
    <row r="5328" spans="1:4" x14ac:dyDescent="0.2">
      <c r="A5328" s="5">
        <v>5267</v>
      </c>
      <c r="B5328" s="138">
        <f>'Revenues 9-14'!D5</f>
        <v>304839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304839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250</v>
      </c>
      <c r="C5355" s="2" t="s">
        <v>594</v>
      </c>
      <c r="D5355" s="2" t="str">
        <f t="shared" si="82"/>
        <v>Error?</v>
      </c>
    </row>
    <row r="5356" spans="1:4" x14ac:dyDescent="0.2">
      <c r="A5356" s="5">
        <v>5295</v>
      </c>
      <c r="B5356" s="138">
        <f>'Revenues 9-14'!D109</f>
        <v>305089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125000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125000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125000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430089</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189911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189911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189911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175181</v>
      </c>
      <c r="D5617" s="2" t="str">
        <f t="shared" si="86"/>
        <v>Error?</v>
      </c>
    </row>
    <row r="5618" spans="1:4" x14ac:dyDescent="0.2">
      <c r="A5618" s="5">
        <v>5557</v>
      </c>
      <c r="B5618" s="138">
        <f>'Revenues 9-14'!F154</f>
        <v>175181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175181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175181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43705</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43705</v>
      </c>
      <c r="C5719" s="2" t="s">
        <v>594</v>
      </c>
      <c r="D5719" s="2" t="str">
        <f t="shared" si="88"/>
        <v>Error?</v>
      </c>
    </row>
    <row r="5720" spans="1:4" x14ac:dyDescent="0.2">
      <c r="A5720" s="5">
        <v>5659</v>
      </c>
      <c r="B5720" s="138">
        <f>'Revenues 9-14'!F275</f>
        <v>408797</v>
      </c>
      <c r="C5720" s="2" t="s">
        <v>594</v>
      </c>
      <c r="D5720" s="2" t="str">
        <f t="shared" si="88"/>
        <v>Error?</v>
      </c>
    </row>
    <row r="5721" spans="1:4" x14ac:dyDescent="0.2">
      <c r="A5721" s="5">
        <v>5660</v>
      </c>
      <c r="B5721" s="138">
        <f>'Revenues 9-14'!G5</f>
        <v>71169</v>
      </c>
      <c r="D5721" s="2" t="str">
        <f t="shared" si="88"/>
        <v>Error?</v>
      </c>
    </row>
    <row r="5722" spans="1:4" x14ac:dyDescent="0.2">
      <c r="A5722" s="5">
        <v>5661</v>
      </c>
      <c r="B5722" s="138">
        <f>'Revenues 9-14'!G7</f>
        <v>0</v>
      </c>
      <c r="D5722" s="2" t="str">
        <f t="shared" si="88"/>
        <v>Error?</v>
      </c>
    </row>
    <row r="5723" spans="1:4" x14ac:dyDescent="0.2">
      <c r="A5723" s="5">
        <v>5662</v>
      </c>
      <c r="B5723" s="138">
        <f>'Revenues 9-14'!G8</f>
        <v>78281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149450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153450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16</v>
      </c>
      <c r="C5915" s="2" t="s">
        <v>594</v>
      </c>
      <c r="D5915" s="2" t="str">
        <f t="shared" si="91"/>
        <v>Error?</v>
      </c>
    </row>
    <row r="5916" spans="1:4" x14ac:dyDescent="0.2">
      <c r="A5916" s="5">
        <v>5855</v>
      </c>
      <c r="B5916" s="138">
        <f>'Revenues 9-14'!I5</f>
        <v>28520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28520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28520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55961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55961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55961</v>
      </c>
      <c r="C6023" s="2" t="s">
        <v>594</v>
      </c>
      <c r="D6023" s="2" t="str">
        <f t="shared" si="93"/>
        <v>Error?</v>
      </c>
    </row>
    <row r="6024" spans="1:5" x14ac:dyDescent="0.2">
      <c r="A6024" s="5">
        <v>5963</v>
      </c>
      <c r="B6024" s="138">
        <f>'Revenues 9-14'!G109</f>
        <v>153450</v>
      </c>
      <c r="C6024" s="2" t="s">
        <v>594</v>
      </c>
      <c r="D6024" s="2" t="str">
        <f t="shared" si="93"/>
        <v>Error?</v>
      </c>
    </row>
    <row r="6025" spans="1:5" x14ac:dyDescent="0.2">
      <c r="A6025" s="5">
        <v>5964</v>
      </c>
      <c r="B6025" s="138">
        <f>'Revenues 9-14'!H109</f>
        <v>16</v>
      </c>
      <c r="C6025" s="2" t="s">
        <v>594</v>
      </c>
      <c r="D6025" s="2" t="str">
        <f t="shared" si="93"/>
        <v>Error?</v>
      </c>
    </row>
    <row r="6026" spans="1:5" x14ac:dyDescent="0.2">
      <c r="A6026" s="5">
        <v>5965</v>
      </c>
      <c r="B6026" s="138">
        <f>'Revenues 9-14'!I109</f>
        <v>28520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55961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280.63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117479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374</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71</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71</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117408</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117479</v>
      </c>
      <c r="D6216" s="2" t="str">
        <f t="shared" si="96"/>
        <v>Error?</v>
      </c>
      <c r="E6216" s="2" t="s">
        <v>199</v>
      </c>
    </row>
    <row r="6217" spans="1:5" x14ac:dyDescent="0.2">
      <c r="A6217">
        <v>6156</v>
      </c>
      <c r="B6217" s="138">
        <f>'Assets-Liab 5-6'!J4</f>
        <v>92479</v>
      </c>
      <c r="D6217" s="2" t="str">
        <f t="shared" si="96"/>
        <v>Error?</v>
      </c>
      <c r="E6217" s="2" t="s">
        <v>199</v>
      </c>
    </row>
    <row r="6218" spans="1:5" x14ac:dyDescent="0.2">
      <c r="A6218">
        <v>6157</v>
      </c>
      <c r="B6218" s="138">
        <f>'Assets-Liab 5-6'!J5</f>
        <v>25000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121948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121948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121948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83425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83425</v>
      </c>
      <c r="D6229" s="2" t="str">
        <f t="shared" si="96"/>
        <v>Error?</v>
      </c>
      <c r="E6229" s="2" t="s">
        <v>199</v>
      </c>
    </row>
    <row r="6230" spans="1:5" x14ac:dyDescent="0.2">
      <c r="A6230">
        <v>6169</v>
      </c>
      <c r="B6230" s="138">
        <f>'Acct Summary 7-8'!J20</f>
        <v>38523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38523</v>
      </c>
      <c r="D6263" s="2" t="str">
        <f t="shared" si="96"/>
        <v>Error?</v>
      </c>
      <c r="E6263" s="2" t="s">
        <v>199</v>
      </c>
    </row>
    <row r="6264" spans="1:5" x14ac:dyDescent="0.2">
      <c r="A6264">
        <v>6203</v>
      </c>
      <c r="B6264" s="138">
        <f>'Acct Summary 7-8'!J79</f>
        <v>78885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117408</v>
      </c>
      <c r="D6266" s="2" t="str">
        <f t="shared" si="96"/>
        <v>Error?</v>
      </c>
      <c r="E6266" s="2" t="s">
        <v>199</v>
      </c>
    </row>
    <row r="6267" spans="1:5" x14ac:dyDescent="0.2">
      <c r="A6267">
        <v>6206</v>
      </c>
      <c r="B6267" s="138">
        <f>'Acct Summary 7-8'!C82</f>
        <v>261822</v>
      </c>
      <c r="D6267" s="2" t="str">
        <f t="shared" si="96"/>
        <v>Error?</v>
      </c>
      <c r="E6267" s="2" t="s">
        <v>199</v>
      </c>
    </row>
    <row r="6268" spans="1:5" x14ac:dyDescent="0.2">
      <c r="A6268">
        <v>6207</v>
      </c>
      <c r="B6268" s="138">
        <f>'Acct Summary 7-8'!D82</f>
        <v>-42938</v>
      </c>
      <c r="D6268" s="2" t="str">
        <f t="shared" si="96"/>
        <v>Error?</v>
      </c>
      <c r="E6268" s="2" t="s">
        <v>199</v>
      </c>
    </row>
    <row r="6269" spans="1:5" x14ac:dyDescent="0.2">
      <c r="A6269">
        <v>6208</v>
      </c>
      <c r="B6269" s="138">
        <f>'Acct Summary 7-8'!E82</f>
        <v>-4302</v>
      </c>
      <c r="D6269" s="2" t="str">
        <f t="shared" si="96"/>
        <v>Error?</v>
      </c>
      <c r="E6269" s="2" t="s">
        <v>199</v>
      </c>
    </row>
    <row r="6270" spans="1:5" x14ac:dyDescent="0.2">
      <c r="A6270">
        <v>6209</v>
      </c>
      <c r="B6270" s="138">
        <f>'Acct Summary 7-8'!F82</f>
        <v>126006</v>
      </c>
      <c r="D6270" s="2" t="str">
        <f t="shared" si="96"/>
        <v>Error?</v>
      </c>
      <c r="E6270" s="2" t="s">
        <v>199</v>
      </c>
    </row>
    <row r="6271" spans="1:5" x14ac:dyDescent="0.2">
      <c r="A6271">
        <v>6210</v>
      </c>
      <c r="B6271" s="138">
        <f>'Acct Summary 7-8'!G82</f>
        <v>27849</v>
      </c>
      <c r="D6271" s="2" t="str">
        <f t="shared" ref="D6271:D6334" si="97">IF(ISBLANK(B6271),"OK",IF(A6271-B6271=0,"OK","Error?"))</f>
        <v>Error?</v>
      </c>
      <c r="E6271" s="2" t="s">
        <v>199</v>
      </c>
    </row>
    <row r="6272" spans="1:5" x14ac:dyDescent="0.2">
      <c r="A6272">
        <v>6211</v>
      </c>
      <c r="B6272" s="138">
        <f>'Acct Summary 7-8'!H82</f>
        <v>16</v>
      </c>
      <c r="D6272" s="2" t="str">
        <f t="shared" si="97"/>
        <v>Error?</v>
      </c>
      <c r="E6272" s="2" t="s">
        <v>199</v>
      </c>
    </row>
    <row r="6273" spans="1:5" x14ac:dyDescent="0.2">
      <c r="A6273">
        <v>6212</v>
      </c>
      <c r="B6273" s="138">
        <f>'Acct Summary 7-8'!I82</f>
        <v>28520</v>
      </c>
      <c r="D6273" s="2" t="str">
        <f t="shared" si="97"/>
        <v>Error?</v>
      </c>
      <c r="E6273" s="2" t="s">
        <v>199</v>
      </c>
    </row>
    <row r="6274" spans="1:5" x14ac:dyDescent="0.2">
      <c r="A6274">
        <v>6213</v>
      </c>
      <c r="B6274" s="138">
        <f>'Acct Summary 7-8'!J82</f>
        <v>38523</v>
      </c>
      <c r="D6274" s="2" t="str">
        <f t="shared" si="97"/>
        <v>Error?</v>
      </c>
      <c r="E6274" s="2" t="s">
        <v>199</v>
      </c>
    </row>
    <row r="6275" spans="1:5" x14ac:dyDescent="0.2">
      <c r="A6275">
        <v>6214</v>
      </c>
      <c r="B6275" s="138">
        <f>'Acct Summary 7-8'!K82</f>
        <v>22477</v>
      </c>
      <c r="D6275" s="2" t="str">
        <f t="shared" si="97"/>
        <v>Error?</v>
      </c>
      <c r="E6275" s="2" t="s">
        <v>199</v>
      </c>
    </row>
    <row r="6276" spans="1:5" x14ac:dyDescent="0.2">
      <c r="A6276">
        <v>6215</v>
      </c>
      <c r="B6276" s="138">
        <f>'Acct Summary 7-8'!C83</f>
        <v>0.11335522316720266</v>
      </c>
      <c r="D6276" s="2" t="str">
        <f t="shared" si="97"/>
        <v>Error?</v>
      </c>
      <c r="E6276" s="2" t="s">
        <v>199</v>
      </c>
    </row>
    <row r="6277" spans="1:5" x14ac:dyDescent="0.2">
      <c r="A6277">
        <v>6216</v>
      </c>
      <c r="B6277" s="138">
        <f>'Acct Summary 7-8'!D83</f>
        <v>-0.28422397415784634</v>
      </c>
      <c r="D6277" s="2" t="str">
        <f t="shared" si="97"/>
        <v>Error?</v>
      </c>
      <c r="E6277" s="2" t="s">
        <v>199</v>
      </c>
    </row>
    <row r="6278" spans="1:5" x14ac:dyDescent="0.2">
      <c r="A6278">
        <v>6217</v>
      </c>
      <c r="B6278" s="138">
        <f>'Acct Summary 7-8'!E83</f>
        <v>11.502673796791443</v>
      </c>
      <c r="D6278" s="2" t="str">
        <f t="shared" si="97"/>
        <v>Error?</v>
      </c>
      <c r="E6278" s="2" t="s">
        <v>199</v>
      </c>
    </row>
    <row r="6279" spans="1:5" x14ac:dyDescent="0.2">
      <c r="A6279">
        <v>6218</v>
      </c>
      <c r="B6279" s="138">
        <f>'Acct Summary 7-8'!F83</f>
        <v>0.34990780646021236</v>
      </c>
      <c r="D6279" s="2" t="str">
        <f t="shared" si="97"/>
        <v>Error?</v>
      </c>
      <c r="E6279" s="2" t="s">
        <v>199</v>
      </c>
    </row>
    <row r="6280" spans="1:5" x14ac:dyDescent="0.2">
      <c r="A6280">
        <v>6219</v>
      </c>
      <c r="B6280" s="138">
        <f>'Acct Summary 7-8'!G83</f>
        <v>8.9403750276888697E-2</v>
      </c>
      <c r="D6280" s="2" t="str">
        <f t="shared" si="97"/>
        <v>Error?</v>
      </c>
      <c r="E6280" s="2" t="s">
        <v>199</v>
      </c>
    </row>
    <row r="6281" spans="1:5" x14ac:dyDescent="0.2">
      <c r="A6281">
        <v>6220</v>
      </c>
      <c r="B6281" s="138">
        <f>'Acct Summary 7-8'!H83</f>
        <v>6.5838202617068552E-4</v>
      </c>
      <c r="D6281" s="2" t="str">
        <f t="shared" si="97"/>
        <v>Error?</v>
      </c>
      <c r="E6281" s="2" t="s">
        <v>199</v>
      </c>
    </row>
    <row r="6282" spans="1:5" x14ac:dyDescent="0.2">
      <c r="A6282">
        <v>6221</v>
      </c>
      <c r="B6282" s="138">
        <f>'Acct Summary 7-8'!I83</f>
        <v>0.26583399356853243</v>
      </c>
      <c r="D6282" s="2" t="str">
        <f t="shared" si="97"/>
        <v>Error?</v>
      </c>
      <c r="E6282" s="2" t="s">
        <v>199</v>
      </c>
    </row>
    <row r="6283" spans="1:5" x14ac:dyDescent="0.2">
      <c r="A6283">
        <v>6222</v>
      </c>
      <c r="B6283" s="138">
        <f>'Acct Summary 7-8'!J83</f>
        <v>0.32811222403924772</v>
      </c>
      <c r="D6283" s="2" t="str">
        <f t="shared" si="97"/>
        <v>Error?</v>
      </c>
      <c r="E6283" s="2" t="s">
        <v>199</v>
      </c>
    </row>
    <row r="6284" spans="1:5" x14ac:dyDescent="0.2">
      <c r="A6284">
        <v>6223</v>
      </c>
      <c r="B6284" s="138">
        <f>'Acct Summary 7-8'!K83</f>
        <v>0.27804992701452286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90000</v>
      </c>
      <c r="D6287" s="2" t="str">
        <f t="shared" si="97"/>
        <v>Error?</v>
      </c>
      <c r="E6287" s="2" t="s">
        <v>199</v>
      </c>
    </row>
    <row r="6288" spans="1:5" x14ac:dyDescent="0.2">
      <c r="A6288">
        <v>6227</v>
      </c>
      <c r="B6288" s="138">
        <f>'Acct Summary 7-8'!E40</f>
        <v>50109</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121948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121948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121948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88995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109772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1240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1240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17959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17959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19199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19199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83425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121948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5893</v>
      </c>
      <c r="D7073" s="2" t="str">
        <f t="shared" si="109"/>
        <v>Error?</v>
      </c>
    </row>
    <row r="7074" spans="1:4" x14ac:dyDescent="0.2">
      <c r="A7074">
        <v>7013</v>
      </c>
      <c r="B7074" s="138">
        <f>'Expenditures 15-22'!K216</f>
        <v>5893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3556</v>
      </c>
      <c r="D7093" s="2" t="str">
        <f t="shared" si="109"/>
        <v>Error?</v>
      </c>
    </row>
    <row r="7094" spans="1:4" x14ac:dyDescent="0.2">
      <c r="A7094">
        <v>7033</v>
      </c>
      <c r="B7094" s="138">
        <f>'Expenditures 15-22'!K254</f>
        <v>3556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8801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8801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42724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42724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25202</v>
      </c>
      <c r="D7172" s="2" t="str">
        <f t="shared" si="111"/>
        <v>Error?</v>
      </c>
    </row>
    <row r="7173" spans="1:4" x14ac:dyDescent="0.2">
      <c r="A7173">
        <v>7112</v>
      </c>
      <c r="B7173" s="138">
        <f>'Expenditures 15-22'!D325</f>
        <v>6698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31900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25202</v>
      </c>
      <c r="D7199" s="2" t="str">
        <f t="shared" si="111"/>
        <v>Error?</v>
      </c>
    </row>
    <row r="7200" spans="1:4" x14ac:dyDescent="0.2">
      <c r="A7200">
        <v>7139</v>
      </c>
      <c r="B7200" s="138">
        <f>'Expenditures 15-22'!D330</f>
        <v>6698</v>
      </c>
      <c r="D7200" s="2" t="str">
        <f t="shared" si="111"/>
        <v>Error?</v>
      </c>
    </row>
    <row r="7201" spans="1:4" x14ac:dyDescent="0.2">
      <c r="A7201">
        <v>7140</v>
      </c>
      <c r="B7201" s="138">
        <f>'Expenditures 15-22'!E330</f>
        <v>51525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83425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25202</v>
      </c>
      <c r="D7216" s="2" t="str">
        <f t="shared" si="111"/>
        <v>Error?</v>
      </c>
    </row>
    <row r="7217" spans="1:4" x14ac:dyDescent="0.2">
      <c r="A7217">
        <v>7156</v>
      </c>
      <c r="B7217" s="138">
        <f>'Expenditures 15-22'!D342</f>
        <v>6698</v>
      </c>
      <c r="D7217" s="2" t="str">
        <f t="shared" si="111"/>
        <v>Error?</v>
      </c>
    </row>
    <row r="7218" spans="1:4" x14ac:dyDescent="0.2">
      <c r="A7218">
        <v>7157</v>
      </c>
      <c r="B7218" s="138">
        <f>'Expenditures 15-22'!E342</f>
        <v>51525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83425</v>
      </c>
      <c r="D7224" s="2" t="str">
        <f t="shared" si="111"/>
        <v>Error?</v>
      </c>
    </row>
    <row r="7225" spans="1:4" x14ac:dyDescent="0.2">
      <c r="A7225">
        <v>7164</v>
      </c>
      <c r="B7225" s="138">
        <f>'Expenditures 15-22'!K343</f>
        <v>38523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15697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5080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19199</v>
      </c>
      <c r="D7624" s="2" t="str">
        <f t="shared" si="124"/>
        <v>Error?</v>
      </c>
      <c r="E7624" s="2" t="s">
        <v>19</v>
      </c>
    </row>
    <row r="7625" spans="1:5" x14ac:dyDescent="0.2">
      <c r="A7625">
        <f t="shared" si="123"/>
        <v>7564</v>
      </c>
      <c r="B7625" s="138">
        <f>'Cap Outlay Deprec 26'!I17</f>
        <v>1919.9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258714.9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90000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50109</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177439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44720</v>
      </c>
      <c r="D7797" s="2" t="str">
        <f t="shared" si="127"/>
        <v>Error?</v>
      </c>
      <c r="E7797" s="4" t="s">
        <v>2019</v>
      </c>
    </row>
    <row r="7798" spans="1:5" x14ac:dyDescent="0.2">
      <c r="A7798">
        <v>7737</v>
      </c>
      <c r="B7798" s="138">
        <f>'Contracts Paid in CY 29'!F141</f>
        <v>37320</v>
      </c>
      <c r="D7798" s="2" t="str">
        <f t="shared" si="127"/>
        <v>Error?</v>
      </c>
      <c r="E7798" s="4" t="s">
        <v>2019</v>
      </c>
    </row>
    <row r="7799" spans="1:5" x14ac:dyDescent="0.2">
      <c r="A7799">
        <v>7738</v>
      </c>
      <c r="B7799" s="138">
        <f>'Contracts Paid in CY 29'!G141</f>
        <v>7400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Fairmont SD 89</v>
      </c>
      <c r="B7" s="2423"/>
      <c r="C7" s="2423"/>
      <c r="D7" s="2424"/>
      <c r="E7" s="2425">
        <f>COVER!A13</f>
        <v>56099089002</v>
      </c>
      <c r="F7" s="2426"/>
      <c r="G7" s="2432" t="str">
        <f>COVER!T23</f>
        <v>066.004890</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Macchietto Roth &amp; Company, P.C.</v>
      </c>
      <c r="H9" s="2438"/>
      <c r="I9" s="2438"/>
      <c r="J9" s="2438"/>
      <c r="K9" s="2438"/>
      <c r="L9" s="2439"/>
    </row>
    <row r="10" spans="1:29" ht="13.5" customHeight="1" x14ac:dyDescent="0.2">
      <c r="A10" s="2412" t="str">
        <f>COVER!A38</f>
        <v>Dr. Diane Cepela</v>
      </c>
      <c r="B10" s="2413"/>
      <c r="C10" s="2413"/>
      <c r="D10" s="2413"/>
      <c r="E10" s="2413"/>
      <c r="F10" s="2414"/>
      <c r="G10" s="2406" t="str">
        <f>COVER!T17</f>
        <v>911 Lisbon Street</v>
      </c>
      <c r="H10" s="2407"/>
      <c r="I10" s="2407"/>
      <c r="J10" s="2407"/>
      <c r="K10" s="2407"/>
      <c r="L10" s="2408"/>
    </row>
    <row r="11" spans="1:29" ht="13.5" customHeight="1" x14ac:dyDescent="0.2">
      <c r="A11" s="1185" t="s">
        <v>1599</v>
      </c>
      <c r="B11" s="1186"/>
      <c r="C11" s="1187"/>
      <c r="D11" s="1192"/>
      <c r="E11" s="1187"/>
      <c r="F11" s="1191"/>
      <c r="G11" s="2406" t="str">
        <f>COVER!T19</f>
        <v>Morris</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cathy@macchietto-roth.com</v>
      </c>
      <c r="J13" s="2419"/>
      <c r="K13" s="2419"/>
      <c r="L13" s="2420"/>
    </row>
    <row r="14" spans="1:29" ht="13.5" customHeight="1" x14ac:dyDescent="0.2">
      <c r="A14" s="2406" t="str">
        <f>COVER!A19</f>
        <v>735 Green Garden Place</v>
      </c>
      <c r="B14" s="2407"/>
      <c r="C14" s="2407"/>
      <c r="D14" s="2407"/>
      <c r="E14" s="2407"/>
      <c r="F14" s="2408"/>
      <c r="G14" s="1196" t="s">
        <v>1247</v>
      </c>
      <c r="H14" s="1194"/>
      <c r="I14" s="1194"/>
      <c r="J14" s="1194"/>
      <c r="K14" s="1194"/>
      <c r="L14" s="1195"/>
    </row>
    <row r="15" spans="1:29" ht="13.5" customHeight="1" x14ac:dyDescent="0.2">
      <c r="A15" s="2406" t="str">
        <f>COVER!A21</f>
        <v>Lockport</v>
      </c>
      <c r="B15" s="2407"/>
      <c r="C15" s="2407"/>
      <c r="D15" s="2407"/>
      <c r="E15" s="2407"/>
      <c r="F15" s="2408"/>
      <c r="G15" s="2403" t="str">
        <f>COVER!T15</f>
        <v>Cathy Macchietto</v>
      </c>
      <c r="H15" s="2404"/>
      <c r="I15" s="2404"/>
      <c r="J15" s="2404"/>
      <c r="K15" s="2404"/>
      <c r="L15" s="2405"/>
    </row>
    <row r="16" spans="1:29" ht="12.2" customHeight="1" x14ac:dyDescent="0.2">
      <c r="A16" s="2428">
        <f>COVER!A25</f>
        <v>60441</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815-941-9050</v>
      </c>
      <c r="H18" s="2423"/>
      <c r="I18" s="2423"/>
      <c r="J18" s="2423"/>
      <c r="K18" s="2422" t="str">
        <f>COVER!X21</f>
        <v>815-941-4506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Fairmont SD 89</v>
      </c>
      <c r="B1" s="2421"/>
      <c r="C1" s="2421"/>
      <c r="D1" s="2421"/>
    </row>
    <row r="2" spans="1:11" s="1215" customFormat="1" ht="12.75" x14ac:dyDescent="0.2">
      <c r="A2" s="2445">
        <f>'Single Audit Cover'!E7</f>
        <v>56099089002</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Fairmont SD 89</v>
      </c>
      <c r="B1" s="2448"/>
      <c r="C1" s="2448"/>
      <c r="D1" s="2448"/>
      <c r="E1" s="2448"/>
    </row>
    <row r="2" spans="1:5" x14ac:dyDescent="0.2">
      <c r="A2" s="2449">
        <f>'Single Audit Cover'!E7</f>
        <v>56099089002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407320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-36795</v>
      </c>
    </row>
    <row r="19" spans="1:4" ht="13.5" thickBot="1" x14ac:dyDescent="0.25">
      <c r="A19" s="1265" t="s">
        <v>1297</v>
      </c>
      <c r="D19" s="1266">
        <f>SUM(D10:D17)</f>
        <v>370525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370525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370525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Fairmont SD 89</v>
      </c>
      <c r="B1" s="2461"/>
      <c r="C1" s="2461"/>
      <c r="D1" s="2461"/>
      <c r="E1" s="2461"/>
      <c r="F1" s="2461"/>
    </row>
    <row r="2" spans="1:7" ht="13.5" customHeight="1" x14ac:dyDescent="0.2">
      <c r="A2" s="2462">
        <f>'Single Audit Cover'!E7</f>
        <v>56099089002</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Fairmont SD 89</v>
      </c>
      <c r="C1" s="2465"/>
      <c r="D1" s="2465"/>
      <c r="E1" s="2465"/>
      <c r="F1" s="2465"/>
      <c r="G1" s="2465"/>
      <c r="H1" s="2465"/>
      <c r="I1" s="2465"/>
      <c r="J1" s="2465"/>
      <c r="K1" s="2465"/>
      <c r="L1" s="2465"/>
      <c r="M1" s="2465"/>
    </row>
    <row r="2" spans="2:14" ht="15" x14ac:dyDescent="0.2">
      <c r="B2" s="2462">
        <f>'Single Audit Cover'!E7</f>
        <v>56099089002</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Fairmont SD 89</v>
      </c>
      <c r="C1" s="2480"/>
      <c r="D1" s="2480"/>
      <c r="E1" s="2480"/>
      <c r="F1" s="2480"/>
      <c r="G1" s="2480"/>
      <c r="H1" s="2480"/>
      <c r="I1" s="2480"/>
      <c r="J1" s="1422"/>
    </row>
    <row r="2" spans="2:10" s="317" customFormat="1" ht="12.75" customHeight="1" x14ac:dyDescent="0.2">
      <c r="B2" s="2481">
        <f>'Single Audit Cover'!E7</f>
        <v>56099089002</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Fairmont SD 89</v>
      </c>
      <c r="C1" s="2479"/>
      <c r="D1" s="2479"/>
      <c r="E1" s="2479"/>
      <c r="F1" s="2479"/>
      <c r="G1" s="2479"/>
      <c r="H1" s="2479"/>
      <c r="I1" s="2479"/>
      <c r="J1" s="2479"/>
      <c r="K1" s="2479"/>
      <c r="L1" s="1374"/>
      <c r="M1" s="1374"/>
    </row>
    <row r="2" spans="1:13" ht="12" customHeight="1" x14ac:dyDescent="0.2">
      <c r="B2" s="2481">
        <f>'Single Audit Cover'!E7</f>
        <v>56099089002</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Fairmont SD 89</v>
      </c>
      <c r="C1" s="2502"/>
      <c r="D1" s="2502"/>
      <c r="E1" s="2502"/>
      <c r="F1" s="2502"/>
      <c r="G1" s="2502"/>
      <c r="H1" s="2502"/>
      <c r="I1" s="2502"/>
      <c r="J1" s="2502"/>
      <c r="K1" s="2502"/>
      <c r="L1" s="1465"/>
    </row>
    <row r="2" spans="1:12" ht="12.75" customHeight="1" x14ac:dyDescent="0.2">
      <c r="B2" s="2503">
        <f>'Single Audit Cover'!E7</f>
        <v>56099089002</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Fairmont SD 89</v>
      </c>
      <c r="C1" s="2479"/>
      <c r="D1" s="2479"/>
      <c r="E1" s="1491"/>
    </row>
    <row r="2" spans="2:5" s="1282" customFormat="1" ht="12.75" customHeight="1" x14ac:dyDescent="0.2">
      <c r="B2" s="2481">
        <f>'Single Audit Cover'!E7</f>
        <v>56099089002</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4d435f69-8686-490b-bd6d-b153bf22ab50"/>
    <ds:schemaRef ds:uri="http://purl.org/dc/dcmitype/"/>
    <ds:schemaRef ds:uri="http://schemas.microsoft.com/office/2006/documentManagement/types"/>
    <ds:schemaRef ds:uri="6ce3111e-7420-4802-b50a-75d4e9a0b980"/>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2018-10-15T16:00:21Z</cp:lastPrinted>
  <dcterms:created xsi:type="dcterms:W3CDTF">2003-10-29T19:06:34Z</dcterms:created>
  <dcterms:modified xsi:type="dcterms:W3CDTF">2018-10-16T19:16:07Z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