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944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7"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G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H29" i="118"/>
  <c r="K28" i="118" s="1"/>
  <c r="O27" i="118" s="1"/>
  <c r="O29" i="118" s="1"/>
  <c r="D11" i="37"/>
  <c r="D22" i="37"/>
  <c r="J22" i="37"/>
  <c r="L22" i="37"/>
  <c r="D24" i="37"/>
  <c r="B4270" i="106" s="1"/>
  <c r="D4270" i="106" s="1"/>
  <c r="L5" i="11"/>
  <c r="B2056" i="106" s="1"/>
  <c r="D2056" i="106" s="1"/>
  <c r="B5847" i="106"/>
  <c r="D5847" i="106" s="1"/>
  <c r="K24" i="12" l="1"/>
  <c r="J77" i="4"/>
  <c r="B6262" i="106" s="1"/>
  <c r="D6262" i="106" s="1"/>
  <c r="D6103" i="106"/>
  <c r="I24" i="12"/>
  <c r="L367" i="29"/>
  <c r="F21" i="8"/>
  <c r="F130" i="34"/>
  <c r="E26" i="108"/>
  <c r="B1274" i="106"/>
  <c r="D1274" i="106" s="1"/>
  <c r="F52" i="34"/>
  <c r="F70" i="34"/>
  <c r="G38" i="108"/>
  <c r="D36" i="108"/>
  <c r="F131" i="34"/>
  <c r="G33" i="108"/>
  <c r="E30" i="108"/>
  <c r="F36" i="108"/>
  <c r="H33" i="118"/>
  <c r="B7047" i="106"/>
  <c r="D7047" i="106" s="1"/>
  <c r="H112" i="29"/>
  <c r="B7018" i="106" s="1"/>
  <c r="D7018" i="106" s="1"/>
  <c r="F69" i="34"/>
  <c r="B7074" i="106"/>
  <c r="D7074" i="106" s="1"/>
  <c r="B6995" i="106"/>
  <c r="D6995" i="106" s="1"/>
  <c r="D37" i="108"/>
  <c r="F37" i="108"/>
  <c r="F49" i="34"/>
  <c r="L15" i="11"/>
  <c r="B3459" i="106" s="1"/>
  <c r="D3459" i="106" s="1"/>
  <c r="F19" i="7"/>
  <c r="B1807" i="106" s="1"/>
  <c r="D1807" i="106" s="1"/>
  <c r="E38" i="108"/>
  <c r="L13" i="11"/>
  <c r="B2060" i="106" s="1"/>
  <c r="D2060" i="106" s="1"/>
  <c r="E34" i="108"/>
  <c r="D14" i="4"/>
  <c r="B2570" i="106" s="1"/>
  <c r="D2570" i="106" s="1"/>
  <c r="B2805" i="106"/>
  <c r="D2805" i="106" s="1"/>
  <c r="E35" i="108"/>
  <c r="F34" i="34"/>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I26" i="12" l="1"/>
  <c r="B7741" i="106" s="1"/>
  <c r="D7741" i="106" s="1"/>
  <c r="B1996" i="106"/>
  <c r="D1996" i="106" s="1"/>
  <c r="F274" i="5"/>
  <c r="D7255" i="106"/>
  <c r="D7251" i="106"/>
  <c r="D7250" i="106"/>
  <c r="D7254" i="106"/>
  <c r="D7256" i="106"/>
  <c r="D7253" i="106"/>
  <c r="D7252" i="106"/>
  <c r="B1879" i="106"/>
  <c r="D1879" i="106" s="1"/>
  <c r="H22" i="37"/>
  <c r="B7733" i="106"/>
  <c r="D7733" i="106" s="1"/>
  <c r="K26" i="12"/>
  <c r="B7743" i="106" s="1"/>
  <c r="D7743" i="106" s="1"/>
  <c r="L16" i="11"/>
  <c r="B2061" i="106" s="1"/>
  <c r="D206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<sst xmlns="http://schemas.openxmlformats.org/spreadsheetml/2006/main" count="5051" uniqueCount="2106">
  <si>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</si>
  <si>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</si>
  <si>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</si>
  <si>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</si>
  <si>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</si>
  <si>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</si>
  <si>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</si>
  <si>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</si>
  <si>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</si>
  <si>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</si>
  <si>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</si>
  <si>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</si>
  <si>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</si>
  <si>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</si>
  <si>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</si>
  <si>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</si>
  <si>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</si>
  <si>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</si>
  <si>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</si>
  <si>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</si>
  <si>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</si>
  <si>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</si>
  <si>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</si>
  <si>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</si>
  <si>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</si>
  <si>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</si>
  <si>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</si>
  <si>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</si>
  <si>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</si>
  <si>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</si>
  <si>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</si>
  <si>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</si>
  <si>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</si>
  <si>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</si>
  <si>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</si>
  <si>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</si>
  <si>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</si>
  <si>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</si>
  <si>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</si>
  <si>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</si>
  <si>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</si>
  <si>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</si>
  <si>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</si>
  <si>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</si>
  <si>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</si>
  <si>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</si>
  <si>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</si>
  <si>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</si>
  <si>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</si>
  <si>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</si>
  <si>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</si>
  <si>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</si>
  <si>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</si>
  <si>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</si>
  <si>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</si>
  <si>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</si>
  <si>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</si>
  <si>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</si>
  <si>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</si>
  <si>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</si>
  <si>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</si>
  <si>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</si>
  <si>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</si>
  <si>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</si>
  <si>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</si>
  <si>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</si>
  <si>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</si>
  <si>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</si>
  <si>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</si>
  <si>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</si>
  <si>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</si>
  <si>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</si>
  <si>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</si>
  <si>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</si>
  <si>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</si>
  <si>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</si>
  <si>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</si>
  <si>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</si>
  <si>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</si>
  <si>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</si>
  <si>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</si>
  <si>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</si>
  <si>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</si>
  <si>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</si>
  <si>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</si>
  <si>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</si>
  <si>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</si>
  <si>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</si>
  <si>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</si>
  <si>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</si>
  <si>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</si>
  <si>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</si>
  <si>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</si>
  <si>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</si>
  <si>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</si>
  <si>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</si>
  <si>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</si>
  <si>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</si>
  <si>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</si>
  <si>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</si>
  <si>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</si>
  <si>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</si>
  <si>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</si>
  <si>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</si>
  <si>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</si>
  <si>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</si>
  <si>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</si>
  <si>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</si>
  <si>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</si>
  <si>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</si>
  <si>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</si>
  <si>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</si>
  <si>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</si>
  <si>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</si>
  <si>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</si>
  <si>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</si>
  <si>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</si>
  <si>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</si>
  <si>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</si>
  <si>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</si>
  <si>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</si>
  <si>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</si>
  <si>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</si>
  <si>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</si>
  <si>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</si>
  <si>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</si>
  <si>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</si>
  <si>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</si>
  <si>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</si>
  <si>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</si>
  <si>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</si>
  <si>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</si>
  <si>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</si>
  <si>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</si>
  <si>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</si>
  <si>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</si>
  <si>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</si>
  <si>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</si>
  <si>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</si>
  <si>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</si>
  <si>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</si>
  <si>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</si>
  <si>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</si>
  <si>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</si>
  <si>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</si>
  <si>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</si>
  <si>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</si>
  <si>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</si>
  <si>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</si>
  <si>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</si>
  <si>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</si>
  <si>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</si>
  <si>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</si>
  <si>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</si>
  <si>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</si>
  <si>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</si>
  <si>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</si>
  <si>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</si>
  <si>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</si>
  <si>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</si>
  <si>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</si>
  <si>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</si>
  <si>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</si>
  <si>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</si>
  <si>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</si>
  <si>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</si>
  <si>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</si>
  <si>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</si>
  <si>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</si>
  <si>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</si>
  <si>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</si>
  <si>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</si>
  <si>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</si>
  <si>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</si>
  <si>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</si>
  <si>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</si>
  <si>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</si>
  <si>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</si>
  <si>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</si>
  <si>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</si>
  <si>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</si>
  <si>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</si>
  <si>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</si>
  <si>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</si>
  <si>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</si>
  <si>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</si>
  <si>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</si>
  <si>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</si>
  <si>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</si>
  <si>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</si>
  <si>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</si>
  <si>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</si>
  <si>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</si>
  <si>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</si>
  <si>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</si>
  <si>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</si>
  <si>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</si>
  <si>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</si>
  <si>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</si>
  <si>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</si>
  <si>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</si>
  <si>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</si>
  <si>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</si>
  <si>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</si>
  <si>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</si>
  <si>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</si>
  <si>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</si>
  <si>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</si>
  <si>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</si>
  <si>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</si>
  <si>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</si>
  <si>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</si>
  <si>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</si>
  <si>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</si>
  <si>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</si>
  <si>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</si>
  <si>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</si>
  <si>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</si>
  <si>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</si>
  <si>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</si>
  <si>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</si>
  <si>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</si>
  <si>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</si>
  <si>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</si>
  <si>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</si>
  <si>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</si>
  <si>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</si>
  <si>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</si>
  <si>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</si>
  <si>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</si>
  <si>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</si>
  <si>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</si>
  <si>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</si>
  <si>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</si>
  <si>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</si>
  <si>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</si>
  <si>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</si>
  <si>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</si>
  <si>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</si>
  <si>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</si>
  <si>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</si>
  <si>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</si>
  <si>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</si>
  <si>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</si>
  <si>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</si>
  <si>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</si>
  <si>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</si>
  <si>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</si>
  <si>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</si>
  <si>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</si>
  <si>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</si>
  <si>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</si>
  <si>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</si>
  <si>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</si>
  <si>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</si>
  <si>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</si>
  <si>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</si>
  <si>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</si>
  <si>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</si>
  <si>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</si>
  <si>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</si>
  <si>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</si>
  <si>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</si>
  <si>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</si>
  <si>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</si>
  <si>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</si>
  <si>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</si>
  <si>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</si>
  <si>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</si>
  <si>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</si>
  <si>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</si>
  <si>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</si>
  <si>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</si>
  <si>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</si>
  <si>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</si>
  <si>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</si>
  <si>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</si>
  <si>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</si>
  <si>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</si>
  <si>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</si>
  <si>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</si>
  <si>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</si>
  <si>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</si>
  <si>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</si>
  <si>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</si>
  <si>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</si>
  <si>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</si>
  <si>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</si>
  <si>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</si>
  <si>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</si>
  <si>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</si>
  <si>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</si>
  <si>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</si>
  <si>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</si>
  <si>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</si>
  <si>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</si>
  <si>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</si>
  <si>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</si>
  <si>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</si>
  <si>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</si>
  <si>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</si>
  <si>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</si>
  <si>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</si>
  <si>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</si>
  <si>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</si>
  <si>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</si>
  <si>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</si>
  <si>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</si>
  <si>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</si>
  <si>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</si>
  <si>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</si>
  <si>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</si>
  <si>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</si>
  <si>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</si>
  <si>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</si>
  <si>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</si>
  <si>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</si>
  <si>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</si>
  <si>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</si>
  <si>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</si>
  <si>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</si>
  <si>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</si>
  <si>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</si>
  <si>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</si>
  <si>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</si>
  <si>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</si>
  <si>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</si>
  <si>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</si>
  <si>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</si>
  <si>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</si>
  <si>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</si>
  <si>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</si>
  <si>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</si>
  <si>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</si>
  <si>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</si>
  <si>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</si>
  <si>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</si>
  <si>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</si>
  <si>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</si>
  <si>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</si>
  <si>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</si>
  <si>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</si>
  <si>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</si>
  <si>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</si>
  <si>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</si>
  <si>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</si>
  <si>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</si>
  <si>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</si>
  <si>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</si>
  <si>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</si>
  <si>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</si>
  <si>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</si>
  <si>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</si>
  <si>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</si>
  <si>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</si>
  <si>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</si>
  <si>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</si>
  <si>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</si>
  <si>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</si>
  <si>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</si>
  <si>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</si>
  <si>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</si>
  <si>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</si>
  <si>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</si>
  <si>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</si>
  <si>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</si>
  <si>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</si>
  <si>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</si>
  <si>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</si>
  <si>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</si>
  <si>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</si>
  <si>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</si>
  <si>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</si>
  <si>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</si>
  <si>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</si>
  <si>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</si>
  <si>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</si>
  <si>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</si>
  <si>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</si>
  <si>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</si>
  <si>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</si>
  <si>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</si>
  <si>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</si>
  <si>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</si>
  <si>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</si>
  <si>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</si>
  <si>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</si>
  <si>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</si>
  <si>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</si>
  <si>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</si>
  <si>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</si>
  <si>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</si>
  <si>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</si>
  <si>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</si>
  <si>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</si>
  <si>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</si>
  <si>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</si>
  <si>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</si>
  <si>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</si>
  <si>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</si>
  <si>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</si>
  <si>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</si>
  <si>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</si>
  <si>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</si>
  <si>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</si>
  <si>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</si>
  <si>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</si>
  <si>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</si>
  <si>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</si>
  <si>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</si>
  <si>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</si>
  <si>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</si>
  <si>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</si>
  <si>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</si>
  <si>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</si>
  <si>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</si>
  <si>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</si>
  <si>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</si>
  <si>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</si>
  <si>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</si>
  <si>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</si>
  <si>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</si>
  <si>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</si>
  <si>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</si>
  <si>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</si>
  <si>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</si>
  <si>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</si>
  <si>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</si>
  <si>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</si>
  <si>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</si>
  <si>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</si>
  <si>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</si>
  <si>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</si>
  <si>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</si>
  <si>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</si>
  <si>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</si>
  <si>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</si>
  <si>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</si>
  <si>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</si>
  <si>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</si>
  <si>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</si>
  <si>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</si>
  <si>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</si>
  <si>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</si>
  <si>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</si>
  <si>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</si>
  <si>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</si>
  <si>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</si>
  <si>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</si>
  <si>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</si>
  <si>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</si>
  <si>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</si>
  <si>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</si>
  <si>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</si>
  <si>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</si>
  <si>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</si>
  <si>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</si>
  <si>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</si>
  <si>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</si>
  <si>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</si>
  <si>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</si>
  <si>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</si>
  <si>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</si>
  <si>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</si>
  <si>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</si>
  <si>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</si>
  <si>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</si>
  <si>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</si>
  <si>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</si>
  <si>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</si>
  <si>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</si>
  <si>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</si>
  <si>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</si>
  <si>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</si>
  <si>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</si>
  <si>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</si>
  <si>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</si>
  <si>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</si>
  <si>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</si>
  <si>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</si>
  <si>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</si>
  <si>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</si>
  <si>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</si>
  <si>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</si>
  <si>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</si>
  <si>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</si>
  <si>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</si>
  <si>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</si>
  <si>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</si>
  <si>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</si>
  <si>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</si>
  <si>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</si>
  <si>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</si>
  <si>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</si>
  <si>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</si>
  <si>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</si>
  <si>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</si>
  <si>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</si>
  <si>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</si>
  <si>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</si>
  <si>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</si>
  <si>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</si>
  <si>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</si>
  <si>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</si>
  <si>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</si>
  <si>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</si>
  <si>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</si>
  <si>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</si>
  <si>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</si>
  <si>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</si>
  <si>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</si>
  <si>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</si>
  <si>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</si>
  <si>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</si>
  <si>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</si>
  <si>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</si>
  <si>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</si>
  <si>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</si>
  <si>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</si>
  <si>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</si>
  <si>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</si>
  <si>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</si>
  <si>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</si>
  <si>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</si>
  <si>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</si>
  <si>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</si>
  <si>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</si>
  <si>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</si>
  <si>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</si>
  <si>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</si>
  <si>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</si>
  <si>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</si>
  <si>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</si>
  <si>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</si>
  <si>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</si>
  <si>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</si>
  <si>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</si>
  <si>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</si>
  <si>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</si>
  <si>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</si>
  <si>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</si>
  <si>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</si>
  <si>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</si>
  <si>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</si>
  <si>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</si>
  <si>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</si>
  <si>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</si>
  <si>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</si>
  <si>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</si>
  <si>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</si>
  <si>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</si>
  <si>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</si>
  <si>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</si>
  <si>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</si>
  <si>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</si>
  <si>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</si>
  <si>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</si>
  <si>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</si>
  <si>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</si>
  <si>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</si>
  <si>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</si>
  <si>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</si>
  <si>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</si>
  <si>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</si>
  <si>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</si>
  <si>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</si>
  <si>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</si>
  <si>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</si>
  <si>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</si>
  <si>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</si>
  <si>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</si>
  <si>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</si>
  <si>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</si>
  <si>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</si>
  <si>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</si>
  <si>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</si>
  <si>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</si>
  <si>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</si>
  <si>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</si>
  <si>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</si>
  <si>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</si>
  <si>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</si>
  <si>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</si>
  <si>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</si>
  <si>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</si>
  <si>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</si>
  <si>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</si>
  <si>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</si>
  <si>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</si>
  <si>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</si>
  <si>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</si>
  <si>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</si>
  <si>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</si>
  <si>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</si>
  <si>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</si>
  <si>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</si>
  <si>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</si>
  <si>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</si>
  <si>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</si>
  <si>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</si>
  <si>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</si>
  <si>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</si>
  <si>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</si>
  <si>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</si>
  <si>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</si>
  <si>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</si>
  <si>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</si>
  <si>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</si>
  <si>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</si>
  <si>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</si>
  <si>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</si>
  <si>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</si>
  <si>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</si>
  <si>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</si>
  <si>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</si>
  <si>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</si>
  <si>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</si>
  <si>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</si>
  <si>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</si>
  <si>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</si>
  <si>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</si>
  <si>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</si>
  <si>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</si>
  <si>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</si>
  <si>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</si>
  <si>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</si>
  <si>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</si>
  <si>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</si>
  <si>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</si>
  <si>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</si>
  <si>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</si>
  <si>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</si>
  <si>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</si>
  <si>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</si>
  <si>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</si>
  <si>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</si>
  <si>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</si>
  <si>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</si>
  <si>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</si>
  <si>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</si>
  <si>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</si>
  <si>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</si>
  <si>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</si>
  <si>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</si>
  <si>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</si>
  <si>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</si>
  <si>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</si>
  <si>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</si>
  <si>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</si>
  <si>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</si>
  <si>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</si>
  <si>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</si>
  <si>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</si>
  <si>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</si>
  <si>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</si>
  <si>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</si>
  <si>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</si>
  <si>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</si>
  <si>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</si>
  <si>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</si>
  <si>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</si>
  <si>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</si>
  <si>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</si>
  <si>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</si>
  <si>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</si>
  <si>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</si>
  <si>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</si>
  <si>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</si>
  <si>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</si>
  <si>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</si>
  <si>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</si>
  <si>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</si>
  <si>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</si>
  <si>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</si>
  <si>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</si>
  <si>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</si>
  <si>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</si>
  <si>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</si>
  <si>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</si>
  <si>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</si>
  <si>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</si>
  <si>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</si>
  <si>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</si>
  <si>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</si>
  <si>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</si>
  <si>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</si>
  <si>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</si>
  <si>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</si>
  <si>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</si>
  <si>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</si>
  <si>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</si>
  <si>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</si>
  <si>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</si>
  <si>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</si>
  <si>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</si>
  <si>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</si>
  <si>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</si>
  <si>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</si>
  <si>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</si>
  <si>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</si>
  <si>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</si>
  <si>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</si>
  <si>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</si>
  <si>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</si>
  <si>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</si>
  <si>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</si>
  <si>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</si>
  <si>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</si>
  <si>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</si>
  <si>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</si>
  <si>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</si>
  <si>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</si>
  <si>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</si>
  <si>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</si>
  <si>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</si>
  <si>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</si>
  <si>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</si>
  <si>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</si>
  <si>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</si>
  <si>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</si>
  <si>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</si>
  <si>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</si>
  <si>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</si>
  <si>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</si>
  <si>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</si>
  <si>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</si>
  <si>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</si>
  <si>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</si>
  <si>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</si>
  <si>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</si>
  <si>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</si>
  <si>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</si>
  <si>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</si>
  <si>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</si>
  <si>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</si>
  <si>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</si>
  <si>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</si>
  <si>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</si>
  <si>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</si>
  <si>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</si>
  <si>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</si>
  <si>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</si>
  <si>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</si>
  <si>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</si>
  <si>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</si>
  <si>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</si>
  <si>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</si>
  <si>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</si>
  <si>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</si>
  <si>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</si>
  <si>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</si>
  <si>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</si>
  <si>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</si>
  <si>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</si>
  <si>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</si>
  <si>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</si>
  <si>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</si>
  <si>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</si>
  <si>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</si>
  <si>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</si>
  <si>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</si>
  <si>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</si>
  <si>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</si>
  <si>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</si>
  <si>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</si>
  <si>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</si>
  <si>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</si>
  <si>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</si>
  <si>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</si>
  <si>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</si>
  <si>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</si>
  <si>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</si>
  <si>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</si>
  <si>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</si>
  <si>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</si>
  <si>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</si>
  <si>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</si>
  <si>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</si>
  <si>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</si>
  <si>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</si>
  <si>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</si>
  <si>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</si>
  <si>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</si>
  <si>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</si>
  <si>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</si>
  <si>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</si>
  <si>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</si>
  <si>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</si>
  <si>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</si>
  <si>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</si>
  <si>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</si>
  <si>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</si>
  <si>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</si>
  <si>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</si>
  <si>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</si>
  <si>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</si>
  <si>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</si>
  <si>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</si>
  <si>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</si>
  <si>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</si>
  <si>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</si>
  <si>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</si>
  <si>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</si>
  <si>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</si>
  <si>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</si>
  <si>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</si>
  <si>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</si>
  <si>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</si>
  <si>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</si>
  <si>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</si>
  <si>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</si>
  <si>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</si>
  <si>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</si>
  <si>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</si>
  <si>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</si>
  <si>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</si>
  <si>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</si>
  <si>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</si>
  <si>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</si>
  <si>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</si>
  <si>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</si>
  <si>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</si>
  <si>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</si>
  <si>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</si>
  <si>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</si>
  <si>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</si>
  <si>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</si>
  <si>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</si>
  <si>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</si>
  <si>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</si>
  <si>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</si>
  <si>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</si>
  <si>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</si>
  <si>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</si>
  <si>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</si>
  <si>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</si>
  <si>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</si>
  <si>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</si>
  <si>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</si>
  <si>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</si>
  <si>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</si>
  <si>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</si>
  <si>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</si>
  <si>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</si>
  <si>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</si>
  <si>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</si>
  <si>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</si>
  <si>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</si>
  <si>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</si>
  <si>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</si>
  <si>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</si>
  <si>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</si>
  <si>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</si>
  <si>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</si>
  <si>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</si>
  <si>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</si>
  <si>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</si>
  <si>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</si>
  <si>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</si>
  <si>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</si>
  <si>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</si>
  <si>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</si>
  <si>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</si>
  <si>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</si>
  <si>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</si>
  <si>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</si>
  <si>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</si>
  <si>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</si>
  <si>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</si>
  <si>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</si>
  <si>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</si>
  <si>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</si>
  <si>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</si>
  <si>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</si>
  <si>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</si>
  <si>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</si>
  <si>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</si>
  <si>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</si>
  <si>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</si>
  <si>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</si>
  <si>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</si>
  <si>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</si>
  <si>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</si>
  <si>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</si>
  <si>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</si>
  <si>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</si>
  <si>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</si>
  <si>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</si>
  <si>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</si>
  <si>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</si>
  <si>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</si>
  <si>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</si>
  <si>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</si>
  <si>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</si>
  <si>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</si>
  <si>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</si>
  <si>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</si>
  <si>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</si>
  <si>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</si>
  <si>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</si>
  <si>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</si>
  <si>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</si>
  <si>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</si>
  <si>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</si>
  <si>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</si>
  <si>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</si>
  <si>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</si>
  <si>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</si>
  <si>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</si>
  <si>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</si>
  <si>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</si>
  <si>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</si>
  <si>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</si>
  <si>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</si>
  <si>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</si>
  <si>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</si>
  <si>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</si>
  <si>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</si>
  <si>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</si>
  <si>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</si>
  <si>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</si>
  <si>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</si>
  <si>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</si>
  <si>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</si>
  <si>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</si>
  <si>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</si>
  <si>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</si>
  <si>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</si>
  <si>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</si>
  <si>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</si>
  <si>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</si>
  <si>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</si>
  <si>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</si>
  <si>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</si>
  <si>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</si>
  <si>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</si>
  <si>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</si>
  <si>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</si>
  <si>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</si>
  <si>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</si>
  <si>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</si>
  <si>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</si>
  <si>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</si>
  <si>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</si>
  <si>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</si>
  <si>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</si>
  <si>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</si>
  <si>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</si>
  <si>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</si>
  <si>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</si>
  <si>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</si>
  <si>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</si>
  <si>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</si>
  <si>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</si>
  <si>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</si>
  <si>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</si>
  <si>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</si>
  <si>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</si>
  <si>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</si>
  <si>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</si>
  <si>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</si>
  <si>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</si>
  <si>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</si>
  <si>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</si>
  <si>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</si>
  <si>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</si>
  <si>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</si>
  <si>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</si>
  <si>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</si>
  <si>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</si>
  <si>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</si>
  <si>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</si>
  <si>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</si>
  <si>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</si>
  <si>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</si>
  <si>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</si>
  <si>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</si>
  <si>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</si>
  <si>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</si>
  <si>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</si>
  <si>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</si>
  <si>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</si>
  <si>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</si>
  <si>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</si>
  <si>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</si>
  <si>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</si>
  <si>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</si>
  <si>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</si>
  <si>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</si>
  <si>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</si>
  <si>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</si>
  <si>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</si>
  <si>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</si>
  <si>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</si>
  <si>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</si>
  <si>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</si>
  <si>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</si>
  <si>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</si>
  <si>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</si>
  <si>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</si>
  <si>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</si>
  <si>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</si>
  <si>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</si>
  <si>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</si>
  <si>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</si>
  <si>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</si>
  <si>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</si>
  <si>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</si>
  <si>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</si>
  <si>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</si>
  <si>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</si>
  <si>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</si>
  <si>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</si>
  <si>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</si>
  <si>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</si>
  <si>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</si>
  <si>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</si>
  <si>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</si>
  <si>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</si>
  <si>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</si>
  <si>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</si>
  <si>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</si>
  <si>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</si>
  <si>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</si>
  <si>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</si>
  <si>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</si>
  <si>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</si>
  <si>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</si>
  <si>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</si>
  <si>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</si>
  <si>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</si>
  <si>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</si>
  <si>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</si>
  <si>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</si>
  <si>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</si>
  <si>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</si>
  <si>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</si>
  <si>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</si>
  <si>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</si>
  <si>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</si>
  <si>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</si>
  <si>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</si>
  <si>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</si>
  <si>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</si>
  <si>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</si>
  <si>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</si>
  <si>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</si>
  <si>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</si>
  <si>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</si>
  <si>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</si>
  <si>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</si>
  <si>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</si>
  <si>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</si>
  <si>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</si>
  <si>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</si>
  <si>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</si>
  <si>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</si>
  <si>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</si>
  <si>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</si>
  <si>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</si>
  <si>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</si>
  <si>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</si>
  <si>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</si>
  <si>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</si>
  <si>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</si>
  <si>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</si>
  <si>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</si>
  <si>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</si>
  <si>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</si>
  <si>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</si>
  <si>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</si>
  <si>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</si>
  <si>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</si>
  <si>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</si>
  <si>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</si>
  <si>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</si>
  <si>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</si>
  <si>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</si>
  <si>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</si>
  <si>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</si>
  <si>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</si>
  <si>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</si>
  <si>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</si>
  <si>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</si>
  <si>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</si>
  <si>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</si>
  <si>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</si>
  <si>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</si>
  <si>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</si>
  <si>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</si>
  <si>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</si>
  <si>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</si>
  <si>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</si>
  <si>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</si>
  <si>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</si>
  <si>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</si>
  <si>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</si>
  <si>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</si>
  <si>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</si>
  <si>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</si>
  <si>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</si>
  <si>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</si>
  <si>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</si>
  <si>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</si>
  <si>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</si>
  <si>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</si>
  <si>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</si>
  <si>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</si>
  <si>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</si>
  <si>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</si>
  <si>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</si>
  <si>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</si>
  <si>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</si>
  <si>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</si>
  <si>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</si>
  <si>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</si>
  <si>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</si>
  <si>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</si>
  <si>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</si>
  <si>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</si>
  <si>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</si>
  <si>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</si>
  <si>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</si>
  <si>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</si>
  <si>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</si>
  <si>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</si>
  <si>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</si>
  <si>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</si>
  <si>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</si>
  <si>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</si>
  <si>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</si>
  <si>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</si>
  <si>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</si>
  <si>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</si>
  <si>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</si>
  <si>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</si>
  <si>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</si>
  <si>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</si>
  <si>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</si>
  <si>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</si>
  <si>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</si>
  <si>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</si>
  <si>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</si>
  <si>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</si>
  <si>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</si>
  <si>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</si>
  <si>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</si>
  <si>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</si>
  <si>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</si>
  <si>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</si>
  <si>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</si>
  <si>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</si>
  <si>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</si>
  <si>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</si>
  <si>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</si>
  <si>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</si>
  <si>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</si>
  <si>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</si>
  <si>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</si>
  <si>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</si>
  <si>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</si>
  <si>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</si>
  <si>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</si>
  <si>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</si>
  <si>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</si>
  <si>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</si>
  <si>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</si>
  <si>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</si>
  <si>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</si>
  <si>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</si>
  <si>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</si>
  <si>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</si>
  <si>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</si>
  <si>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</si>
  <si>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</si>
  <si>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</si>
  <si>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</si>
  <si>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</si>
  <si>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</si>
  <si>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</si>
  <si>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</si>
  <si>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</si>
  <si>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</si>
  <si>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</si>
  <si>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</si>
  <si>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</si>
  <si>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</si>
  <si>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</si>
  <si>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</si>
  <si>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</si>
  <si>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</si>
  <si>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</si>
  <si>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</si>
  <si>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</si>
  <si>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</si>
  <si>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</si>
  <si>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</si>
  <si>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</si>
  <si>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</si>
  <si>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</si>
  <si>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</si>
  <si>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</si>
  <si>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</si>
  <si>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</si>
  <si>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</si>
  <si>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</si>
  <si>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</si>
  <si>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</si>
  <si>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</si>
  <si>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</si>
  <si>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</si>
  <si>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</si>
  <si>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</si>
  <si>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</si>
  <si>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</si>
  <si>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</si>
  <si>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</si>
  <si>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</si>
  <si>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</si>
  <si>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</si>
  <si>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</si>
  <si>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</si>
  <si>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</si>
  <si>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</si>
  <si>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</si>
  <si>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</si>
  <si>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</si>
  <si>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</si>
  <si>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</si>
  <si>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</si>
  <si>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</si>
  <si>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</si>
  <si>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</si>
  <si>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</si>
  <si>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</si>
  <si>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</si>
  <si>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</si>
  <si>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</si>
  <si>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</si>
  <si>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</si>
  <si>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</si>
  <si>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</si>
  <si>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</si>
  <si>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</si>
  <si>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</si>
  <si>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</si>
  <si>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</si>
  <si>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</si>
  <si>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</si>
  <si>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</si>
  <si>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</si>
  <si>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</si>
  <si>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</si>
  <si>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</si>
  <si>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</si>
  <si>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</si>
  <si>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</si>
  <si>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</si>
  <si>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</si>
  <si>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</si>
  <si>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</si>
  <si>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</si>
  <si>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</si>
  <si>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</si>
  <si>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</si>
  <si>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</si>
  <si>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</si>
  <si>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</si>
  <si>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</si>
  <si>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</si>
  <si>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</si>
  <si>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</si>
  <si>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</si>
  <si>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</si>
  <si>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</si>
  <si>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</si>
  <si>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</si>
  <si>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</si>
  <si>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</si>
  <si>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</si>
  <si>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</si>
  <si>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</si>
  <si>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</si>
  <si>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</si>
  <si>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</si>
  <si>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</si>
  <si>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</si>
  <si>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</si>
  <si>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</si>
  <si>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</si>
  <si>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</si>
  <si>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</si>
  <si>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</si>
  <si>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</si>
  <si>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</si>
  <si>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</si>
  <si>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</si>
  <si>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</si>
  <si>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</si>
  <si>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</si>
  <si>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</si>
  <si>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</si>
  <si>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</si>
  <si>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</si>
  <si>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</si>
  <si>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</si>
  <si>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</si>
  <si>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</si>
  <si>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</si>
  <si>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</si>
  <si>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</si>
  <si>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</si>
  <si>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</si>
  <si>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</si>
  <si>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</si>
  <si>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</si>
  <si>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</si>
  <si>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</si>
  <si>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</si>
  <si>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</si>
  <si>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</si>
  <si>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</si>
  <si>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</si>
  <si>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</si>
  <si>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</si>
  <si>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</si>
  <si>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</si>
  <si>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</si>
  <si>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</si>
  <si>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</si>
  <si>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</si>
  <si>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</si>
  <si>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</si>
  <si>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</si>
  <si>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</si>
  <si>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</si>
  <si>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</si>
  <si>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</si>
  <si>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</si>
  <si>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</si>
  <si>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</si>
  <si>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</si>
  <si>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</si>
  <si>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</si>
  <si>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</si>
  <si>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</si>
  <si>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</si>
  <si>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</si>
  <si>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</si>
  <si>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</si>
  <si>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</si>
  <si>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</si>
  <si>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</si>
  <si>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</si>
  <si>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</si>
  <si>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</si>
  <si>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</si>
  <si>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</si>
  <si>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</si>
  <si>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</si>
  <si>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</si>
  <si>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</si>
  <si>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</si>
  <si>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</si>
  <si>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</si>
  <si>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</si>
  <si>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</si>
  <si>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</si>
  <si>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</si>
  <si>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</si>
  <si>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</si>
  <si>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</si>
  <si>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</si>
  <si>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</si>
  <si>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</si>
  <si>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</si>
  <si>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</si>
  <si>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</si>
  <si>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</si>
  <si>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</si>
  <si>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</si>
  <si>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</si>
  <si>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</si>
  <si>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</si>
  <si>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</si>
  <si>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</si>
  <si>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</si>
  <si>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</si>
  <si>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</si>
  <si>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</si>
  <si>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</si>
  <si>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</si>
  <si>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</si>
  <si>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</si>
  <si>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</si>
  <si>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</si>
  <si>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</si>
  <si>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</si>
  <si>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</si>
  <si>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</si>
  <si>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</si>
  <si>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</si>
  <si>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</si>
  <si>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</si>
  <si>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</si>
  <si>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</si>
  <si>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</si>
  <si>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</si>
  <si>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</si>
  <si>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</si>
  <si>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</si>
  <si>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</si>
  <si>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</si>
  <si>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</si>
  <si>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</si>
  <si>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</si>
  <si>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</si>
  <si>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</si>
  <si>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</si>
  <si>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</si>
  <si>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</si>
  <si>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</si>
  <si>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</si>
  <si>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</si>
  <si>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</si>
  <si>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</si>
  <si>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</si>
  <si>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</si>
  <si>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</si>
  <si>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</si>
  <si>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</si>
  <si>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</si>
  <si>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</si>
  <si>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</si>
  <si>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</si>
  <si>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</si>
  <si>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</si>
  <si>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</si>
  <si>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</si>
  <si>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</si>
  <si>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</si>
  <si>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</si>
  <si>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</si>
  <si>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</si>
  <si>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</si>
  <si>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</si>
  <si>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</si>
  <si>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</si>
  <si>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</si>
  <si>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</si>
  <si>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</si>
  <si>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</si>
  <si>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</si>
  <si>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</si>
  <si>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</si>
  <si>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</si>
  <si>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</si>
  <si>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</si>
  <si>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</si>
  <si>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</si>
  <si>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</si>
  <si>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</si>
  <si>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</si>
  <si>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</si>
  <si>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</si>
  <si>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</si>
  <si>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</si>
  <si>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</si>
  <si>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</si>
  <si>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</si>
  <si>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</si>
  <si>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</si>
  <si>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</si>
  <si>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</si>
  <si>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</si>
  <si>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</si>
  <si>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</si>
  <si>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</si>
  <si>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</si>
  <si>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</si>
  <si>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</si>
  <si>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</si>
  <si>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</si>
  <si>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</si>
  <si>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</si>
  <si>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</si>
  <si>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</si>
  <si>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</si>
  <si>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</si>
  <si>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</si>
  <si>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</si>
  <si>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</si>
  <si>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</si>
  <si>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</si>
  <si>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</si>
  <si>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</si>
  <si>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</si>
  <si>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</si>
  <si>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</si>
  <si>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</si>
  <si>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</si>
  <si>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</si>
  <si>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</si>
  <si>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</si>
  <si>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</si>
  <si>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</si>
  <si>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</si>
  <si>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</si>
  <si>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</si>
  <si>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</si>
  <si>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</si>
  <si>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</si>
  <si>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</si>
  <si>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</si>
  <si>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</si>
  <si>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</si>
  <si>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</si>
  <si>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</si>
  <si>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</si>
  <si>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</si>
  <si>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</si>
  <si>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</si>
  <si>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</si>
  <si>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</si>
  <si>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</si>
  <si>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</si>
  <si>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</si>
  <si>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</si>
  <si>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</si>
  <si>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</si>
  <si>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</si>
  <si>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</si>
  <si>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</si>
  <si>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</si>
  <si>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</si>
  <si>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</si>
  <si>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</si>
  <si>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</si>
  <si>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</si>
  <si>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</si>
  <si>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</si>
  <si>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</si>
  <si>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</si>
  <si>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</si>
  <si>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</si>
  <si>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</si>
  <si>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</si>
  <si>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</si>
  <si>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</si>
  <si>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</si>
  <si>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</si>
  <si>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</si>
  <si>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</si>
  <si>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</si>
  <si>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</si>
  <si>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</si>
  <si>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</si>
  <si>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</si>
  <si>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</si>
  <si>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</si>
  <si>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</si>
  <si>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</si>
  <si>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</si>
  <si>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</si>
  <si>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</si>
  <si>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</si>
  <si>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</si>
  <si>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</si>
  <si>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</si>
  <si>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</si>
  <si>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</si>
  <si>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</si>
  <si>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</si>
  <si>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</si>
  <si>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</si>
  <si>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</si>
  <si>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</si>
  <si>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</si>
  <si>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</si>
  <si>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</si>
  <si>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</si>
  <si>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</si>
  <si>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</si>
  <si>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</si>
  <si>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</si>
  <si>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</si>
  <si>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</si>
  <si>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</si>
  <si>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</si>
  <si>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</si>
  <si>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</si>
  <si>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</si>
  <si>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</si>
  <si>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</si>
  <si>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</si>
  <si>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</si>
  <si>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</si>
  <si>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</si>
  <si>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</si>
  <si>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</si>
  <si>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</si>
  <si>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</si>
  <si>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</si>
  <si>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</si>
  <si>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</si>
  <si>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</si>
  <si>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</si>
  <si>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</si>
  <si>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</si>
  <si>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</si>
  <si>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</si>
  <si>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</si>
  <si>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</si>
  <si>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</si>
  <si>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</si>
  <si>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</si>
  <si>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</si>
  <si>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</si>
  <si>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</si>
  <si>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</si>
  <si>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</si>
  <si>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</si>
  <si>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</si>
  <si>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</si>
  <si>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</si>
  <si>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</si>
  <si>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</si>
  <si>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</si>
  <si>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</si>
  <si>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</si>
  <si>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</si>
  <si>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</si>
  <si>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</si>
  <si>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</si>
  <si>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</si>
  <si>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</si>
  <si>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</si>
  <si>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</si>
  <si>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</si>
  <si>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</si>
  <si>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</si>
  <si>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</si>
  <si>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</si>
  <si>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</si>
  <si>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</si>
  <si>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</si>
  <si>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</si>
  <si>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</si>
  <si>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</si>
  <si>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</si>
  <si>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</si>
  <si>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</si>
  <si>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</si>
  <si>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</si>
  <si>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</si>
  <si>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</si>
  <si>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</si>
  <si>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</si>
  <si>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</si>
  <si>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</si>
  <si>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</si>
  <si>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</si>
  <si>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</si>
  <si>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</si>
  <si>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</si>
  <si>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</si>
  <si>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</si>
  <si>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</si>
  <si>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</si>
  <si>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</si>
  <si>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</si>
  <si>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</si>
  <si>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</si>
  <si>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</si>
  <si>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</si>
  <si>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</si>
  <si>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</si>
  <si>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</si>
  <si>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</si>
  <si>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</si>
  <si>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</si>
  <si>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</si>
  <si>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</si>
  <si>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</si>
  <si>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</si>
  <si>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</si>
  <si>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</si>
  <si>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</si>
  <si>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</si>
  <si>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</si>
  <si>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</si>
  <si>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</si>
  <si>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</si>
  <si>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</si>
  <si>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</si>
  <si>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</si>
  <si>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</si>
  <si>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</si>
  <si>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</si>
  <si>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</si>
  <si>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</si>
  <si>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</si>
  <si>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</si>
  <si>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</si>
  <si>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</si>
  <si>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</si>
  <si>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</si>
  <si>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</si>
  <si>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</si>
  <si>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</si>
  <si>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</si>
  <si>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</si>
  <si>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</si>
  <si>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</si>
  <si>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</si>
  <si>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</si>
  <si>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</si>
  <si>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</si>
  <si>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</si>
  <si>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</si>
  <si>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</si>
  <si>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</si>
  <si>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</si>
  <si>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</si>
  <si>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</si>
  <si>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</si>
  <si>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</si>
  <si>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</si>
  <si>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</si>
  <si>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</si>
  <si>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</si>
  <si>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</si>
  <si>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</si>
  <si>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</si>
  <si>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</si>
  <si>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</si>
  <si>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</si>
  <si>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</si>
  <si>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</si>
  <si>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</si>
  <si>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</si>
  <si>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</si>
  <si>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</si>
  <si>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</si>
  <si>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</si>
  <si>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</si>
  <si>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</si>
  <si>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</si>
  <si>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</si>
  <si>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</si>
  <si>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</si>
  <si>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</si>
  <si>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</si>
  <si>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</si>
  <si>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</si>
  <si>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</si>
  <si>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</si>
  <si>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</si>
  <si>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</si>
  <si>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</si>
  <si>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</si>
  <si>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</si>
  <si>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</si>
  <si>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</si>
  <si>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</si>
  <si>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</si>
  <si>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</si>
  <si>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</si>
  <si>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</si>
  <si>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</si>
  <si>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</si>
  <si>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</si>
  <si>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</si>
  <si>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</si>
  <si>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</si>
  <si>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</si>
  <si>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</si>
  <si>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</si>
  <si>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</si>
  <si>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</si>
  <si>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</si>
  <si>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</si>
  <si>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</si>
  <si>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</si>
  <si>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</si>
  <si>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</si>
  <si>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</si>
  <si>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</si>
  <si>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</si>
  <si>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</si>
  <si>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</si>
  <si>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</si>
  <si>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</si>
  <si>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</si>
  <si>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</si>
  <si>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</si>
  <si>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</si>
  <si>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</si>
  <si>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</si>
  <si>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</si>
  <si>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</si>
  <si>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</si>
  <si>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</si>
  <si>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</si>
  <si>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</si>
  <si>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</si>
  <si>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</si>
  <si>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</si>
  <si>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</si>
  <si>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</si>
  <si>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</si>
  <si>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</si>
  <si>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</si>
  <si>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</si>
  <si>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</si>
  <si>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</si>
  <si>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</si>
  <si>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</si>
  <si>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</si>
  <si>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</si>
  <si>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</si>
  <si>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</si>
  <si>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</si>
  <si>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</si>
  <si>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</si>
  <si>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</si>
  <si>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</si>
  <si>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</si>
  <si>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</si>
  <si>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</si>
  <si>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</si>
  <si>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</si>
  <si>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</si>
  <si>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</si>
  <si>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</si>
  <si>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</si>
  <si>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</si>
  <si>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</si>
  <si>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</si>
  <si>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</si>
  <si>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</si>
  <si>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</si>
  <si>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</si>
  <si>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</si>
  <si>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</si>
  <si>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</si>
  <si>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</si>
  <si>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</si>
  <si>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</si>
  <si>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</si>
  <si>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</si>
  <si>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</si>
  <si>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</si>
  <si>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</si>
  <si>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</si>
  <si>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</si>
  <si>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</si>
  <si>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</si>
  <si>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</si>
  <si>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</si>
  <si>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</si>
  <si>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</si>
  <si>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</si>
  <si>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</si>
  <si>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</si>
  <si>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</si>
  <si>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</si>
  <si>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</si>
  <si>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</si>
  <si>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</si>
  <si>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</si>
  <si>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</si>
  <si>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</si>
  <si>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</si>
  <si>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</si>
  <si>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</si>
  <si>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</si>
  <si>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</si>
  <si>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</si>
  <si>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</si>
  <si>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</si>
  <si>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</si>
  <si>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</si>
  <si>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</si>
  <si>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</si>
  <si>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</si>
  <si>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</si>
  <si>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</si>
  <si>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</si>
  <si>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</si>
  <si>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</si>
  <si>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</si>
  <si>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</si>
  <si>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</si>
  <si>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</si>
  <si>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</si>
  <si>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</si>
  <si>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</si>
  <si>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</si>
  <si>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</si>
  <si>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</si>
  <si>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</si>
  <si>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</si>
  <si>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</si>
  <si>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</si>
  <si>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</si>
  <si>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</si>
  <si>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</si>
  <si>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</si>
  <si>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</si>
  <si>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</si>
  <si>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</si>
  <si>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</si>
  <si>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</si>
  <si>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</si>
  <si>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</si>
  <si>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</si>
  <si>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</si>
  <si>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</si>
  <si>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</si>
  <si>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</si>
  <si>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</si>
  <si>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</si>
  <si>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</si>
  <si>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</si>
  <si>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</si>
  <si>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</si>
  <si>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</si>
  <si>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</si>
  <si>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</si>
  <si>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</si>
  <si>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</si>
  <si>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</si>
  <si>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</si>
  <si>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</si>
  <si>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</si>
  <si>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</si>
  <si>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</si>
  <si>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</si>
  <si>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</si>
  <si>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</si>
  <si>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</si>
  <si>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</si>
  <si>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</si>
  <si>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</si>
  <si>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</si>
  <si>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</si>
  <si>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</si>
  <si>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</si>
  <si>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</si>
  <si>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</si>
  <si>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</si>
  <si>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</si>
  <si>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</si>
  <si>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</si>
  <si>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</si>
  <si>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</si>
  <si>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</si>
  <si>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</si>
  <si>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</si>
  <si>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</si>
  <si>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</si>
  <si>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</si>
  <si>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</si>
  <si>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</si>
  <si>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</si>
  <si>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</si>
  <si>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</si>
  <si>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</si>
  <si>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</si>
  <si>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</si>
  <si>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</si>
  <si>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</si>
  <si>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</si>
  <si>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</si>
  <si>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</si>
  <si>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</si>
  <si>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</si>
  <si>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</si>
  <si>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</si>
  <si>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</si>
  <si>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</si>
  <si>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</si>
  <si>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</si>
  <si>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</si>
  <si>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</si>
  <si>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</si>
  <si>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</si>
  <si>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</si>
  <si>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</si>
  <si>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</si>
  <si>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</si>
  <si>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</si>
  <si>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</si>
  <si>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</si>
  <si>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</si>
  <si>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</si>
  <si>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</si>
  <si>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</si>
  <si>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</si>
  <si>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</si>
  <si>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</si>
  <si>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</si>
  <si>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</si>
  <si>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</si>
  <si>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</si>
  <si>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</si>
  <si>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</si>
  <si>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</si>
  <si>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</si>
  <si>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</si>
  <si>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</si>
  <si>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</si>
  <si>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</si>
  <si>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</si>
  <si>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</si>
  <si>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</si>
  <si>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</si>
  <si>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</si>
  <si>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</si>
  <si>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</si>
  <si>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</si>
  <si>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</si>
  <si>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</si>
  <si>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</si>
  <si>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</si>
  <si>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</si>
  <si>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</si>
  <si>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</si>
  <si>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</si>
  <si>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</si>
  <si>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</si>
  <si>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</si>
  <si>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</si>
  <si>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</si>
  <si>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</si>
  <si>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</si>
  <si>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</si>
  <si>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</si>
  <si>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</si>
  <si>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</si>
  <si>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</si>
  <si>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</si>
  <si>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</si>
  <si>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</si>
  <si>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</si>
  <si>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</si>
  <si>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</si>
  <si>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</si>
  <si>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</si>
  <si>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</si>
  <si>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</si>
  <si>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</si>
  <si>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</si>
  <si>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</si>
  <si>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</si>
  <si>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</si>
  <si>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</si>
  <si>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</si>
  <si>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</si>
  <si>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</si>
  <si>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</si>
  <si>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</si>
  <si>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</si>
  <si>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</si>
  <si>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</si>
  <si>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</si>
  <si>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</si>
  <si>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</si>
  <si>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</si>
  <si>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</si>
  <si>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</si>
  <si>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</si>
  <si>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</si>
  <si>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</si>
  <si>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</si>
  <si>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</si>
  <si>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</si>
  <si>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56-099-070C-04</t>
  </si>
  <si>
    <t>WILL</t>
  </si>
  <si>
    <t>1705 RICHARDS STREET</t>
  </si>
  <si>
    <t>JOLIET</t>
  </si>
  <si>
    <t>X</t>
  </si>
  <si>
    <t>DR. JOSEPH R SALMIERI III</t>
  </si>
  <si>
    <t>vteegardin@laraway70c.org</t>
  </si>
  <si>
    <t>815-727-5115</t>
  </si>
  <si>
    <t>815-727-5288</t>
  </si>
  <si>
    <t>GASSENSMITH &amp; MICHALESKO, LTD</t>
  </si>
  <si>
    <t>JOHN MICHALESKO</t>
  </si>
  <si>
    <t>323 SPRINGFIELD AVENUE</t>
  </si>
  <si>
    <t>IL</t>
  </si>
  <si>
    <t>815-744-6200</t>
  </si>
  <si>
    <t>815-744-3822</t>
  </si>
  <si>
    <t xml:space="preserve">                                                                  The Auditor's report is qualified for lack of capital asset records.</t>
  </si>
  <si>
    <t>GO Series 2003C</t>
  </si>
  <si>
    <t>Lease Obligations</t>
  </si>
  <si>
    <t>Alt Rev Lease Certificates</t>
  </si>
  <si>
    <t>GW BUCK BOYS/GIRLS CLUB</t>
  </si>
  <si>
    <t>ESIC AND LINCOLNWAY AREA AFFILIATION INSURANCE</t>
  </si>
  <si>
    <t>PMA</t>
  </si>
  <si>
    <t>STAFF DEVELOPMENT</t>
  </si>
  <si>
    <t>SOWIC</t>
  </si>
  <si>
    <t>10-4120-300</t>
  </si>
  <si>
    <t>payments for special education programs</t>
  </si>
  <si>
    <t>066-004945</t>
  </si>
  <si>
    <t>Laraway CCSD 70C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</si>
</sst>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49" fontId="136" fillId="0" borderId="105" xfId="14" applyNumberFormat="1" applyFont="1" applyBorder="1" applyAlignment="1" applyProtection="1">
      <alignment horizontal="center" vertical="center"/>
      <protection locked="0"/>
    </xf>
    <xf numFmtId="49" fontId="137" fillId="0" borderId="107" xfId="14" applyNumberFormat="1" applyFont="1" applyFill="1" applyBorder="1" applyAlignment="1" applyProtection="1">
      <alignment horizontal="center" vertical="center"/>
      <protection locked="0"/>
    </xf>
    <xf numFmtId="0" fontId="138" fillId="0" borderId="105" xfId="14" applyFont="1" applyBorder="1" applyProtection="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8" zoomScaleNormal="100" workbookViewId="0">
      <selection activeCell="L23" sqref="L2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3" t="s">
        <v>425</v>
      </c>
      <c r="J1" s="2024"/>
      <c r="K1" s="2024"/>
      <c r="L1" s="2024"/>
      <c r="M1" s="2024"/>
      <c r="N1" s="2024"/>
      <c r="O1" s="2024"/>
      <c r="P1" s="2024"/>
      <c r="Q1" s="2024"/>
      <c r="R1" s="2024"/>
      <c r="S1" s="2024"/>
    </row>
    <row r="2" spans="1:28" ht="12" customHeight="1" x14ac:dyDescent="0.2">
      <c r="A2" s="47" t="s">
        <v>1684</v>
      </c>
      <c r="D2" s="48"/>
      <c r="I2" s="2025" t="s">
        <v>1036</v>
      </c>
      <c r="J2" s="2024"/>
      <c r="K2" s="2024"/>
      <c r="L2" s="2024"/>
      <c r="M2" s="2024"/>
      <c r="N2" s="2024"/>
      <c r="O2" s="2024"/>
      <c r="P2" s="2024"/>
      <c r="Q2" s="2024"/>
      <c r="R2" s="2024"/>
      <c r="S2" s="2024"/>
    </row>
    <row r="3" spans="1:28" ht="12" customHeight="1" x14ac:dyDescent="0.2">
      <c r="A3" s="155" t="s">
        <v>1685</v>
      </c>
      <c r="B3" s="156"/>
      <c r="C3" s="156"/>
      <c r="D3" s="157"/>
      <c r="I3" s="2025" t="s">
        <v>54</v>
      </c>
      <c r="J3" s="2024"/>
      <c r="K3" s="2024"/>
      <c r="L3" s="2024"/>
      <c r="M3" s="2024"/>
      <c r="N3" s="2024"/>
      <c r="O3" s="2024"/>
      <c r="P3" s="2024"/>
      <c r="Q3" s="2024"/>
      <c r="R3" s="2024"/>
      <c r="S3" s="2024"/>
    </row>
    <row r="4" spans="1:28" ht="12" customHeight="1" x14ac:dyDescent="0.2">
      <c r="A4" s="37"/>
      <c r="I4" s="2025" t="s">
        <v>545</v>
      </c>
      <c r="J4" s="2024"/>
      <c r="K4" s="2024"/>
      <c r="L4" s="2024"/>
      <c r="M4" s="2024"/>
      <c r="N4" s="2024"/>
      <c r="O4" s="2024"/>
      <c r="P4" s="2024"/>
      <c r="Q4" s="2024"/>
      <c r="R4" s="2024"/>
      <c r="S4" s="2024"/>
    </row>
    <row r="5" spans="1:28" ht="14.1" customHeight="1" x14ac:dyDescent="0.2">
      <c r="B5" s="104" t="s">
        <v>2077</v>
      </c>
      <c r="C5" s="26" t="s">
        <v>966</v>
      </c>
      <c r="D5" s="84"/>
      <c r="E5" s="84"/>
      <c r="H5" s="38"/>
      <c r="I5" s="2032" t="s">
        <v>701</v>
      </c>
      <c r="J5" s="1977"/>
      <c r="K5" s="1977"/>
      <c r="L5" s="1977"/>
      <c r="M5" s="1977"/>
      <c r="N5" s="1977"/>
      <c r="O5" s="1977"/>
      <c r="P5" s="1977"/>
      <c r="Q5" s="1977"/>
      <c r="R5" s="1977"/>
      <c r="S5" s="1977"/>
    </row>
    <row r="6" spans="1:28" ht="14.1" customHeight="1" x14ac:dyDescent="0.2">
      <c r="B6" s="104"/>
      <c r="C6" s="26" t="s">
        <v>967</v>
      </c>
      <c r="D6" s="84"/>
      <c r="E6" s="84"/>
      <c r="I6" s="2031" t="s">
        <v>938</v>
      </c>
      <c r="J6" s="1977"/>
      <c r="K6" s="1977"/>
      <c r="L6" s="1977"/>
      <c r="M6" s="1977"/>
      <c r="N6" s="1977"/>
      <c r="O6" s="1977"/>
      <c r="P6" s="1977"/>
      <c r="Q6" s="1977"/>
      <c r="R6" s="1977"/>
      <c r="S6" s="1977"/>
    </row>
    <row r="7" spans="1:28" ht="12.2" customHeight="1" x14ac:dyDescent="0.2">
      <c r="I7" s="2026">
        <v>43281</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695</v>
      </c>
      <c r="J9" s="2029"/>
      <c r="K9" s="2029"/>
      <c r="L9" s="2029"/>
      <c r="M9" s="2029"/>
      <c r="N9" s="2029"/>
      <c r="O9" s="2029"/>
      <c r="P9" s="2029"/>
      <c r="Q9" s="2029"/>
      <c r="R9" s="2029"/>
      <c r="S9" s="2030"/>
      <c r="T9" s="1973" t="s">
        <v>554</v>
      </c>
      <c r="U9" s="1974"/>
      <c r="V9" s="1974"/>
      <c r="W9" s="1974"/>
      <c r="X9" s="1974"/>
      <c r="Y9" s="1974"/>
      <c r="Z9" s="1974"/>
      <c r="AA9" s="1975"/>
    </row>
    <row r="10" spans="1:28" ht="13.5" customHeight="1" x14ac:dyDescent="0.2">
      <c r="A10" s="1982" t="s">
        <v>696</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1012</v>
      </c>
      <c r="B11" s="1986"/>
      <c r="C11" s="1986"/>
      <c r="D11" s="1986"/>
      <c r="E11" s="1986"/>
      <c r="F11" s="1986"/>
      <c r="G11" s="1986"/>
      <c r="H11" s="1987"/>
      <c r="I11" s="27"/>
      <c r="J11" s="74"/>
      <c r="K11" s="27"/>
      <c r="O11" s="148" t="s">
        <v>2077</v>
      </c>
      <c r="P11" s="100" t="s">
        <v>210</v>
      </c>
      <c r="Q11" s="30"/>
      <c r="R11" s="28"/>
      <c r="S11" s="27"/>
      <c r="T11" s="1979"/>
      <c r="U11" s="1980"/>
      <c r="V11" s="1980"/>
      <c r="W11" s="1980"/>
      <c r="X11" s="1980"/>
      <c r="Y11" s="1980"/>
      <c r="Z11" s="1980"/>
      <c r="AA11" s="198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3" t="s">
        <v>2078</v>
      </c>
      <c r="B13" s="1994"/>
      <c r="C13" s="1994"/>
      <c r="D13" s="1994"/>
      <c r="E13" s="1994"/>
      <c r="F13" s="1994"/>
      <c r="G13" s="1994"/>
      <c r="H13" s="1995"/>
      <c r="I13" s="31"/>
      <c r="J13" s="30"/>
      <c r="K13" s="28"/>
      <c r="L13" s="30"/>
      <c r="M13" s="30"/>
      <c r="N13" s="30"/>
      <c r="O13" s="30"/>
      <c r="P13" s="30"/>
      <c r="Q13" s="30"/>
      <c r="R13" s="30"/>
      <c r="S13" s="30"/>
      <c r="T13" s="1998" t="s">
        <v>2087</v>
      </c>
      <c r="U13" s="1999"/>
      <c r="V13" s="1999"/>
      <c r="W13" s="1999"/>
      <c r="X13" s="1999"/>
      <c r="Y13" s="2000"/>
      <c r="Z13" s="2000"/>
      <c r="AA13" s="200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1" t="s">
        <v>2079</v>
      </c>
      <c r="B15" s="1996"/>
      <c r="C15" s="1996"/>
      <c r="D15" s="1996"/>
      <c r="E15" s="1996"/>
      <c r="F15" s="1996"/>
      <c r="G15" s="1996"/>
      <c r="H15" s="1997"/>
      <c r="T15" s="1959" t="s">
        <v>2088</v>
      </c>
      <c r="U15" s="1960"/>
      <c r="V15" s="1960"/>
      <c r="W15" s="1960"/>
      <c r="X15" s="1960"/>
      <c r="Y15" s="2002"/>
      <c r="Z15" s="2002"/>
      <c r="AA15" s="200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1" t="s">
        <v>2105</v>
      </c>
      <c r="B17" s="2021"/>
      <c r="C17" s="2021"/>
      <c r="D17" s="2021"/>
      <c r="E17" s="2021"/>
      <c r="F17" s="2021"/>
      <c r="G17" s="2021"/>
      <c r="H17" s="2022"/>
      <c r="T17" s="2008" t="s">
        <v>2089</v>
      </c>
      <c r="U17" s="2009"/>
      <c r="V17" s="2009"/>
      <c r="W17" s="2009"/>
      <c r="X17" s="2009"/>
      <c r="Y17" s="2009"/>
      <c r="Z17" s="2009"/>
      <c r="AA17" s="2010"/>
    </row>
    <row r="18" spans="1:27" ht="13.5" customHeight="1" x14ac:dyDescent="0.2">
      <c r="A18" s="85" t="s">
        <v>551</v>
      </c>
      <c r="B18" s="76"/>
      <c r="C18" s="72"/>
      <c r="D18" s="76"/>
      <c r="E18" s="76"/>
      <c r="F18" s="76"/>
      <c r="G18" s="76"/>
      <c r="H18" s="56"/>
      <c r="I18" s="2018" t="s">
        <v>697</v>
      </c>
      <c r="J18" s="2019"/>
      <c r="K18" s="2019"/>
      <c r="L18" s="2019"/>
      <c r="M18" s="2019"/>
      <c r="N18" s="2019"/>
      <c r="O18" s="2019"/>
      <c r="P18" s="2019"/>
      <c r="Q18" s="2019"/>
      <c r="R18" s="2019"/>
      <c r="S18" s="2020"/>
      <c r="T18" s="85" t="s">
        <v>735</v>
      </c>
      <c r="U18" s="51"/>
      <c r="V18" s="72"/>
      <c r="W18" s="50"/>
      <c r="X18" s="85" t="s">
        <v>284</v>
      </c>
      <c r="Y18" s="81"/>
      <c r="Z18" s="159" t="s">
        <v>698</v>
      </c>
      <c r="AA18" s="46"/>
    </row>
    <row r="19" spans="1:27" ht="13.5" customHeight="1" x14ac:dyDescent="0.2">
      <c r="A19" s="1991" t="s">
        <v>2080</v>
      </c>
      <c r="B19" s="1992"/>
      <c r="C19" s="1992"/>
      <c r="D19" s="1992"/>
      <c r="E19" s="1992"/>
      <c r="F19" s="1992"/>
      <c r="G19" s="1992"/>
      <c r="H19" s="1990"/>
      <c r="I19" s="30"/>
      <c r="J19" s="99"/>
      <c r="K19" s="40"/>
      <c r="L19" s="38"/>
      <c r="M19" s="112" t="s">
        <v>333</v>
      </c>
      <c r="P19" s="27"/>
      <c r="Q19" s="27"/>
      <c r="R19" s="27"/>
      <c r="S19" s="31"/>
      <c r="T19" s="1991" t="s">
        <v>2081</v>
      </c>
      <c r="U19" s="1989"/>
      <c r="V19" s="1989"/>
      <c r="W19" s="1990"/>
      <c r="X19" s="2006" t="s">
        <v>2090</v>
      </c>
      <c r="Y19" s="2007"/>
      <c r="Z19" s="2004">
        <v>60435</v>
      </c>
      <c r="AA19" s="200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8" t="s">
        <v>2081</v>
      </c>
      <c r="B21" s="1989"/>
      <c r="C21" s="1989"/>
      <c r="D21" s="1989"/>
      <c r="E21" s="1989"/>
      <c r="F21" s="1989"/>
      <c r="G21" s="1989"/>
      <c r="H21" s="1990"/>
      <c r="I21" s="2014" t="s">
        <v>699</v>
      </c>
      <c r="J21" s="1977"/>
      <c r="K21" s="1977"/>
      <c r="L21" s="1977"/>
      <c r="M21" s="1977"/>
      <c r="N21" s="1977"/>
      <c r="O21" s="1977"/>
      <c r="P21" s="1977"/>
      <c r="Q21" s="1977"/>
      <c r="R21" s="1977"/>
      <c r="S21" s="1978"/>
      <c r="T21" s="1956" t="s">
        <v>2091</v>
      </c>
      <c r="U21" s="1957"/>
      <c r="V21" s="1957"/>
      <c r="W21" s="1957"/>
      <c r="X21" s="1970" t="s">
        <v>2092</v>
      </c>
      <c r="Y21" s="1971"/>
      <c r="Z21" s="1971"/>
      <c r="AA21" s="1972"/>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1"/>
      <c r="B23" s="2012"/>
      <c r="C23" s="2012"/>
      <c r="D23" s="2012"/>
      <c r="E23" s="2012"/>
      <c r="F23" s="2012"/>
      <c r="G23" s="2012"/>
      <c r="H23" s="2013"/>
      <c r="T23" s="1951" t="s">
        <v>2104</v>
      </c>
      <c r="U23" s="1952"/>
      <c r="V23" s="1952"/>
      <c r="W23" s="1952"/>
      <c r="X23" s="1967">
        <v>43466</v>
      </c>
      <c r="Y23" s="1968"/>
      <c r="Z23" s="1968"/>
      <c r="AA23" s="1969"/>
    </row>
    <row r="24" spans="1:27" ht="14.1" customHeight="1" x14ac:dyDescent="0.2">
      <c r="A24" s="88" t="s">
        <v>698</v>
      </c>
      <c r="B24" s="49"/>
      <c r="C24" s="49"/>
      <c r="D24" s="49"/>
      <c r="E24" s="49"/>
      <c r="F24" s="49"/>
      <c r="G24" s="49"/>
      <c r="H24" s="61"/>
      <c r="J24" s="2053">
        <f>IF(B5="x",IF(AUDITCHECK!D29="AFR form Incomplete.","",IF(AUDITCHECK!D29="Deficit reduction plan is required.","School District must complete a deficit reduction plan in the 2018-2019 Budget",)),"")</f>
        <v>0</v>
      </c>
      <c r="K24" s="2053"/>
      <c r="L24" s="2053"/>
      <c r="M24" s="2053"/>
      <c r="N24" s="2053"/>
      <c r="O24" s="2053"/>
      <c r="P24" s="2053"/>
      <c r="Q24" s="2053"/>
      <c r="R24" s="2053"/>
      <c r="S24" s="2054"/>
      <c r="T24" s="105" t="s">
        <v>552</v>
      </c>
      <c r="U24" s="106"/>
      <c r="V24" s="106"/>
      <c r="W24" s="106"/>
      <c r="X24" s="107"/>
      <c r="Y24" s="107"/>
      <c r="Z24" s="107"/>
      <c r="AA24" s="108"/>
    </row>
    <row r="25" spans="1:27" ht="14.1" customHeight="1" x14ac:dyDescent="0.2">
      <c r="A25" s="1988">
        <v>60436</v>
      </c>
      <c r="B25" s="1989"/>
      <c r="C25" s="1989"/>
      <c r="D25" s="1989"/>
      <c r="E25" s="1989"/>
      <c r="F25" s="1989"/>
      <c r="G25" s="1989"/>
      <c r="H25" s="1990"/>
      <c r="I25" s="113"/>
      <c r="J25" s="2055"/>
      <c r="K25" s="2055"/>
      <c r="L25" s="2055"/>
      <c r="M25" s="2055"/>
      <c r="N25" s="2055"/>
      <c r="O25" s="2055"/>
      <c r="P25" s="2055"/>
      <c r="Q25" s="2055"/>
      <c r="R25" s="2055"/>
      <c r="S25" s="2056"/>
      <c r="T25" s="1948"/>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6" t="s">
        <v>1591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1" t="s">
        <v>2083</v>
      </c>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552</v>
      </c>
      <c r="B39" s="2045"/>
      <c r="C39" s="72"/>
      <c r="D39" s="69"/>
      <c r="E39" s="69"/>
      <c r="F39" s="79"/>
      <c r="G39" s="69"/>
      <c r="H39" s="56"/>
      <c r="I39" s="2044" t="s">
        <v>552</v>
      </c>
      <c r="J39" s="2045"/>
      <c r="K39" s="2045"/>
      <c r="L39" s="2045"/>
      <c r="M39" s="2045"/>
      <c r="N39" s="67"/>
      <c r="O39" s="72"/>
      <c r="P39" s="72"/>
      <c r="Q39" s="78"/>
      <c r="R39" s="72"/>
      <c r="S39" s="56"/>
      <c r="T39" s="72" t="s">
        <v>552</v>
      </c>
      <c r="U39" s="51"/>
      <c r="V39" s="72"/>
      <c r="W39" s="50"/>
      <c r="X39" s="78"/>
      <c r="Y39" s="45"/>
      <c r="Z39" s="45"/>
      <c r="AA39" s="46"/>
    </row>
    <row r="40" spans="1:27" ht="13.5" customHeight="1" x14ac:dyDescent="0.2">
      <c r="A40" s="2047" t="s">
        <v>2084</v>
      </c>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7" t="s">
        <v>2085</v>
      </c>
      <c r="B42" s="2038"/>
      <c r="C42" s="2039"/>
      <c r="D42" s="2052" t="s">
        <v>2086</v>
      </c>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election activeCell="D87" sqref="D8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7" t="s">
        <v>1709</v>
      </c>
    </row>
    <row r="23" spans="1:5" x14ac:dyDescent="0.2">
      <c r="A23" s="168"/>
      <c r="B23" s="162" t="s">
        <v>1969</v>
      </c>
      <c r="D23" s="167" t="s">
        <v>658</v>
      </c>
      <c r="E23" s="184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0" t="s">
        <v>1125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715</v>
      </c>
      <c r="B40" s="2057"/>
      <c r="C40" s="2057"/>
      <c r="D40" s="2057"/>
      <c r="E40" s="2057"/>
    </row>
    <row r="41" spans="1:5" x14ac:dyDescent="0.2">
      <c r="A41" s="2058" t="s">
        <v>1706</v>
      </c>
      <c r="B41" s="2058"/>
      <c r="C41" s="2058"/>
      <c r="D41" s="2058"/>
      <c r="E41" s="2058"/>
    </row>
    <row r="42" spans="1:5" ht="12.75" customHeight="1" x14ac:dyDescent="0.2">
      <c r="A42" s="2059" t="s">
        <v>1080</v>
      </c>
      <c r="B42" s="2059"/>
      <c r="C42" s="2059"/>
      <c r="D42" s="2059"/>
      <c r="E42" s="205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D87" sqref="D8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1230</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5" t="s">
        <v>1731</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5" t="s">
        <v>331</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36161</v>
      </c>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2093</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1390</v>
      </c>
      <c r="B70" s="2078"/>
      <c r="C70" s="2078"/>
      <c r="D70" s="2078"/>
      <c r="E70" s="2079"/>
      <c r="F70" s="2079"/>
      <c r="G70" s="2079"/>
      <c r="H70" s="2079"/>
      <c r="I70" s="207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1387</v>
      </c>
      <c r="B83" s="2080"/>
      <c r="C83" s="2080"/>
      <c r="D83" s="208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2087</v>
      </c>
      <c r="D114" s="207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1397</v>
      </c>
      <c r="D117" s="2073"/>
      <c r="E117" s="2074"/>
      <c r="F117" s="2074"/>
      <c r="G117" s="2074"/>
      <c r="H117" s="2074"/>
      <c r="I117" s="304"/>
    </row>
    <row r="118" spans="1:9" s="181" customFormat="1" ht="24" customHeight="1" x14ac:dyDescent="0.2">
      <c r="A118" s="316"/>
      <c r="B118" s="316"/>
      <c r="C118" s="316"/>
      <c r="D118" s="323"/>
      <c r="E118" s="322"/>
      <c r="F118" s="324"/>
      <c r="G118" s="1851"/>
      <c r="H118" s="322"/>
      <c r="I118" s="304"/>
    </row>
    <row r="119" spans="1:9" s="181" customFormat="1" ht="11.25" customHeight="1" x14ac:dyDescent="0.2">
      <c r="A119" s="325"/>
      <c r="B119" s="325"/>
      <c r="C119" s="326"/>
      <c r="D119" s="327" t="s">
        <v>379</v>
      </c>
      <c r="E119" s="310"/>
      <c r="F119" s="1850"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D87" sqref="D8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404</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287998151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2.1277000000000001E-2</v>
      </c>
      <c r="E10" s="356" t="s">
        <v>1062</v>
      </c>
      <c r="F10" s="355">
        <v>2.6830000000000001E-3</v>
      </c>
      <c r="G10" s="356" t="s">
        <v>1062</v>
      </c>
      <c r="H10" s="355">
        <v>9.7E-5</v>
      </c>
      <c r="I10" s="356" t="s">
        <v>1063</v>
      </c>
      <c r="J10" s="1742">
        <f>ROUND(D10+F10+H10,5)</f>
        <v>2.4060000000000002E-2</v>
      </c>
      <c r="K10" s="222"/>
      <c r="L10" s="355">
        <v>4.0499999999999998E-4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3">
        <f>SUM('Acct Summary 7-8'!C8,'Acct Summary 7-8'!D8,'Acct Summary 7-8'!F8,'Acct Summary 7-8'!I8)</f>
        <v>11206696</v>
      </c>
      <c r="E16" s="356"/>
      <c r="F16" s="1743">
        <f>SUM('Acct Summary 7-8'!C17,'Acct Summary 7-8'!D17,'Acct Summary 7-8'!F17)</f>
        <v>8350299</v>
      </c>
      <c r="G16" s="356"/>
      <c r="H16" s="1743">
        <f>SUM(D16-F16)</f>
        <v>2856397</v>
      </c>
      <c r="I16" s="222"/>
      <c r="J16" s="1743">
        <f>SUM('Acct Summary 7-8'!C81,'Acct Summary 7-8'!D81,'Acct Summary 7-8'!F81,'Acct Summary 7-8'!I81)</f>
        <v>13643134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3">
        <f>'Short-Term Long-Term Debt 24'!F4</f>
        <v>0</v>
      </c>
      <c r="E22" s="356" t="s">
        <v>1062</v>
      </c>
      <c r="F22" s="1743">
        <f>'Short-Term Long-Term Debt 24'!F15</f>
        <v>0</v>
      </c>
      <c r="G22" s="356" t="s">
        <v>1062</v>
      </c>
      <c r="H22" s="1743">
        <f>'Short-Term Long-Term Debt 24'!F21</f>
        <v>0</v>
      </c>
      <c r="I22" s="356" t="s">
        <v>1062</v>
      </c>
      <c r="J22" s="1743">
        <f>'Short-Term Long-Term Debt 24'!F23</f>
        <v>0</v>
      </c>
      <c r="K22" s="356" t="s">
        <v>1062</v>
      </c>
      <c r="L22" s="174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3">
        <f>'Short-Term Long-Term Debt 24'!F27</f>
        <v>0</v>
      </c>
      <c r="E24" s="356" t="s">
        <v>1063</v>
      </c>
      <c r="F24" s="174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45">
        <f>IF(B31="X",(J7*0.069),IF(B32="X",(J7*0.138),"Enter x in a.or b."))</f>
        <v>19871872.419000003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4">
        <f>'Assets-Liab 5-6'!N36</f>
        <v>34625000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7" sqref="D8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577</v>
      </c>
      <c r="B2" s="2110"/>
      <c r="C2" s="2110"/>
      <c r="D2" s="2110"/>
      <c r="E2" s="2110"/>
      <c r="F2" s="2110"/>
      <c r="G2" s="2110"/>
      <c r="H2" s="2110"/>
      <c r="I2" s="2110"/>
      <c r="J2" s="2110"/>
      <c r="K2" s="2110"/>
      <c r="L2" s="2110"/>
      <c r="M2" s="2110"/>
      <c r="N2" s="2110"/>
      <c r="O2" s="2110"/>
      <c r="P2" s="2110"/>
      <c r="Q2" s="2110"/>
      <c r="R2" s="2110"/>
    </row>
    <row r="3" spans="1:18" ht="12.75" x14ac:dyDescent="0.2">
      <c r="A3" s="2111" t="s">
        <v>1480</v>
      </c>
      <c r="B3" s="2111"/>
      <c r="C3" s="2111"/>
      <c r="D3" s="2111"/>
      <c r="E3" s="2111"/>
      <c r="F3" s="2111"/>
      <c r="G3" s="2111"/>
      <c r="H3" s="2111"/>
      <c r="I3" s="2111"/>
      <c r="J3" s="2111"/>
      <c r="K3" s="2111"/>
      <c r="L3" s="2111"/>
      <c r="M3" s="2111"/>
      <c r="N3" s="2111"/>
      <c r="O3" s="2111"/>
      <c r="P3" s="2111"/>
      <c r="Q3" s="2111"/>
      <c r="R3" s="2111"/>
    </row>
    <row r="4" spans="1:18" x14ac:dyDescent="0.2">
      <c r="A4" s="2112" t="s">
        <v>1635</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Laraway CCSD 70C</v>
      </c>
      <c r="E7" s="391"/>
      <c r="G7" s="252"/>
      <c r="H7" s="387"/>
      <c r="I7" s="387"/>
      <c r="J7" s="387"/>
      <c r="K7" s="387"/>
      <c r="L7" s="329"/>
      <c r="M7" s="329"/>
      <c r="N7" s="329"/>
      <c r="O7" s="329"/>
      <c r="P7" s="329"/>
    </row>
    <row r="8" spans="1:18" ht="12.75" x14ac:dyDescent="0.2">
      <c r="A8" s="329"/>
      <c r="B8" s="329"/>
      <c r="C8" s="389" t="s">
        <v>1187</v>
      </c>
      <c r="D8" s="392" t="str">
        <f>COVER!A13</f>
        <v>56-099-070C-04</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13643134</v>
      </c>
      <c r="I12" s="404"/>
      <c r="J12" s="404"/>
      <c r="K12" s="405">
        <f>TRUNC((H12/H13*100000),5)/100000</f>
        <v>1.5295382517</v>
      </c>
      <c r="L12" s="406"/>
      <c r="M12" s="360" t="s">
        <v>1206</v>
      </c>
      <c r="N12" s="360"/>
      <c r="O12" s="407">
        <v>0.35</v>
      </c>
      <c r="P12" s="218"/>
      <c r="Q12" s="218"/>
    </row>
    <row r="13" spans="1:18" s="408" customFormat="1" ht="12.75" x14ac:dyDescent="0.2">
      <c r="A13" s="218"/>
      <c r="B13" s="401"/>
      <c r="C13" s="2108" t="s">
        <v>1391</v>
      </c>
      <c r="D13" s="2109"/>
      <c r="E13" s="218"/>
      <c r="F13" s="409" t="s">
        <v>826</v>
      </c>
      <c r="G13" s="402"/>
      <c r="H13" s="403">
        <f>SUM('Acct Summary 7-8'!C8+'Acct Summary 7-8'!D8+'Acct Summary 7-8'!F8+'Acct Summary 7-8'!I8)+H14</f>
        <v>8919773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-2286923</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8350299</v>
      </c>
      <c r="I17" s="404"/>
      <c r="J17" s="416"/>
      <c r="K17" s="405">
        <f>TRUNC((H17/H18*100000),5)/100000</f>
        <v>0.93615599849999998</v>
      </c>
      <c r="L17" s="406"/>
      <c r="M17" s="417" t="s">
        <v>1233</v>
      </c>
      <c r="O17" s="418" t="str">
        <f>IF(AND(O16="2", J20 &gt; 2),"1",IF(AND(O16 = "1", J20 &gt; 2),"2",IF(AND(O16="1", J20 &gt;1),"1","0")))</f>
        <v>0</v>
      </c>
      <c r="P17" s="218"/>
    </row>
    <row r="18" spans="1:18" s="408" customFormat="1" ht="11.25" x14ac:dyDescent="0.2">
      <c r="A18" s="218"/>
      <c r="B18" s="401"/>
      <c r="C18" s="2108" t="s">
        <v>1384</v>
      </c>
      <c r="D18" s="2109"/>
      <c r="E18" s="218"/>
      <c r="F18" s="419" t="s">
        <v>827</v>
      </c>
      <c r="G18" s="402"/>
      <c r="H18" s="403">
        <f>SUM('Acct Summary 7-8'!C8+'Acct Summary 7-8'!D8+'Acct Summary 7-8'!F8+'Acct Summary 7-8'!I8)+H19</f>
        <v>8919773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-2286923</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5" t="s">
        <v>1479</v>
      </c>
      <c r="D24" s="2105"/>
      <c r="E24" s="218"/>
      <c r="F24" s="218" t="s">
        <v>465</v>
      </c>
      <c r="G24" s="402"/>
      <c r="H24" s="403">
        <f>SUM('Assets-Liab 5-6'!C4+'Assets-Liab 5-6'!D4+'Assets-Liab 5-6'!F4+'Assets-Liab 5-6'!I4+'Assets-Liab 5-6'!C5+'Assets-Liab 5-6'!D5+'Assets-Liab 5-6'!F5+'Assets-Liab 5-6'!I5)</f>
        <v>13643686</v>
      </c>
      <c r="I24" s="422"/>
      <c r="J24" s="422"/>
      <c r="K24" s="423">
        <f>TRUNC(((H24/H25*100000)/100000),2)</f>
        <v>588.20000000000005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23195.275000000001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5889850.1860999996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34625000</v>
      </c>
      <c r="I32" s="420"/>
      <c r="J32" s="420"/>
      <c r="K32" s="423">
        <f>TRUNC(100-((((H32/H33*100))*100)/100),2)</f>
        <v>-74.239999999999995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19871872.419000003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D87" sqref="D87"/>
      <selection pane="bottomLeft" activeCell="D87" sqref="D8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5" t="s">
        <v>1030</v>
      </c>
      <c r="B3" s="2116"/>
      <c r="C3" s="1569"/>
      <c r="D3" s="1570"/>
      <c r="E3" s="1570"/>
      <c r="F3" s="1570"/>
      <c r="G3" s="1570"/>
      <c r="H3" s="1570"/>
      <c r="I3" s="1570"/>
      <c r="J3" s="1570"/>
      <c r="K3" s="1570"/>
      <c r="L3" s="1570"/>
      <c r="M3" s="1571"/>
      <c r="N3" s="1572"/>
    </row>
    <row r="4" spans="1:14" ht="13.5" customHeight="1" x14ac:dyDescent="0.2">
      <c r="A4" s="463" t="s">
        <v>1750</v>
      </c>
      <c r="B4" s="464"/>
      <c r="C4" s="465">
        <v>9511773</v>
      </c>
      <c r="D4" s="466">
        <v>824325</v>
      </c>
      <c r="E4" s="466">
        <v>30535</v>
      </c>
      <c r="F4" s="466">
        <v>1025786</v>
      </c>
      <c r="G4" s="466">
        <v>280359</v>
      </c>
      <c r="H4" s="466">
        <v>7023955</v>
      </c>
      <c r="I4" s="466"/>
      <c r="J4" s="467">
        <v>385407</v>
      </c>
      <c r="K4" s="466">
        <v>911356</v>
      </c>
      <c r="L4" s="466">
        <v>29137</v>
      </c>
      <c r="M4" s="468"/>
      <c r="N4" s="469"/>
    </row>
    <row r="5" spans="1:14" x14ac:dyDescent="0.2">
      <c r="A5" s="463" t="s">
        <v>1049</v>
      </c>
      <c r="B5" s="470">
        <v>120</v>
      </c>
      <c r="C5" s="465">
        <v>2281802</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6" t="s">
        <v>665</v>
      </c>
      <c r="B13" s="1719"/>
      <c r="C13" s="1747">
        <f>SUM(C4:C12)</f>
        <v>11793575</v>
      </c>
      <c r="D13" s="1747">
        <f t="shared" ref="D13:L13" si="0">SUM(D4:D12)</f>
        <v>824325</v>
      </c>
      <c r="E13" s="1747">
        <f t="shared" si="0"/>
        <v>30535</v>
      </c>
      <c r="F13" s="1747">
        <f t="shared" si="0"/>
        <v>1025786</v>
      </c>
      <c r="G13" s="1747">
        <f t="shared" si="0"/>
        <v>280359</v>
      </c>
      <c r="H13" s="1747">
        <f t="shared" si="0"/>
        <v>7023955</v>
      </c>
      <c r="I13" s="1747">
        <f t="shared" si="0"/>
        <v>0</v>
      </c>
      <c r="J13" s="1747">
        <f t="shared" si="0"/>
        <v>385407</v>
      </c>
      <c r="K13" s="1747">
        <f t="shared" si="0"/>
        <v>911356</v>
      </c>
      <c r="L13" s="1747">
        <f t="shared" si="0"/>
        <v>29137</v>
      </c>
      <c r="M13" s="468"/>
      <c r="N13" s="469"/>
    </row>
    <row r="14" spans="1:14" ht="18" customHeight="1" thickTop="1" x14ac:dyDescent="0.2">
      <c r="A14" s="2117" t="s">
        <v>149</v>
      </c>
      <c r="B14" s="2118"/>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825000</v>
      </c>
      <c r="N16" s="484"/>
    </row>
    <row r="17" spans="1:14" s="485" customFormat="1" ht="12.75" customHeight="1" x14ac:dyDescent="0.2">
      <c r="A17" s="482" t="s">
        <v>1470</v>
      </c>
      <c r="B17" s="483">
        <v>230</v>
      </c>
      <c r="C17" s="477"/>
      <c r="D17" s="477"/>
      <c r="E17" s="477"/>
      <c r="F17" s="477"/>
      <c r="G17" s="477"/>
      <c r="H17" s="477"/>
      <c r="I17" s="477"/>
      <c r="J17" s="477"/>
      <c r="K17" s="477"/>
      <c r="L17" s="477"/>
      <c r="M17" s="467">
        <f>5310580+148140</f>
        <v>5458720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3550837</v>
      </c>
      <c r="N19" s="484"/>
    </row>
    <row r="20" spans="1:14" s="485" customFormat="1" ht="12.75" customHeight="1" x14ac:dyDescent="0.2">
      <c r="A20" s="482" t="s">
        <v>1473</v>
      </c>
      <c r="B20" s="483">
        <v>260</v>
      </c>
      <c r="C20" s="477"/>
      <c r="D20" s="477"/>
      <c r="E20" s="477"/>
      <c r="F20" s="477"/>
      <c r="G20" s="477"/>
      <c r="H20" s="477"/>
      <c r="I20" s="477"/>
      <c r="J20" s="477"/>
      <c r="K20" s="477"/>
      <c r="L20" s="477"/>
      <c r="M20" s="467">
        <v>28399129</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30535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34594465</v>
      </c>
    </row>
    <row r="23" spans="1:14" ht="13.5" customHeight="1" thickBot="1" x14ac:dyDescent="0.25">
      <c r="A23" s="1746" t="s">
        <v>664</v>
      </c>
      <c r="B23" s="1751"/>
      <c r="C23" s="468"/>
      <c r="D23" s="468"/>
      <c r="E23" s="468"/>
      <c r="F23" s="468"/>
      <c r="G23" s="468"/>
      <c r="H23" s="468"/>
      <c r="I23" s="468"/>
      <c r="J23" s="468"/>
      <c r="K23" s="468"/>
      <c r="L23" s="468"/>
      <c r="M23" s="1698">
        <f>SUM(M15:M22)</f>
        <v>38233686</v>
      </c>
      <c r="N23" s="1698">
        <f>SUM(N21:N22)</f>
        <v>34625000</v>
      </c>
    </row>
    <row r="24" spans="1:14" ht="18" customHeight="1" thickTop="1" x14ac:dyDescent="0.2">
      <c r="A24" s="2119" t="s">
        <v>619</v>
      </c>
      <c r="B24" s="2120"/>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v>547</v>
      </c>
      <c r="E31" s="467"/>
      <c r="F31" s="466">
        <v>5</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29137</v>
      </c>
      <c r="M33" s="468"/>
      <c r="N33" s="469"/>
    </row>
    <row r="34" spans="1:14" ht="13.5" customHeight="1" thickBot="1" x14ac:dyDescent="0.25">
      <c r="A34" s="1748" t="s">
        <v>675</v>
      </c>
      <c r="B34" s="1749"/>
      <c r="C34" s="1750">
        <f>SUM(C25:C33)</f>
        <v>0</v>
      </c>
      <c r="D34" s="1750">
        <f t="shared" ref="D34:K34" si="1">SUM(D25:D33)</f>
        <v>547</v>
      </c>
      <c r="E34" s="1750">
        <f t="shared" si="1"/>
        <v>0</v>
      </c>
      <c r="F34" s="1750">
        <f t="shared" si="1"/>
        <v>5</v>
      </c>
      <c r="G34" s="1750">
        <f t="shared" si="1"/>
        <v>0</v>
      </c>
      <c r="H34" s="1750">
        <f t="shared" si="1"/>
        <v>0</v>
      </c>
      <c r="I34" s="1750">
        <f t="shared" si="1"/>
        <v>0</v>
      </c>
      <c r="J34" s="1750">
        <f t="shared" si="1"/>
        <v>0</v>
      </c>
      <c r="K34" s="1750">
        <f t="shared" si="1"/>
        <v>0</v>
      </c>
      <c r="L34" s="1731">
        <f>SUM(L33)</f>
        <v>29137</v>
      </c>
      <c r="M34" s="468"/>
      <c r="N34" s="480"/>
    </row>
    <row r="35" spans="1:14" ht="18" customHeight="1" thickTop="1" x14ac:dyDescent="0.2">
      <c r="A35" s="2121" t="s">
        <v>550</v>
      </c>
      <c r="B35" s="2122"/>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34625000</v>
      </c>
    </row>
    <row r="37" spans="1:14" ht="13.5" thickBot="1" x14ac:dyDescent="0.25">
      <c r="A37" s="1746" t="s">
        <v>674</v>
      </c>
      <c r="B37" s="1751"/>
      <c r="C37" s="477"/>
      <c r="D37" s="477"/>
      <c r="E37" s="477"/>
      <c r="F37" s="477"/>
      <c r="G37" s="477"/>
      <c r="H37" s="477"/>
      <c r="I37" s="477"/>
      <c r="J37" s="477"/>
      <c r="K37" s="477"/>
      <c r="L37" s="480"/>
      <c r="M37" s="468"/>
      <c r="N37" s="1698">
        <f>SUM(N36:N36)</f>
        <v>34625000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11793575</v>
      </c>
      <c r="D39" s="466">
        <v>823778</v>
      </c>
      <c r="E39" s="466">
        <v>30535</v>
      </c>
      <c r="F39" s="466">
        <v>1025781</v>
      </c>
      <c r="G39" s="466">
        <v>280359</v>
      </c>
      <c r="H39" s="466">
        <v>7023955</v>
      </c>
      <c r="I39" s="466"/>
      <c r="J39" s="467">
        <v>385407</v>
      </c>
      <c r="K39" s="466">
        <v>911356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38233686</v>
      </c>
      <c r="N40" s="497"/>
    </row>
    <row r="41" spans="1:14" ht="13.5" customHeight="1" thickBot="1" x14ac:dyDescent="0.25">
      <c r="A41" s="1746" t="s">
        <v>676</v>
      </c>
      <c r="B41" s="1716"/>
      <c r="C41" s="1698">
        <f>(SUM(C34,C37,C38,C39))</f>
        <v>11793575</v>
      </c>
      <c r="D41" s="1698">
        <f t="shared" ref="D41:L41" si="2">SUM(D34,D37,D38:D39)</f>
        <v>824325</v>
      </c>
      <c r="E41" s="1698">
        <f t="shared" si="2"/>
        <v>30535</v>
      </c>
      <c r="F41" s="1698">
        <f t="shared" si="2"/>
        <v>1025786</v>
      </c>
      <c r="G41" s="1698">
        <f t="shared" si="2"/>
        <v>280359</v>
      </c>
      <c r="H41" s="1698">
        <f t="shared" si="2"/>
        <v>7023955</v>
      </c>
      <c r="I41" s="1698">
        <f t="shared" si="2"/>
        <v>0</v>
      </c>
      <c r="J41" s="1698">
        <f t="shared" si="2"/>
        <v>385407</v>
      </c>
      <c r="K41" s="1698">
        <f t="shared" si="2"/>
        <v>911356</v>
      </c>
      <c r="L41" s="1698">
        <f t="shared" si="2"/>
        <v>29137</v>
      </c>
      <c r="M41" s="1698">
        <f>SUM(M40)</f>
        <v>38233686</v>
      </c>
      <c r="N41" s="1698">
        <f>SUM(N37)</f>
        <v>34625000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87" sqref="D87"/>
      <selection pane="bottomLeft" activeCell="D87" sqref="D8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3" t="s">
        <v>1237</v>
      </c>
      <c r="B3" s="2144"/>
      <c r="C3" s="1583"/>
      <c r="D3" s="1584"/>
      <c r="E3" s="1584"/>
      <c r="F3" s="1584"/>
      <c r="G3" s="1584"/>
      <c r="H3" s="1584"/>
      <c r="I3" s="1584"/>
      <c r="J3" s="1584"/>
      <c r="K3" s="1585"/>
      <c r="L3" s="506"/>
    </row>
    <row r="4" spans="1:13" ht="15.75" customHeight="1" x14ac:dyDescent="0.2">
      <c r="A4" s="2145" t="s">
        <v>1579</v>
      </c>
      <c r="B4" s="2146"/>
      <c r="C4" s="1752">
        <f>'Revenues 9-14'!C109</f>
        <v>5817631</v>
      </c>
      <c r="D4" s="1752">
        <f>'Revenues 9-14'!D109</f>
        <v>2273855</v>
      </c>
      <c r="E4" s="1752">
        <f>'Revenues 9-14'!E109</f>
        <v>62266</v>
      </c>
      <c r="F4" s="1752">
        <f>'Revenues 9-14'!F109</f>
        <v>201474</v>
      </c>
      <c r="G4" s="1752">
        <f>'Revenues 9-14'!G109</f>
        <v>389821</v>
      </c>
      <c r="H4" s="1752">
        <f>'Revenues 9-14'!H109</f>
        <v>242605</v>
      </c>
      <c r="I4" s="1752">
        <f>'Revenues 9-14'!I109</f>
        <v>108180</v>
      </c>
      <c r="J4" s="1752">
        <f>'Revenues 9-14'!J109</f>
        <v>157462</v>
      </c>
      <c r="K4" s="1752">
        <f>'Revenues 9-14'!K109</f>
        <v>131972</v>
      </c>
      <c r="L4" s="347"/>
    </row>
    <row r="5" spans="1:13" ht="15.75" customHeight="1" x14ac:dyDescent="0.2">
      <c r="A5" s="1586" t="s">
        <v>1580</v>
      </c>
      <c r="B5" s="1587">
        <v>2000</v>
      </c>
      <c r="C5" s="1753">
        <f>'Revenues 9-14'!C114</f>
        <v>0</v>
      </c>
      <c r="D5" s="1753">
        <f>'Revenues 9-14'!D114</f>
        <v>0</v>
      </c>
      <c r="E5" s="508"/>
      <c r="F5" s="1753">
        <f>'Revenues 9-14'!F114</f>
        <v>0</v>
      </c>
      <c r="G5" s="1753">
        <f>'Revenues 9-14'!G114</f>
        <v>0</v>
      </c>
      <c r="H5" s="509" t="s">
        <v>1231</v>
      </c>
      <c r="I5" s="510" t="s">
        <v>1231</v>
      </c>
      <c r="J5" s="511" t="s">
        <v>1231</v>
      </c>
      <c r="K5" s="512" t="s">
        <v>1231</v>
      </c>
      <c r="L5" s="347"/>
    </row>
    <row r="6" spans="1:13" ht="15.75" customHeight="1" x14ac:dyDescent="0.2">
      <c r="A6" s="1586" t="s">
        <v>1581</v>
      </c>
      <c r="B6" s="1588">
        <v>3000</v>
      </c>
      <c r="C6" s="1753">
        <f>'Revenues 9-14'!C173</f>
        <v>1662563</v>
      </c>
      <c r="D6" s="1753">
        <f>'Revenues 9-14'!D173</f>
        <v>0</v>
      </c>
      <c r="E6" s="1753">
        <f>'Revenues 9-14'!E173</f>
        <v>0</v>
      </c>
      <c r="F6" s="1753">
        <f>'Revenues 9-14'!F173</f>
        <v>470445</v>
      </c>
      <c r="G6" s="1753">
        <f>'Revenues 9-14'!G173</f>
        <v>0</v>
      </c>
      <c r="H6" s="1753">
        <f>'Revenues 9-14'!H173</f>
        <v>0</v>
      </c>
      <c r="I6" s="1753">
        <f>'Revenues 9-14'!I173</f>
        <v>0</v>
      </c>
      <c r="J6" s="1753">
        <f>'Revenues 9-14'!J173</f>
        <v>0</v>
      </c>
      <c r="K6" s="1753">
        <f>'Revenues 9-14'!K173</f>
        <v>0</v>
      </c>
      <c r="L6" s="347"/>
      <c r="M6" s="513"/>
    </row>
    <row r="7" spans="1:13" ht="15.75" customHeight="1" x14ac:dyDescent="0.2">
      <c r="A7" s="1586" t="s">
        <v>1582</v>
      </c>
      <c r="B7" s="1588">
        <v>4000</v>
      </c>
      <c r="C7" s="1753">
        <f>'Revenues 9-14'!C274</f>
        <v>672548</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3"/>
    </row>
    <row r="8" spans="1:13" ht="13.5" thickBot="1" x14ac:dyDescent="0.25">
      <c r="A8" s="1746" t="s">
        <v>1234</v>
      </c>
      <c r="B8" s="1719"/>
      <c r="C8" s="1698">
        <f>SUM(C4:C7)</f>
        <v>8152742</v>
      </c>
      <c r="D8" s="1698">
        <f t="shared" ref="D8:K8" si="0">SUM(D4:D7)</f>
        <v>2273855</v>
      </c>
      <c r="E8" s="1698">
        <f t="shared" si="0"/>
        <v>62266</v>
      </c>
      <c r="F8" s="1698">
        <f t="shared" si="0"/>
        <v>671919</v>
      </c>
      <c r="G8" s="1698">
        <f t="shared" si="0"/>
        <v>389821</v>
      </c>
      <c r="H8" s="1698">
        <f t="shared" si="0"/>
        <v>242605</v>
      </c>
      <c r="I8" s="1698">
        <f t="shared" si="0"/>
        <v>108180</v>
      </c>
      <c r="J8" s="1698">
        <f t="shared" si="0"/>
        <v>157462</v>
      </c>
      <c r="K8" s="1698">
        <f t="shared" si="0"/>
        <v>131972</v>
      </c>
      <c r="L8" s="347"/>
    </row>
    <row r="9" spans="1:13" ht="15.75" thickTop="1" x14ac:dyDescent="0.2">
      <c r="A9" s="514" t="s">
        <v>1752</v>
      </c>
      <c r="B9" s="515">
        <v>3998</v>
      </c>
      <c r="C9" s="481">
        <v>366747</v>
      </c>
      <c r="D9" s="516"/>
      <c r="E9" s="481"/>
      <c r="F9" s="481"/>
      <c r="G9" s="517"/>
      <c r="H9" s="481"/>
      <c r="I9" s="509" t="s">
        <v>1231</v>
      </c>
      <c r="J9" s="478"/>
      <c r="K9" s="481"/>
      <c r="L9" s="347"/>
    </row>
    <row r="10" spans="1:13" s="519" customFormat="1" ht="13.5" thickBot="1" x14ac:dyDescent="0.25">
      <c r="A10" s="1746" t="s">
        <v>1235</v>
      </c>
      <c r="B10" s="1719"/>
      <c r="C10" s="1698">
        <f>SUM(C8:C9)</f>
        <v>8519489</v>
      </c>
      <c r="D10" s="1698">
        <f t="shared" ref="D10:K10" si="1">SUM(D8:D9)</f>
        <v>2273855</v>
      </c>
      <c r="E10" s="1698">
        <f t="shared" si="1"/>
        <v>62266</v>
      </c>
      <c r="F10" s="1698">
        <f t="shared" si="1"/>
        <v>671919</v>
      </c>
      <c r="G10" s="1698">
        <f t="shared" si="1"/>
        <v>389821</v>
      </c>
      <c r="H10" s="1698">
        <f t="shared" si="1"/>
        <v>242605</v>
      </c>
      <c r="I10" s="1698">
        <f t="shared" si="1"/>
        <v>108180</v>
      </c>
      <c r="J10" s="1698">
        <f t="shared" si="1"/>
        <v>157462</v>
      </c>
      <c r="K10" s="1698">
        <f t="shared" si="1"/>
        <v>131972</v>
      </c>
      <c r="L10" s="518"/>
    </row>
    <row r="11" spans="1:13" s="519" customFormat="1" ht="16.7" customHeight="1" thickTop="1" x14ac:dyDescent="0.2">
      <c r="A11" s="2117" t="s">
        <v>1238</v>
      </c>
      <c r="B11" s="2118"/>
      <c r="C11" s="1580"/>
      <c r="D11" s="1581"/>
      <c r="E11" s="1581"/>
      <c r="F11" s="1581"/>
      <c r="G11" s="1581"/>
      <c r="H11" s="1581"/>
      <c r="I11" s="1581"/>
      <c r="J11" s="1581"/>
      <c r="K11" s="1582"/>
      <c r="L11" s="518"/>
    </row>
    <row r="12" spans="1:13" ht="15.75" customHeight="1" x14ac:dyDescent="0.2">
      <c r="A12" s="1586" t="s">
        <v>476</v>
      </c>
      <c r="B12" s="1588">
        <v>1000</v>
      </c>
      <c r="C12" s="1752">
        <f>'Expenditures 15-22'!K33</f>
        <v>4063798</v>
      </c>
      <c r="D12" s="520" t="s">
        <v>1231</v>
      </c>
      <c r="E12" s="468" t="s">
        <v>1231</v>
      </c>
      <c r="F12" s="468" t="s">
        <v>1231</v>
      </c>
      <c r="G12" s="1752">
        <f>'Expenditures 15-22'!K229</f>
        <v>85833</v>
      </c>
      <c r="H12" s="521"/>
      <c r="I12" s="468" t="s">
        <v>1231</v>
      </c>
      <c r="J12" s="468" t="s">
        <v>1231</v>
      </c>
      <c r="K12" s="521" t="s">
        <v>1231</v>
      </c>
      <c r="L12" s="347"/>
    </row>
    <row r="13" spans="1:13" ht="15.75" customHeight="1" x14ac:dyDescent="0.2">
      <c r="A13" s="1586" t="s">
        <v>477</v>
      </c>
      <c r="B13" s="1588">
        <v>2000</v>
      </c>
      <c r="C13" s="1753">
        <f>'Expenditures 15-22'!K74</f>
        <v>1833854</v>
      </c>
      <c r="D13" s="1753">
        <f>'Expenditures 15-22'!K129</f>
        <v>860067</v>
      </c>
      <c r="E13" s="469" t="s">
        <v>1231</v>
      </c>
      <c r="F13" s="1753">
        <f>'Expenditures 15-22'!K184</f>
        <v>795513</v>
      </c>
      <c r="G13" s="1753">
        <f>'Expenditures 15-22'!K279</f>
        <v>199631</v>
      </c>
      <c r="H13" s="1753">
        <f>'Expenditures 15-22'!K303</f>
        <v>25826337</v>
      </c>
      <c r="I13" s="468" t="s">
        <v>1231</v>
      </c>
      <c r="J13" s="1753">
        <f>'Expenditures 15-22'!K330</f>
        <v>122742</v>
      </c>
      <c r="K13" s="1757">
        <f>'Expenditures 15-22'!K352</f>
        <v>106310</v>
      </c>
      <c r="L13" s="347"/>
    </row>
    <row r="14" spans="1:13" ht="15.75" customHeight="1" x14ac:dyDescent="0.2">
      <c r="A14" s="1586" t="s">
        <v>469</v>
      </c>
      <c r="B14" s="1588">
        <v>3000</v>
      </c>
      <c r="C14" s="1753">
        <f>'Expenditures 15-22'!K75</f>
        <v>3611</v>
      </c>
      <c r="D14" s="1753">
        <f>'Expenditures 15-22'!K130</f>
        <v>0</v>
      </c>
      <c r="E14" s="520" t="s">
        <v>1231</v>
      </c>
      <c r="F14" s="1753">
        <f>'Expenditures 15-22'!K185</f>
        <v>0</v>
      </c>
      <c r="G14" s="1753">
        <f>'Expenditures 15-22'!K280</f>
        <v>0</v>
      </c>
      <c r="H14" s="512"/>
      <c r="I14" s="468" t="s">
        <v>1231</v>
      </c>
      <c r="J14" s="468" t="s">
        <v>1231</v>
      </c>
      <c r="K14" s="512" t="s">
        <v>1231</v>
      </c>
      <c r="L14" s="347"/>
    </row>
    <row r="15" spans="1:13" ht="15.75" customHeight="1" x14ac:dyDescent="0.2">
      <c r="A15" s="1586" t="s">
        <v>109</v>
      </c>
      <c r="B15" s="1588">
        <v>4000</v>
      </c>
      <c r="C15" s="1753">
        <f>'Expenditures 15-22'!K102</f>
        <v>793456</v>
      </c>
      <c r="D15" s="1753">
        <f>'Expenditures 15-22'!K139</f>
        <v>0</v>
      </c>
      <c r="E15" s="1753">
        <f>'Expenditures 15-22'!K160</f>
        <v>0</v>
      </c>
      <c r="F15" s="1753">
        <f>'Expenditures 15-22'!K196</f>
        <v>0</v>
      </c>
      <c r="G15" s="1753">
        <f>'Expenditures 15-22'!K285</f>
        <v>0</v>
      </c>
      <c r="H15" s="1753">
        <f>'Expenditures 15-22'!K310</f>
        <v>0</v>
      </c>
      <c r="I15" s="468" t="s">
        <v>1231</v>
      </c>
      <c r="J15" s="1846">
        <f>'Expenditures 15-22'!K334</f>
        <v>0</v>
      </c>
      <c r="K15" s="1753">
        <f>'Expenditures 15-22'!K357</f>
        <v>0</v>
      </c>
      <c r="L15" s="347"/>
    </row>
    <row r="16" spans="1:13" ht="15.75" customHeight="1" x14ac:dyDescent="0.2">
      <c r="A16" s="1586" t="s">
        <v>470</v>
      </c>
      <c r="B16" s="1588">
        <v>5000</v>
      </c>
      <c r="C16" s="1753">
        <f>'Expenditures 15-22'!K112</f>
        <v>0</v>
      </c>
      <c r="D16" s="1753">
        <f>'Expenditures 15-22'!K149</f>
        <v>0</v>
      </c>
      <c r="E16" s="1753">
        <f>'Expenditures 15-22'!K172</f>
        <v>2348705</v>
      </c>
      <c r="F16" s="1753">
        <f>'Expenditures 15-22'!K208</f>
        <v>0</v>
      </c>
      <c r="G16" s="1753">
        <f>'Expenditures 15-22'!K293</f>
        <v>0</v>
      </c>
      <c r="H16" s="523"/>
      <c r="I16" s="468" t="s">
        <v>1231</v>
      </c>
      <c r="J16" s="1758">
        <f>'Expenditures 15-22'!K340</f>
        <v>0</v>
      </c>
      <c r="K16" s="1753">
        <f>'Expenditures 15-22'!K365</f>
        <v>0</v>
      </c>
      <c r="L16" s="347"/>
    </row>
    <row r="17" spans="1:12" ht="13.5" thickBot="1" x14ac:dyDescent="0.25">
      <c r="A17" s="1718" t="s">
        <v>50</v>
      </c>
      <c r="B17" s="1719"/>
      <c r="C17" s="1698">
        <f t="shared" ref="C17:H17" si="2">SUM(C12:C16)</f>
        <v>6694719</v>
      </c>
      <c r="D17" s="1698">
        <f t="shared" si="2"/>
        <v>860067</v>
      </c>
      <c r="E17" s="1698">
        <f t="shared" si="2"/>
        <v>2348705</v>
      </c>
      <c r="F17" s="1698">
        <f t="shared" si="2"/>
        <v>795513</v>
      </c>
      <c r="G17" s="1698">
        <f t="shared" si="2"/>
        <v>285464</v>
      </c>
      <c r="H17" s="1698">
        <f t="shared" si="2"/>
        <v>25826337</v>
      </c>
      <c r="I17" s="468"/>
      <c r="J17" s="1698">
        <f>SUM(J12:J16)</f>
        <v>122742</v>
      </c>
      <c r="K17" s="1698">
        <f>SUM(K12:K16)</f>
        <v>106310</v>
      </c>
      <c r="L17" s="347"/>
    </row>
    <row r="18" spans="1:12" ht="15" customHeight="1" thickTop="1" x14ac:dyDescent="0.2">
      <c r="A18" s="1754" t="s">
        <v>1753</v>
      </c>
      <c r="B18" s="1755">
        <v>4180</v>
      </c>
      <c r="C18" s="1752">
        <f t="shared" ref="C18:H18" si="3">C9</f>
        <v>366747</v>
      </c>
      <c r="D18" s="1752">
        <f t="shared" si="3"/>
        <v>0</v>
      </c>
      <c r="E18" s="1752">
        <f t="shared" si="3"/>
        <v>0</v>
      </c>
      <c r="F18" s="1752">
        <f t="shared" si="3"/>
        <v>0</v>
      </c>
      <c r="G18" s="1752">
        <f t="shared" si="3"/>
        <v>0</v>
      </c>
      <c r="H18" s="1752">
        <f t="shared" si="3"/>
        <v>0</v>
      </c>
      <c r="I18" s="468"/>
      <c r="J18" s="1752">
        <f>J9</f>
        <v>0</v>
      </c>
      <c r="K18" s="1752">
        <f>K9</f>
        <v>0</v>
      </c>
      <c r="L18" s="347"/>
    </row>
    <row r="19" spans="1:12" ht="13.5" thickBot="1" x14ac:dyDescent="0.25">
      <c r="A19" s="1718" t="s">
        <v>526</v>
      </c>
      <c r="B19" s="1719"/>
      <c r="C19" s="1698">
        <f t="shared" ref="C19:H19" si="4">SUM(C17:C18)</f>
        <v>7061466</v>
      </c>
      <c r="D19" s="1698">
        <f t="shared" si="4"/>
        <v>860067</v>
      </c>
      <c r="E19" s="1698">
        <f t="shared" si="4"/>
        <v>2348705</v>
      </c>
      <c r="F19" s="1698">
        <f t="shared" si="4"/>
        <v>795513</v>
      </c>
      <c r="G19" s="1698">
        <f t="shared" si="4"/>
        <v>285464</v>
      </c>
      <c r="H19" s="1698">
        <f t="shared" si="4"/>
        <v>25826337</v>
      </c>
      <c r="I19" s="468"/>
      <c r="J19" s="1698">
        <f>SUM(J17:J18)</f>
        <v>122742</v>
      </c>
      <c r="K19" s="1698">
        <f>SUM(K17:K18)</f>
        <v>106310</v>
      </c>
      <c r="L19" s="347"/>
    </row>
    <row r="20" spans="1:12" ht="16.5" thickTop="1" thickBot="1" x14ac:dyDescent="0.25">
      <c r="A20" s="2133" t="s">
        <v>1754</v>
      </c>
      <c r="B20" s="2134"/>
      <c r="C20" s="1756">
        <f>C8-C17</f>
        <v>1458023</v>
      </c>
      <c r="D20" s="1756">
        <f t="shared" ref="D20:K20" si="5">D8-D17</f>
        <v>1413788</v>
      </c>
      <c r="E20" s="1756">
        <f t="shared" si="5"/>
        <v>-2286439</v>
      </c>
      <c r="F20" s="1756">
        <f t="shared" si="5"/>
        <v>-123594</v>
      </c>
      <c r="G20" s="1756">
        <f t="shared" si="5"/>
        <v>104357</v>
      </c>
      <c r="H20" s="1756">
        <f t="shared" si="5"/>
        <v>-25583732</v>
      </c>
      <c r="I20" s="1756">
        <f t="shared" si="5"/>
        <v>108180</v>
      </c>
      <c r="J20" s="1756">
        <f t="shared" si="5"/>
        <v>34720</v>
      </c>
      <c r="K20" s="1756">
        <f t="shared" si="5"/>
        <v>25662</v>
      </c>
      <c r="L20" s="347"/>
    </row>
    <row r="21" spans="1:12" ht="16.7" customHeight="1" thickTop="1" x14ac:dyDescent="0.2">
      <c r="A21" s="2147" t="s">
        <v>616</v>
      </c>
      <c r="B21" s="2148"/>
      <c r="C21" s="1580"/>
      <c r="D21" s="1581"/>
      <c r="E21" s="1581"/>
      <c r="F21" s="1581"/>
      <c r="G21" s="1581"/>
      <c r="H21" s="1581"/>
      <c r="I21" s="1581"/>
      <c r="J21" s="1581"/>
      <c r="K21" s="1582"/>
      <c r="L21" s="524"/>
    </row>
    <row r="22" spans="1:12" ht="15.75" customHeight="1" collapsed="1" x14ac:dyDescent="0.2">
      <c r="A22" s="2141" t="s">
        <v>617</v>
      </c>
      <c r="B22" s="2142"/>
      <c r="C22" s="477"/>
      <c r="D22" s="477"/>
      <c r="E22" s="477"/>
      <c r="F22" s="477"/>
      <c r="G22" s="477"/>
      <c r="H22" s="477"/>
      <c r="I22" s="477"/>
      <c r="J22" s="477"/>
      <c r="K22" s="477"/>
      <c r="L22" s="347"/>
    </row>
    <row r="23" spans="1:12" s="485" customFormat="1" ht="15.75" customHeight="1" x14ac:dyDescent="0.2">
      <c r="A23" s="2137" t="s">
        <v>311</v>
      </c>
      <c r="B23" s="2138"/>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v>108180</v>
      </c>
      <c r="D25" s="467"/>
      <c r="E25" s="467"/>
      <c r="F25" s="467"/>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39" t="s">
        <v>1038</v>
      </c>
      <c r="B32" s="2140"/>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3">
        <f>SUM(C54:D57,H54:H57)</f>
        <v>0</v>
      </c>
      <c r="F37" s="475"/>
      <c r="G37" s="475"/>
      <c r="H37" s="475"/>
      <c r="I37" s="477"/>
      <c r="J37" s="475"/>
      <c r="K37" s="475"/>
      <c r="L37" s="524"/>
    </row>
    <row r="38" spans="1:12" s="485" customFormat="1" x14ac:dyDescent="0.2">
      <c r="A38" s="1499" t="s">
        <v>462</v>
      </c>
      <c r="B38" s="525">
        <v>7500</v>
      </c>
      <c r="C38" s="477"/>
      <c r="D38" s="477"/>
      <c r="E38" s="1753">
        <f>SUM(C58:D61,H58:H61)</f>
        <v>0</v>
      </c>
      <c r="F38" s="477"/>
      <c r="G38" s="477"/>
      <c r="H38" s="477"/>
      <c r="I38" s="477"/>
      <c r="J38" s="477"/>
      <c r="K38" s="477"/>
      <c r="L38" s="524"/>
    </row>
    <row r="39" spans="1:12" s="485" customFormat="1" x14ac:dyDescent="0.2">
      <c r="A39" s="1499" t="s">
        <v>463</v>
      </c>
      <c r="B39" s="525">
        <v>7600</v>
      </c>
      <c r="C39" s="477"/>
      <c r="D39" s="477"/>
      <c r="E39" s="1753">
        <f>SUM(C62:D65)</f>
        <v>625000</v>
      </c>
      <c r="F39" s="477"/>
      <c r="G39" s="477"/>
      <c r="H39" s="477"/>
      <c r="I39" s="477"/>
      <c r="J39" s="477"/>
      <c r="K39" s="477"/>
      <c r="L39" s="524"/>
    </row>
    <row r="40" spans="1:12" s="485" customFormat="1" ht="13.5" customHeight="1" x14ac:dyDescent="0.2">
      <c r="A40" s="1499" t="s">
        <v>663</v>
      </c>
      <c r="B40" s="483">
        <v>7700</v>
      </c>
      <c r="C40" s="477"/>
      <c r="D40" s="477"/>
      <c r="E40" s="1753">
        <f>SUM(C66:D69)</f>
        <v>1661923</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3">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49" t="s">
        <v>392</v>
      </c>
      <c r="B44" s="2150"/>
      <c r="C44" s="1713">
        <f>SUM(C24:C43)</f>
        <v>108180</v>
      </c>
      <c r="D44" s="1713">
        <f t="shared" ref="D44:K44" si="6">SUM(D24:D43)</f>
        <v>0</v>
      </c>
      <c r="E44" s="1713">
        <f t="shared" si="6"/>
        <v>2286923</v>
      </c>
      <c r="F44" s="1713">
        <f t="shared" si="6"/>
        <v>0</v>
      </c>
      <c r="G44" s="1713">
        <f t="shared" si="6"/>
        <v>0</v>
      </c>
      <c r="H44" s="1713">
        <f t="shared" si="6"/>
        <v>0</v>
      </c>
      <c r="I44" s="1713">
        <f t="shared" si="6"/>
        <v>0</v>
      </c>
      <c r="J44" s="1713">
        <f t="shared" si="6"/>
        <v>0</v>
      </c>
      <c r="K44" s="1713">
        <f t="shared" si="6"/>
        <v>0</v>
      </c>
      <c r="L44" s="524"/>
    </row>
    <row r="45" spans="1:12" ht="15.75" customHeight="1" thickTop="1" x14ac:dyDescent="0.2">
      <c r="A45" s="2141" t="s">
        <v>110</v>
      </c>
      <c r="B45" s="2142"/>
      <c r="C45" s="528"/>
      <c r="D45" s="528"/>
      <c r="E45" s="528"/>
      <c r="F45" s="528"/>
      <c r="G45" s="528"/>
      <c r="H45" s="528"/>
      <c r="I45" s="528"/>
      <c r="J45" s="528"/>
      <c r="K45" s="528"/>
      <c r="L45" s="347"/>
    </row>
    <row r="46" spans="1:12" s="485" customFormat="1" ht="15.75" customHeight="1" x14ac:dyDescent="0.2">
      <c r="A46" s="2151" t="s">
        <v>111</v>
      </c>
      <c r="B46" s="2152"/>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3">
        <f>SUM(C24,C25:H25,J25:K25)</f>
        <v>108180</v>
      </c>
      <c r="J47" s="477"/>
      <c r="K47" s="477"/>
      <c r="L47" s="529"/>
    </row>
    <row r="48" spans="1:12" s="485" customFormat="1" ht="15" x14ac:dyDescent="0.2">
      <c r="A48" s="1500" t="s">
        <v>1759</v>
      </c>
      <c r="B48" s="483">
        <v>8120</v>
      </c>
      <c r="C48" s="480"/>
      <c r="D48" s="480"/>
      <c r="E48" s="477"/>
      <c r="F48" s="480"/>
      <c r="G48" s="477"/>
      <c r="H48" s="477"/>
      <c r="I48" s="1753">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3">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3">
        <f>D30</f>
        <v>0</v>
      </c>
      <c r="L52" s="524"/>
    </row>
    <row r="53" spans="1:12" s="485" customFormat="1" ht="26.25" x14ac:dyDescent="0.2">
      <c r="A53" s="1500" t="s">
        <v>1899</v>
      </c>
      <c r="B53" s="483">
        <v>8170</v>
      </c>
      <c r="C53" s="480"/>
      <c r="D53" s="480"/>
      <c r="E53" s="477"/>
      <c r="F53" s="477"/>
      <c r="G53" s="477"/>
      <c r="H53" s="480"/>
      <c r="I53" s="477"/>
      <c r="J53" s="477"/>
      <c r="K53" s="1753">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v>625000</v>
      </c>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v>1661923</v>
      </c>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23" t="s">
        <v>460</v>
      </c>
      <c r="B76" s="2124"/>
      <c r="C76" s="1713">
        <f t="shared" ref="C76:K76" si="7">SUM(C47:C75)</f>
        <v>0</v>
      </c>
      <c r="D76" s="1713">
        <f t="shared" si="7"/>
        <v>2286923</v>
      </c>
      <c r="E76" s="1713">
        <f t="shared" si="7"/>
        <v>0</v>
      </c>
      <c r="F76" s="1713">
        <f t="shared" si="7"/>
        <v>0</v>
      </c>
      <c r="G76" s="1713">
        <f t="shared" si="7"/>
        <v>0</v>
      </c>
      <c r="H76" s="1713">
        <f t="shared" si="7"/>
        <v>0</v>
      </c>
      <c r="I76" s="1713">
        <f t="shared" si="7"/>
        <v>108180</v>
      </c>
      <c r="J76" s="1713">
        <f t="shared" si="7"/>
        <v>0</v>
      </c>
      <c r="K76" s="1713">
        <f t="shared" si="7"/>
        <v>0</v>
      </c>
      <c r="L76" s="524"/>
    </row>
    <row r="77" spans="1:12" ht="14.25" thickTop="1" thickBot="1" x14ac:dyDescent="0.25">
      <c r="A77" s="2125" t="s">
        <v>1239</v>
      </c>
      <c r="B77" s="2126"/>
      <c r="C77" s="1713">
        <f t="shared" ref="C77:K77" si="8">C44-C76</f>
        <v>108180</v>
      </c>
      <c r="D77" s="1713">
        <f t="shared" si="8"/>
        <v>-2286923</v>
      </c>
      <c r="E77" s="1713">
        <f t="shared" si="8"/>
        <v>2286923</v>
      </c>
      <c r="F77" s="1713">
        <f t="shared" si="8"/>
        <v>0</v>
      </c>
      <c r="G77" s="1713">
        <f t="shared" si="8"/>
        <v>0</v>
      </c>
      <c r="H77" s="1713">
        <f t="shared" si="8"/>
        <v>0</v>
      </c>
      <c r="I77" s="1713">
        <f t="shared" si="8"/>
        <v>-108180</v>
      </c>
      <c r="J77" s="1713">
        <f t="shared" si="8"/>
        <v>0</v>
      </c>
      <c r="K77" s="1713">
        <f t="shared" si="8"/>
        <v>0</v>
      </c>
      <c r="L77" s="347"/>
    </row>
    <row r="78" spans="1:12" ht="21.75" customHeight="1" thickTop="1" thickBot="1" x14ac:dyDescent="0.25">
      <c r="A78" s="2129" t="s">
        <v>618</v>
      </c>
      <c r="B78" s="2130"/>
      <c r="C78" s="1712">
        <f t="shared" ref="C78:K78" si="9">C20+C77</f>
        <v>1566203</v>
      </c>
      <c r="D78" s="1712">
        <f t="shared" si="9"/>
        <v>-873135</v>
      </c>
      <c r="E78" s="1712">
        <f t="shared" si="9"/>
        <v>484</v>
      </c>
      <c r="F78" s="1712">
        <f t="shared" si="9"/>
        <v>-123594</v>
      </c>
      <c r="G78" s="1712">
        <f t="shared" si="9"/>
        <v>104357</v>
      </c>
      <c r="H78" s="1712">
        <f t="shared" si="9"/>
        <v>-25583732</v>
      </c>
      <c r="I78" s="1712">
        <f t="shared" si="9"/>
        <v>0</v>
      </c>
      <c r="J78" s="1712">
        <f t="shared" si="9"/>
        <v>34720</v>
      </c>
      <c r="K78" s="1712">
        <f t="shared" si="9"/>
        <v>25662</v>
      </c>
      <c r="L78" s="533"/>
    </row>
    <row r="79" spans="1:12" ht="13.5" thickTop="1" x14ac:dyDescent="0.2">
      <c r="A79" s="1504" t="s">
        <v>2073</v>
      </c>
      <c r="B79" s="534"/>
      <c r="C79" s="478">
        <v>10227372</v>
      </c>
      <c r="D79" s="535">
        <v>1696913</v>
      </c>
      <c r="E79" s="535">
        <v>30051</v>
      </c>
      <c r="F79" s="535">
        <v>1149375</v>
      </c>
      <c r="G79" s="535">
        <v>176002</v>
      </c>
      <c r="H79" s="535">
        <v>32607687</v>
      </c>
      <c r="I79" s="535">
        <v>0</v>
      </c>
      <c r="J79" s="535">
        <v>350687</v>
      </c>
      <c r="K79" s="535">
        <v>885694</v>
      </c>
      <c r="L79" s="347"/>
    </row>
    <row r="80" spans="1:12" x14ac:dyDescent="0.2">
      <c r="A80" s="2135" t="s">
        <v>1898</v>
      </c>
      <c r="B80" s="2136"/>
      <c r="C80" s="467"/>
      <c r="D80" s="467"/>
      <c r="E80" s="467"/>
      <c r="F80" s="467"/>
      <c r="G80" s="467"/>
      <c r="H80" s="467"/>
      <c r="I80" s="467"/>
      <c r="J80" s="467"/>
      <c r="K80" s="467"/>
      <c r="L80" s="347"/>
    </row>
    <row r="81" spans="1:12" ht="13.5" thickBot="1" x14ac:dyDescent="0.25">
      <c r="A81" s="2127" t="s">
        <v>2074</v>
      </c>
      <c r="B81" s="2128"/>
      <c r="C81" s="1698">
        <f>(SUM(C78:C80))</f>
        <v>11793575</v>
      </c>
      <c r="D81" s="1698">
        <f>SUM(D78:D80)</f>
        <v>823778</v>
      </c>
      <c r="E81" s="1698">
        <f t="shared" ref="E81:K81" si="10">SUM(E78:E80)</f>
        <v>30535</v>
      </c>
      <c r="F81" s="1698">
        <f t="shared" si="10"/>
        <v>1025781</v>
      </c>
      <c r="G81" s="1698">
        <f t="shared" si="10"/>
        <v>280359</v>
      </c>
      <c r="H81" s="1698">
        <f t="shared" si="10"/>
        <v>7023955</v>
      </c>
      <c r="I81" s="1698">
        <f t="shared" si="10"/>
        <v>0</v>
      </c>
      <c r="J81" s="1698">
        <f t="shared" si="10"/>
        <v>385407</v>
      </c>
      <c r="K81" s="1698">
        <f t="shared" si="10"/>
        <v>911356</v>
      </c>
      <c r="L81" s="347"/>
    </row>
    <row r="82" spans="1:12" ht="0.75" customHeight="1" thickTop="1" thickBot="1" x14ac:dyDescent="0.25">
      <c r="A82" s="536" t="s">
        <v>361</v>
      </c>
      <c r="B82" s="537"/>
      <c r="C82" s="538">
        <f>(C81-C79)</f>
        <v>1566203</v>
      </c>
      <c r="D82" s="538">
        <f t="shared" ref="D82:K82" si="11">(D81-D79)</f>
        <v>-873135</v>
      </c>
      <c r="E82" s="538">
        <f t="shared" si="11"/>
        <v>484</v>
      </c>
      <c r="F82" s="538">
        <f t="shared" si="11"/>
        <v>-123594</v>
      </c>
      <c r="G82" s="538">
        <f t="shared" si="11"/>
        <v>104357</v>
      </c>
      <c r="H82" s="538">
        <f t="shared" si="11"/>
        <v>-25583732</v>
      </c>
      <c r="I82" s="538">
        <f t="shared" si="11"/>
        <v>0</v>
      </c>
      <c r="J82" s="538">
        <f t="shared" si="11"/>
        <v>34720</v>
      </c>
      <c r="K82" s="538">
        <f t="shared" si="11"/>
        <v>25662</v>
      </c>
    </row>
    <row r="83" spans="1:12" ht="14.25" hidden="1" thickTop="1" thickBot="1" x14ac:dyDescent="0.25">
      <c r="A83" s="539" t="s">
        <v>362</v>
      </c>
      <c r="B83" s="464"/>
      <c r="C83" s="540">
        <f>C82/C81</f>
        <v>0.13280137702096267</v>
      </c>
      <c r="D83" s="540">
        <f t="shared" ref="D83:K83" si="12">D82/D81</f>
        <v>-1.0599154141042855</v>
      </c>
      <c r="E83" s="540">
        <f t="shared" si="12"/>
        <v>1.5850663173407564E-2</v>
      </c>
      <c r="F83" s="540">
        <f t="shared" si="12"/>
        <v>-0.12048770644026356</v>
      </c>
      <c r="G83" s="540">
        <f t="shared" si="12"/>
        <v>0.37222632410587853</v>
      </c>
      <c r="H83" s="540">
        <f t="shared" si="12"/>
        <v>-3.642354200731639</v>
      </c>
      <c r="I83" s="540" t="e">
        <f t="shared" si="12"/>
        <v>#DIV/0!</v>
      </c>
      <c r="J83" s="540">
        <f t="shared" si="12"/>
        <v>9.0086583793236766E-2</v>
      </c>
      <c r="K83" s="540">
        <f t="shared" si="12"/>
        <v>2.8158041423987992E-2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102" activePane="bottomLeft" state="frozen"/>
      <selection activeCell="D87" sqref="D87"/>
      <selection pane="bottomLeft" activeCell="C117" sqref="C117"/>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1" t="s">
        <v>1905</v>
      </c>
      <c r="B1" s="452"/>
      <c r="C1" s="453" t="s">
        <v>445</v>
      </c>
      <c r="D1" s="453" t="s">
        <v>446</v>
      </c>
      <c r="E1" s="453" t="s">
        <v>447</v>
      </c>
      <c r="F1" s="453" t="s">
        <v>448</v>
      </c>
      <c r="G1" s="453" t="s">
        <v>449</v>
      </c>
      <c r="H1" s="453" t="s">
        <v>450</v>
      </c>
      <c r="I1" s="453" t="s">
        <v>451</v>
      </c>
      <c r="J1" s="453" t="s">
        <v>452</v>
      </c>
      <c r="K1" s="453" t="s">
        <v>780</v>
      </c>
    </row>
    <row r="2" spans="1:12" ht="36" x14ac:dyDescent="0.2">
      <c r="A2" s="213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5449788</v>
      </c>
      <c r="D5" s="481">
        <v>687219</v>
      </c>
      <c r="E5" s="481">
        <v>62266</v>
      </c>
      <c r="F5" s="481">
        <v>166615</v>
      </c>
      <c r="G5" s="481">
        <v>153693</v>
      </c>
      <c r="H5" s="481">
        <v>0</v>
      </c>
      <c r="I5" s="481">
        <v>108180</v>
      </c>
      <c r="J5" s="481">
        <v>148337</v>
      </c>
      <c r="K5" s="481">
        <v>131972</v>
      </c>
    </row>
    <row r="6" spans="1:12" ht="15" x14ac:dyDescent="0.2">
      <c r="A6" s="463" t="s">
        <v>1761</v>
      </c>
      <c r="B6" s="470">
        <v>1130</v>
      </c>
      <c r="C6" s="481">
        <v>131972</v>
      </c>
      <c r="D6" s="481">
        <v>0</v>
      </c>
      <c r="E6" s="475"/>
      <c r="F6" s="475"/>
      <c r="G6" s="468"/>
      <c r="H6" s="468"/>
      <c r="I6" s="468"/>
      <c r="J6" s="468"/>
      <c r="K6" s="468"/>
    </row>
    <row r="7" spans="1:12" x14ac:dyDescent="0.2">
      <c r="A7" s="463" t="s">
        <v>112</v>
      </c>
      <c r="B7" s="548">
        <v>1140</v>
      </c>
      <c r="C7" s="481">
        <v>54371</v>
      </c>
      <c r="D7" s="481">
        <v>0</v>
      </c>
      <c r="E7" s="468"/>
      <c r="F7" s="481">
        <v>0</v>
      </c>
      <c r="G7" s="481">
        <v>0</v>
      </c>
      <c r="H7" s="481">
        <v>0</v>
      </c>
      <c r="I7" s="468"/>
      <c r="J7" s="468"/>
      <c r="K7" s="468"/>
    </row>
    <row r="8" spans="1:12" x14ac:dyDescent="0.2">
      <c r="A8" s="463" t="s">
        <v>433</v>
      </c>
      <c r="B8" s="470">
        <v>1150</v>
      </c>
      <c r="C8" s="475"/>
      <c r="D8" s="475"/>
      <c r="E8" s="477"/>
      <c r="F8" s="477"/>
      <c r="G8" s="481">
        <v>153693</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5" t="s">
        <v>29</v>
      </c>
      <c r="B12" s="1716"/>
      <c r="C12" s="1717">
        <f t="shared" ref="C12:K12" si="0">SUM(C5:C11)</f>
        <v>5636131</v>
      </c>
      <c r="D12" s="1717">
        <f t="shared" si="0"/>
        <v>687219</v>
      </c>
      <c r="E12" s="1717">
        <f t="shared" si="0"/>
        <v>62266</v>
      </c>
      <c r="F12" s="1717">
        <f t="shared" si="0"/>
        <v>166615</v>
      </c>
      <c r="G12" s="1717">
        <f t="shared" si="0"/>
        <v>307386</v>
      </c>
      <c r="H12" s="1717">
        <f t="shared" si="0"/>
        <v>0</v>
      </c>
      <c r="I12" s="1717">
        <f t="shared" si="0"/>
        <v>108180</v>
      </c>
      <c r="J12" s="1717">
        <f t="shared" si="0"/>
        <v>148337</v>
      </c>
      <c r="K12" s="1698">
        <f t="shared" si="0"/>
        <v>131972</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0</v>
      </c>
      <c r="D16" s="481">
        <v>1566194</v>
      </c>
      <c r="E16" s="481">
        <v>0</v>
      </c>
      <c r="F16" s="481">
        <v>-1</v>
      </c>
      <c r="G16" s="481">
        <v>82435</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8" t="s">
        <v>558</v>
      </c>
      <c r="B18" s="1719"/>
      <c r="C18" s="1720">
        <f>SUM(C14:C17)</f>
        <v>0</v>
      </c>
      <c r="D18" s="1720">
        <f t="shared" ref="D18:K18" si="1">SUM(D14:D17)</f>
        <v>1566194</v>
      </c>
      <c r="E18" s="1720">
        <f t="shared" si="1"/>
        <v>0</v>
      </c>
      <c r="F18" s="1720">
        <f t="shared" si="1"/>
        <v>-1</v>
      </c>
      <c r="G18" s="1720">
        <f t="shared" si="1"/>
        <v>82435</v>
      </c>
      <c r="H18" s="1720">
        <f t="shared" si="1"/>
        <v>0</v>
      </c>
      <c r="I18" s="1720">
        <f t="shared" si="1"/>
        <v>0</v>
      </c>
      <c r="J18" s="1720">
        <f t="shared" si="1"/>
        <v>0</v>
      </c>
      <c r="K18" s="1721">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50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8" t="s">
        <v>559</v>
      </c>
      <c r="B40" s="1719"/>
      <c r="C40" s="1698">
        <f>SUM(C20:C39)</f>
        <v>50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106</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34401</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8" t="s">
        <v>506</v>
      </c>
      <c r="B63" s="1719"/>
      <c r="C63" s="468"/>
      <c r="D63" s="468"/>
      <c r="E63" s="468"/>
      <c r="F63" s="1698">
        <f>SUM(F42:F62)</f>
        <v>34507</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69822</v>
      </c>
      <c r="D65" s="481">
        <v>0</v>
      </c>
      <c r="E65" s="481">
        <v>0</v>
      </c>
      <c r="F65" s="481">
        <v>0</v>
      </c>
      <c r="G65" s="481">
        <v>0</v>
      </c>
      <c r="H65" s="481">
        <v>242605</v>
      </c>
      <c r="I65" s="481">
        <v>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8" t="s">
        <v>507</v>
      </c>
      <c r="B67" s="1719"/>
      <c r="C67" s="1698">
        <f>SUM(C65:C66)</f>
        <v>69822</v>
      </c>
      <c r="D67" s="1698">
        <f t="shared" ref="D67:K67" si="2">SUM(D65:D66)</f>
        <v>0</v>
      </c>
      <c r="E67" s="1698">
        <f t="shared" si="2"/>
        <v>0</v>
      </c>
      <c r="F67" s="1698">
        <f t="shared" si="2"/>
        <v>0</v>
      </c>
      <c r="G67" s="1698">
        <f t="shared" si="2"/>
        <v>0</v>
      </c>
      <c r="H67" s="1698">
        <f t="shared" si="2"/>
        <v>242605</v>
      </c>
      <c r="I67" s="1698">
        <f t="shared" si="2"/>
        <v>0</v>
      </c>
      <c r="J67" s="1698">
        <f t="shared" si="2"/>
        <v>0</v>
      </c>
      <c r="K67" s="1698">
        <f t="shared" si="2"/>
        <v>0</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0</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181</v>
      </c>
      <c r="D73" s="468"/>
      <c r="E73" s="468"/>
      <c r="F73" s="468"/>
      <c r="G73" s="468"/>
      <c r="H73" s="468"/>
      <c r="I73" s="468"/>
      <c r="J73" s="468"/>
      <c r="K73" s="468"/>
    </row>
    <row r="74" spans="1:11" ht="12.75" customHeight="1" x14ac:dyDescent="0.2">
      <c r="A74" s="463" t="s">
        <v>25</v>
      </c>
      <c r="B74" s="470">
        <v>1690</v>
      </c>
      <c r="C74" s="481">
        <v>571</v>
      </c>
      <c r="D74" s="468"/>
      <c r="E74" s="468"/>
      <c r="F74" s="468"/>
      <c r="G74" s="468"/>
      <c r="H74" s="468"/>
      <c r="I74" s="468"/>
      <c r="J74" s="468"/>
      <c r="K74" s="468"/>
    </row>
    <row r="75" spans="1:11" ht="12.75" customHeight="1" thickBot="1" x14ac:dyDescent="0.25">
      <c r="A75" s="1718" t="s">
        <v>569</v>
      </c>
      <c r="B75" s="1719"/>
      <c r="C75" s="1698">
        <f>SUM(C69:C74)</f>
        <v>752</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988</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2449</v>
      </c>
      <c r="D81" s="481">
        <v>0</v>
      </c>
      <c r="E81" s="468"/>
      <c r="F81" s="468"/>
      <c r="G81" s="468"/>
      <c r="H81" s="468"/>
      <c r="I81" s="468"/>
      <c r="J81" s="468"/>
      <c r="K81" s="468"/>
    </row>
    <row r="82" spans="1:11" ht="12.75" customHeight="1" thickBot="1" x14ac:dyDescent="0.25">
      <c r="A82" s="1718" t="s">
        <v>259</v>
      </c>
      <c r="B82" s="1719"/>
      <c r="C82" s="1717">
        <f>SUM(C77:C81)</f>
        <v>3437</v>
      </c>
      <c r="D82" s="1698">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0</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195</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8" t="s">
        <v>261</v>
      </c>
      <c r="B93" s="1719"/>
      <c r="C93" s="1698">
        <f>SUM(C84:C92)</f>
        <v>195</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0</v>
      </c>
      <c r="E95" s="521"/>
      <c r="F95" s="521"/>
      <c r="G95" s="521"/>
      <c r="H95" s="521"/>
      <c r="I95" s="521"/>
      <c r="J95" s="521"/>
      <c r="K95" s="521"/>
    </row>
    <row r="96" spans="1:11" ht="12.75" customHeight="1" x14ac:dyDescent="0.2">
      <c r="A96" s="463" t="s">
        <v>409</v>
      </c>
      <c r="B96" s="470">
        <v>1920</v>
      </c>
      <c r="C96" s="481">
        <v>92454</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353</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14790</v>
      </c>
      <c r="D107" s="481">
        <v>20442</v>
      </c>
      <c r="E107" s="481">
        <v>0</v>
      </c>
      <c r="F107" s="481">
        <v>0</v>
      </c>
      <c r="G107" s="481">
        <v>0</v>
      </c>
      <c r="H107" s="481">
        <v>0</v>
      </c>
      <c r="I107" s="481">
        <v>0</v>
      </c>
      <c r="J107" s="481">
        <v>9125</v>
      </c>
      <c r="K107" s="481">
        <v>0</v>
      </c>
    </row>
    <row r="108" spans="1:12" ht="12.75" customHeight="1" thickBot="1" x14ac:dyDescent="0.25">
      <c r="A108" s="1718" t="s">
        <v>508</v>
      </c>
      <c r="B108" s="1722"/>
      <c r="C108" s="1717">
        <f>SUM(C95:C107)</f>
        <v>107244</v>
      </c>
      <c r="D108" s="1717">
        <f t="shared" ref="D108:K108" si="3">SUM(D95:D107)</f>
        <v>20442</v>
      </c>
      <c r="E108" s="1717">
        <f t="shared" si="3"/>
        <v>0</v>
      </c>
      <c r="F108" s="1717">
        <f t="shared" si="3"/>
        <v>353</v>
      </c>
      <c r="G108" s="1717">
        <f t="shared" si="3"/>
        <v>0</v>
      </c>
      <c r="H108" s="1717">
        <f t="shared" si="3"/>
        <v>0</v>
      </c>
      <c r="I108" s="1717">
        <f t="shared" si="3"/>
        <v>0</v>
      </c>
      <c r="J108" s="1717">
        <f t="shared" si="3"/>
        <v>9125</v>
      </c>
      <c r="K108" s="1698">
        <f t="shared" si="3"/>
        <v>0</v>
      </c>
    </row>
    <row r="109" spans="1:12" ht="14.25" thickTop="1" thickBot="1" x14ac:dyDescent="0.25">
      <c r="A109" s="1723" t="s">
        <v>266</v>
      </c>
      <c r="B109" s="1724" t="s">
        <v>591</v>
      </c>
      <c r="C109" s="1725">
        <f t="shared" ref="C109:K109" si="4">SUM(C12,C18,C40,C63,C67,C75,C82,C93,C108,)</f>
        <v>5817631</v>
      </c>
      <c r="D109" s="1725">
        <f t="shared" si="4"/>
        <v>2273855</v>
      </c>
      <c r="E109" s="1725">
        <f t="shared" si="4"/>
        <v>62266</v>
      </c>
      <c r="F109" s="1725">
        <f t="shared" si="4"/>
        <v>201474</v>
      </c>
      <c r="G109" s="1725">
        <f t="shared" si="4"/>
        <v>389821</v>
      </c>
      <c r="H109" s="1725">
        <f t="shared" si="4"/>
        <v>242605</v>
      </c>
      <c r="I109" s="1725">
        <f t="shared" si="4"/>
        <v>108180</v>
      </c>
      <c r="J109" s="1725">
        <f t="shared" si="4"/>
        <v>157462</v>
      </c>
      <c r="K109" s="1712">
        <f t="shared" si="4"/>
        <v>131972</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6" t="s">
        <v>839</v>
      </c>
      <c r="B114" s="1727" t="s">
        <v>590</v>
      </c>
      <c r="C114" s="1728">
        <f>SUM(C111:C113)</f>
        <v>0</v>
      </c>
      <c r="D114" s="1728">
        <f>SUM(D111:D113)</f>
        <v>0</v>
      </c>
      <c r="E114" s="558" t="s">
        <v>1231</v>
      </c>
      <c r="F114" s="1728">
        <f>SUM(F111:F113)</f>
        <v>0</v>
      </c>
      <c r="G114" s="1728">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1002326</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8" t="s">
        <v>509</v>
      </c>
      <c r="B121" s="1729"/>
      <c r="C121" s="1717">
        <f t="shared" ref="C121:H121" si="5">SUM(C117:C120)</f>
        <v>1002326</v>
      </c>
      <c r="D121" s="1717">
        <f t="shared" si="5"/>
        <v>0</v>
      </c>
      <c r="E121" s="1717">
        <f t="shared" si="5"/>
        <v>0</v>
      </c>
      <c r="F121" s="1717">
        <f t="shared" si="5"/>
        <v>0</v>
      </c>
      <c r="G121" s="1717">
        <f t="shared" si="5"/>
        <v>0</v>
      </c>
      <c r="H121" s="1717">
        <f t="shared" si="5"/>
        <v>0</v>
      </c>
      <c r="I121" s="468"/>
      <c r="J121" s="1717">
        <f>SUM(J117:J120)</f>
        <v>0</v>
      </c>
      <c r="K121" s="1698">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565</v>
      </c>
      <c r="D124" s="558"/>
      <c r="E124" s="468"/>
      <c r="F124" s="481">
        <v>0</v>
      </c>
      <c r="G124" s="468"/>
      <c r="H124" s="468"/>
      <c r="I124" s="468"/>
      <c r="J124" s="468"/>
      <c r="K124" s="468"/>
    </row>
    <row r="125" spans="1:11" ht="12.75" customHeight="1" x14ac:dyDescent="0.2">
      <c r="A125" s="463" t="s">
        <v>1521</v>
      </c>
      <c r="B125" s="559">
        <v>3105</v>
      </c>
      <c r="C125" s="481">
        <v>30117</v>
      </c>
      <c r="D125" s="558"/>
      <c r="E125" s="468"/>
      <c r="F125" s="481">
        <v>0</v>
      </c>
      <c r="G125" s="468"/>
      <c r="H125" s="468"/>
      <c r="I125" s="468"/>
      <c r="J125" s="468"/>
      <c r="K125" s="468"/>
    </row>
    <row r="126" spans="1:11" ht="12.75" customHeight="1" x14ac:dyDescent="0.2">
      <c r="A126" s="463" t="s">
        <v>922</v>
      </c>
      <c r="B126" s="559">
        <v>3110</v>
      </c>
      <c r="C126" s="481">
        <v>23198</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8" t="s">
        <v>1092</v>
      </c>
      <c r="B131" s="1730"/>
      <c r="C131" s="1717">
        <f>SUM(C124:C130)</f>
        <v>53880</v>
      </c>
      <c r="D131" s="1717">
        <f>SUM(D124:D130)</f>
        <v>0</v>
      </c>
      <c r="E131" s="469" t="s">
        <v>1231</v>
      </c>
      <c r="F131" s="1717">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8" t="s">
        <v>624</v>
      </c>
      <c r="B140" s="1730"/>
      <c r="C140" s="1717">
        <f>SUM(C133:C139)</f>
        <v>0</v>
      </c>
      <c r="D140" s="1717">
        <f>SUM(D133:D139)</f>
        <v>0</v>
      </c>
      <c r="E140" s="558" t="s">
        <v>1231</v>
      </c>
      <c r="F140" s="477"/>
      <c r="G140" s="1717">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22702</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8" t="s">
        <v>414</v>
      </c>
      <c r="B144" s="1730"/>
      <c r="C144" s="1698">
        <f>SUM(C142:C143)</f>
        <v>22702</v>
      </c>
      <c r="D144" s="468"/>
      <c r="E144" s="509"/>
      <c r="F144" s="468"/>
      <c r="G144" s="1731">
        <f>SUM(G142:G143)</f>
        <v>0</v>
      </c>
      <c r="H144" s="468"/>
      <c r="I144" s="468"/>
      <c r="J144" s="468"/>
      <c r="K144" s="468"/>
    </row>
    <row r="145" spans="1:11" s="202" customFormat="1" ht="12.75" customHeight="1" thickTop="1" x14ac:dyDescent="0.2">
      <c r="A145" s="1508" t="s">
        <v>1116</v>
      </c>
      <c r="B145" s="565">
        <v>3360</v>
      </c>
      <c r="C145" s="481">
        <v>5059</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102092</v>
      </c>
      <c r="G151" s="481">
        <v>0</v>
      </c>
      <c r="H151" s="468"/>
      <c r="I151" s="468"/>
      <c r="J151" s="468"/>
      <c r="K151" s="468"/>
    </row>
    <row r="152" spans="1:11" ht="12.75" customHeight="1" x14ac:dyDescent="0.2">
      <c r="A152" s="463" t="s">
        <v>1117</v>
      </c>
      <c r="B152" s="559">
        <v>3510</v>
      </c>
      <c r="C152" s="481">
        <v>0</v>
      </c>
      <c r="D152" s="481">
        <v>0</v>
      </c>
      <c r="E152" s="558"/>
      <c r="F152" s="481">
        <v>368353</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8" t="s">
        <v>96</v>
      </c>
      <c r="B154" s="1730"/>
      <c r="C154" s="1717">
        <f>SUM(C151:C153)</f>
        <v>0</v>
      </c>
      <c r="D154" s="1717">
        <f>SUM(D151:D153)</f>
        <v>0</v>
      </c>
      <c r="E154" s="558"/>
      <c r="F154" s="1717">
        <f>SUM(F151:F153)</f>
        <v>470445</v>
      </c>
      <c r="G154" s="1717">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519373</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59223</v>
      </c>
      <c r="D171" s="481">
        <v>0</v>
      </c>
      <c r="E171" s="481">
        <v>0</v>
      </c>
      <c r="F171" s="481">
        <v>0</v>
      </c>
      <c r="G171" s="481">
        <v>0</v>
      </c>
      <c r="H171" s="481">
        <v>0</v>
      </c>
      <c r="I171" s="481">
        <v>0</v>
      </c>
      <c r="J171" s="481">
        <v>0</v>
      </c>
      <c r="K171" s="481">
        <v>0</v>
      </c>
    </row>
    <row r="172" spans="1:11" ht="12.75" customHeight="1" thickTop="1" thickBot="1" x14ac:dyDescent="0.25">
      <c r="A172" s="2153" t="s">
        <v>418</v>
      </c>
      <c r="B172" s="2154"/>
      <c r="C172" s="1732">
        <f t="shared" ref="C172:K172" si="6">SUM(C131,C140,C144,C145:C149,C154,C155:C170,C171)</f>
        <v>660237</v>
      </c>
      <c r="D172" s="1732">
        <f t="shared" si="6"/>
        <v>0</v>
      </c>
      <c r="E172" s="1732">
        <f t="shared" si="6"/>
        <v>0</v>
      </c>
      <c r="F172" s="1732">
        <f t="shared" si="6"/>
        <v>470445</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1662563</v>
      </c>
      <c r="D173" s="1725">
        <f>SUM(D121,D172)</f>
        <v>0</v>
      </c>
      <c r="E173" s="1725">
        <f>SUM(E121,E172)</f>
        <v>0</v>
      </c>
      <c r="F173" s="1725">
        <f t="shared" ref="F173:K173" si="7">SUM(F121,F172)</f>
        <v>470445</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5" t="s">
        <v>1572</v>
      </c>
      <c r="B175" s="2156"/>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9" t="s">
        <v>1764</v>
      </c>
      <c r="B178" s="2160"/>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x14ac:dyDescent="0.2">
      <c r="A179" s="2163" t="s">
        <v>1763</v>
      </c>
      <c r="B179" s="2164"/>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1" t="s">
        <v>818</v>
      </c>
      <c r="B184" s="2162"/>
      <c r="C184" s="1717">
        <f>SUM(C180:C183)</f>
        <v>0</v>
      </c>
      <c r="D184" s="1717">
        <f>SUM(D180:D183)</f>
        <v>0</v>
      </c>
      <c r="E184" s="468"/>
      <c r="F184" s="1717">
        <f>SUM(F180:F183)</f>
        <v>0</v>
      </c>
      <c r="G184" s="1717">
        <f>SUM(G180:G183)</f>
        <v>0</v>
      </c>
      <c r="H184" s="1717">
        <f>SUM(H180:H183)</f>
        <v>0</v>
      </c>
      <c r="I184" s="468"/>
      <c r="J184" s="468"/>
      <c r="K184" s="1698">
        <f>SUM(K180:K183)</f>
        <v>0</v>
      </c>
    </row>
    <row r="185" spans="1:11" ht="22.5" customHeight="1" thickTop="1" x14ac:dyDescent="0.2">
      <c r="A185" s="2157" t="s">
        <v>1906</v>
      </c>
      <c r="B185" s="2158"/>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8" t="s">
        <v>1697</v>
      </c>
      <c r="B191" s="1719"/>
      <c r="C191" s="1717">
        <f>SUM(C187:C190)</f>
        <v>0</v>
      </c>
      <c r="D191" s="1717">
        <f>SUM(D187:D190)</f>
        <v>0</v>
      </c>
      <c r="E191" s="558"/>
      <c r="F191" s="1717">
        <f>SUM(F187:F190)</f>
        <v>0</v>
      </c>
      <c r="G191" s="1717">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181693</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111437</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10468</v>
      </c>
      <c r="D198" s="468"/>
      <c r="E198" s="558"/>
      <c r="F198" s="468"/>
      <c r="G198" s="577"/>
      <c r="H198" s="468"/>
      <c r="I198" s="468"/>
      <c r="J198" s="468"/>
      <c r="K198" s="468"/>
    </row>
    <row r="199" spans="1:11" ht="12.75" customHeight="1" x14ac:dyDescent="0.2">
      <c r="A199" s="463" t="s">
        <v>825</v>
      </c>
      <c r="B199" s="470">
        <v>4240</v>
      </c>
      <c r="C199" s="481">
        <v>15897</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8" t="s">
        <v>569</v>
      </c>
      <c r="B201" s="1719"/>
      <c r="C201" s="1698">
        <f>SUM(C193:C200)</f>
        <v>319495</v>
      </c>
      <c r="D201" s="468"/>
      <c r="E201" s="468"/>
      <c r="F201" s="468"/>
      <c r="G201" s="1698">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218279</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8" t="s">
        <v>420</v>
      </c>
      <c r="B211" s="1719"/>
      <c r="C211" s="1717">
        <f>SUM(C203:C210)</f>
        <v>218279</v>
      </c>
      <c r="D211" s="1717">
        <f>SUM(D203:D210)</f>
        <v>0</v>
      </c>
      <c r="E211" s="468"/>
      <c r="F211" s="1717">
        <f>SUM(F203:F210)</f>
        <v>0</v>
      </c>
      <c r="G211" s="1717">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10000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8" t="s">
        <v>944</v>
      </c>
      <c r="B216" s="1719"/>
      <c r="C216" s="1717">
        <f>SUM(C213:C215)</f>
        <v>10000</v>
      </c>
      <c r="D216" s="1717">
        <f>SUM(D213:D215)</f>
        <v>0</v>
      </c>
      <c r="E216" s="468" t="s">
        <v>1231</v>
      </c>
      <c r="F216" s="1717">
        <f>SUM(F213:F215)</f>
        <v>0</v>
      </c>
      <c r="G216" s="1717">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79310</v>
      </c>
      <c r="D220" s="466"/>
      <c r="E220" s="468"/>
      <c r="F220" s="466"/>
      <c r="G220" s="466"/>
      <c r="H220" s="468"/>
      <c r="I220" s="468"/>
      <c r="J220" s="468"/>
      <c r="K220" s="468"/>
    </row>
    <row r="221" spans="1:11" ht="12.75" customHeight="1" x14ac:dyDescent="0.2">
      <c r="A221" s="463" t="s">
        <v>1114</v>
      </c>
      <c r="B221" s="470">
        <v>4625</v>
      </c>
      <c r="C221" s="481">
        <v>59</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8" t="s">
        <v>467</v>
      </c>
      <c r="B224" s="1719"/>
      <c r="C224" s="1717">
        <f>SUM(C218:C223)</f>
        <v>79369</v>
      </c>
      <c r="D224" s="1717">
        <f>SUM(D218:D223)</f>
        <v>0</v>
      </c>
      <c r="E224" s="468"/>
      <c r="F224" s="1717">
        <f>SUM(F218:F223)</f>
        <v>0</v>
      </c>
      <c r="G224" s="1717">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3" t="s">
        <v>1145</v>
      </c>
      <c r="B228" s="1734"/>
      <c r="C228" s="1717">
        <f>SUM(C226:C227)</f>
        <v>0</v>
      </c>
      <c r="D228" s="1717">
        <f>SUM(D226:D227)</f>
        <v>0</v>
      </c>
      <c r="E228" s="468"/>
      <c r="F228" s="468"/>
      <c r="G228" s="1717">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51"/>
      <c r="J259" s="1717">
        <f>SUM(J230:J258)</f>
        <v>0</v>
      </c>
      <c r="K259" s="1698">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26808</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18597</v>
      </c>
      <c r="D270" s="572"/>
      <c r="E270" s="468"/>
      <c r="F270" s="572"/>
      <c r="G270" s="572"/>
      <c r="H270" s="468"/>
      <c r="I270" s="468"/>
      <c r="J270" s="468"/>
      <c r="K270" s="468"/>
    </row>
    <row r="271" spans="1:11" ht="12.75" customHeight="1" thickTop="1" thickBot="1" x14ac:dyDescent="0.25">
      <c r="A271" s="463" t="s">
        <v>395</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8" t="s">
        <v>1765</v>
      </c>
      <c r="B273" s="1737"/>
      <c r="C273" s="1725">
        <f t="shared" ref="C273:H273" si="10">SUM(C191,C201,C211,C216,C224,C228,C229,C259:C272)</f>
        <v>672548</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x14ac:dyDescent="0.25">
      <c r="A274" s="1738" t="s">
        <v>1147</v>
      </c>
      <c r="B274" s="1739" t="s">
        <v>915</v>
      </c>
      <c r="C274" s="1725">
        <f>SUM(C178,C184,C273)</f>
        <v>672548</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8152742</v>
      </c>
      <c r="D275" s="1725">
        <f t="shared" si="12"/>
        <v>2273855</v>
      </c>
      <c r="E275" s="1725">
        <f t="shared" si="12"/>
        <v>62266</v>
      </c>
      <c r="F275" s="1725">
        <f t="shared" si="12"/>
        <v>671919</v>
      </c>
      <c r="G275" s="1725">
        <f t="shared" si="12"/>
        <v>389821</v>
      </c>
      <c r="H275" s="1725">
        <f t="shared" si="12"/>
        <v>242605</v>
      </c>
      <c r="I275" s="1725">
        <f t="shared" si="12"/>
        <v>108180</v>
      </c>
      <c r="J275" s="1725">
        <f t="shared" si="12"/>
        <v>157462</v>
      </c>
      <c r="K275" s="1712">
        <f t="shared" si="12"/>
        <v>131972</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90" workbookViewId="0">
      <pane ySplit="2" topLeftCell="A87" activePane="bottomLeft" state="frozen"/>
      <selection activeCell="D87" sqref="D87"/>
      <selection pane="bottomLeft" activeCell="D87" sqref="D87"/>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1"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5"/>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1" t="s">
        <v>315</v>
      </c>
      <c r="B3" s="2172"/>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2084847</v>
      </c>
      <c r="D5" s="466">
        <v>505058</v>
      </c>
      <c r="E5" s="466">
        <v>45837</v>
      </c>
      <c r="F5" s="466">
        <v>42207</v>
      </c>
      <c r="G5" s="466">
        <v>5000</v>
      </c>
      <c r="H5" s="466">
        <v>12635</v>
      </c>
      <c r="I5" s="466">
        <v>0</v>
      </c>
      <c r="J5" s="466">
        <v>0</v>
      </c>
      <c r="K5" s="1681">
        <f>SUM(C5:J5)</f>
        <v>2695584</v>
      </c>
      <c r="L5" s="466">
        <v>3195290</v>
      </c>
    </row>
    <row r="6" spans="1:14" x14ac:dyDescent="0.2">
      <c r="A6" s="1514" t="s">
        <v>1508</v>
      </c>
      <c r="B6" s="605" t="s">
        <v>1506</v>
      </c>
      <c r="C6" s="477"/>
      <c r="D6" s="477"/>
      <c r="E6" s="466" t="s">
        <v>1231</v>
      </c>
      <c r="F6" s="477"/>
      <c r="G6" s="477"/>
      <c r="H6" s="477"/>
      <c r="I6" s="477"/>
      <c r="J6" s="477"/>
      <c r="K6" s="1681">
        <f>SUM(C6,E6)</f>
        <v>0</v>
      </c>
      <c r="L6" s="466"/>
    </row>
    <row r="7" spans="1:14" x14ac:dyDescent="0.2">
      <c r="A7" s="1514" t="s">
        <v>165</v>
      </c>
      <c r="B7" s="605" t="s">
        <v>1024</v>
      </c>
      <c r="C7" s="466">
        <v>0</v>
      </c>
      <c r="D7" s="466">
        <v>0</v>
      </c>
      <c r="E7" s="466">
        <v>0</v>
      </c>
      <c r="F7" s="466">
        <v>0</v>
      </c>
      <c r="G7" s="466">
        <v>0</v>
      </c>
      <c r="H7" s="466">
        <v>0</v>
      </c>
      <c r="I7" s="466">
        <v>0</v>
      </c>
      <c r="J7" s="466">
        <v>0</v>
      </c>
      <c r="K7" s="1681">
        <f t="shared" ref="K7:K32" si="0">SUM(C7:J7)</f>
        <v>0</v>
      </c>
      <c r="L7" s="466"/>
    </row>
    <row r="8" spans="1:14" x14ac:dyDescent="0.2">
      <c r="A8" s="1514" t="s">
        <v>166</v>
      </c>
      <c r="B8" s="605">
        <v>1200</v>
      </c>
      <c r="C8" s="466">
        <v>327286</v>
      </c>
      <c r="D8" s="466">
        <v>67708</v>
      </c>
      <c r="E8" s="466">
        <v>0</v>
      </c>
      <c r="F8" s="466">
        <v>1039</v>
      </c>
      <c r="G8" s="466">
        <v>0</v>
      </c>
      <c r="H8" s="466">
        <v>0</v>
      </c>
      <c r="I8" s="466">
        <v>0</v>
      </c>
      <c r="J8" s="466">
        <v>0</v>
      </c>
      <c r="K8" s="1681">
        <f t="shared" si="0"/>
        <v>396033</v>
      </c>
      <c r="L8" s="466">
        <v>415055</v>
      </c>
    </row>
    <row r="9" spans="1:14" x14ac:dyDescent="0.2">
      <c r="A9" s="1514" t="s">
        <v>745</v>
      </c>
      <c r="B9" s="605" t="s">
        <v>1025</v>
      </c>
      <c r="C9" s="466">
        <v>0</v>
      </c>
      <c r="D9" s="466">
        <v>0</v>
      </c>
      <c r="E9" s="466">
        <v>0</v>
      </c>
      <c r="F9" s="466">
        <v>0</v>
      </c>
      <c r="G9" s="466">
        <v>0</v>
      </c>
      <c r="H9" s="466">
        <v>0</v>
      </c>
      <c r="I9" s="466">
        <v>0</v>
      </c>
      <c r="J9" s="466">
        <v>0</v>
      </c>
      <c r="K9" s="1681">
        <f t="shared" si="0"/>
        <v>0</v>
      </c>
      <c r="L9" s="466"/>
    </row>
    <row r="10" spans="1:14" x14ac:dyDescent="0.2">
      <c r="A10" s="1514" t="s">
        <v>746</v>
      </c>
      <c r="B10" s="605">
        <v>1250</v>
      </c>
      <c r="C10" s="466">
        <v>106093</v>
      </c>
      <c r="D10" s="466">
        <v>25017</v>
      </c>
      <c r="E10" s="466">
        <v>5835</v>
      </c>
      <c r="F10" s="466">
        <v>12314</v>
      </c>
      <c r="G10" s="466">
        <v>0</v>
      </c>
      <c r="H10" s="466">
        <v>0</v>
      </c>
      <c r="I10" s="466">
        <v>0</v>
      </c>
      <c r="J10" s="466">
        <v>0</v>
      </c>
      <c r="K10" s="1681">
        <f t="shared" si="0"/>
        <v>149259</v>
      </c>
      <c r="L10" s="466">
        <v>210195</v>
      </c>
    </row>
    <row r="11" spans="1:14" x14ac:dyDescent="0.2">
      <c r="A11" s="1514" t="s">
        <v>1192</v>
      </c>
      <c r="B11" s="605" t="s">
        <v>163</v>
      </c>
      <c r="C11" s="466">
        <v>0</v>
      </c>
      <c r="D11" s="466">
        <v>0</v>
      </c>
      <c r="E11" s="466">
        <v>0</v>
      </c>
      <c r="F11" s="466">
        <v>0</v>
      </c>
      <c r="G11" s="466">
        <v>0</v>
      </c>
      <c r="H11" s="466">
        <v>0</v>
      </c>
      <c r="I11" s="466">
        <v>0</v>
      </c>
      <c r="J11" s="466">
        <v>0</v>
      </c>
      <c r="K11" s="1681">
        <f t="shared" si="0"/>
        <v>0</v>
      </c>
      <c r="L11" s="466"/>
    </row>
    <row r="12" spans="1:14" x14ac:dyDescent="0.2">
      <c r="A12" s="1514" t="s">
        <v>1019</v>
      </c>
      <c r="B12" s="605">
        <v>1300</v>
      </c>
      <c r="C12" s="466">
        <v>0</v>
      </c>
      <c r="D12" s="466">
        <v>0</v>
      </c>
      <c r="E12" s="466">
        <v>0</v>
      </c>
      <c r="F12" s="466">
        <v>0</v>
      </c>
      <c r="G12" s="466">
        <v>0</v>
      </c>
      <c r="H12" s="466">
        <v>0</v>
      </c>
      <c r="I12" s="466">
        <v>0</v>
      </c>
      <c r="J12" s="466">
        <v>0</v>
      </c>
      <c r="K12" s="1681">
        <f t="shared" si="0"/>
        <v>0</v>
      </c>
      <c r="L12" s="466"/>
    </row>
    <row r="13" spans="1:14" x14ac:dyDescent="0.2">
      <c r="A13" s="1514" t="s">
        <v>747</v>
      </c>
      <c r="B13" s="605">
        <v>1400</v>
      </c>
      <c r="C13" s="466">
        <v>0</v>
      </c>
      <c r="D13" s="466">
        <v>0</v>
      </c>
      <c r="E13" s="466">
        <v>0</v>
      </c>
      <c r="F13" s="466">
        <v>0</v>
      </c>
      <c r="G13" s="466">
        <v>0</v>
      </c>
      <c r="H13" s="466">
        <v>0</v>
      </c>
      <c r="I13" s="466">
        <v>0</v>
      </c>
      <c r="J13" s="466">
        <v>0</v>
      </c>
      <c r="K13" s="1681">
        <f t="shared" si="0"/>
        <v>0</v>
      </c>
      <c r="L13" s="466"/>
    </row>
    <row r="14" spans="1:14" x14ac:dyDescent="0.2">
      <c r="A14" s="1514" t="s">
        <v>1020</v>
      </c>
      <c r="B14" s="605">
        <v>1500</v>
      </c>
      <c r="C14" s="466">
        <v>91960</v>
      </c>
      <c r="D14" s="466">
        <v>1017</v>
      </c>
      <c r="E14" s="466">
        <v>8452</v>
      </c>
      <c r="F14" s="466">
        <v>16369</v>
      </c>
      <c r="G14" s="466">
        <v>18300</v>
      </c>
      <c r="H14" s="466">
        <v>2821</v>
      </c>
      <c r="I14" s="466">
        <v>0</v>
      </c>
      <c r="J14" s="466">
        <v>0</v>
      </c>
      <c r="K14" s="1681">
        <f t="shared" si="0"/>
        <v>138919</v>
      </c>
      <c r="L14" s="466">
        <v>164600</v>
      </c>
    </row>
    <row r="15" spans="1:14" x14ac:dyDescent="0.2">
      <c r="A15" s="1514" t="s">
        <v>1021</v>
      </c>
      <c r="B15" s="605">
        <v>1600</v>
      </c>
      <c r="C15" s="466">
        <v>0</v>
      </c>
      <c r="D15" s="466">
        <v>0</v>
      </c>
      <c r="E15" s="466">
        <v>0</v>
      </c>
      <c r="F15" s="466">
        <v>0</v>
      </c>
      <c r="G15" s="466">
        <v>0</v>
      </c>
      <c r="H15" s="466">
        <v>0</v>
      </c>
      <c r="I15" s="466">
        <v>0</v>
      </c>
      <c r="J15" s="466">
        <v>0</v>
      </c>
      <c r="K15" s="1681">
        <f t="shared" si="0"/>
        <v>0</v>
      </c>
      <c r="L15" s="466">
        <v>47800</v>
      </c>
    </row>
    <row r="16" spans="1:14" x14ac:dyDescent="0.2">
      <c r="A16" s="1514" t="s">
        <v>1044</v>
      </c>
      <c r="B16" s="605" t="s">
        <v>444</v>
      </c>
      <c r="C16" s="466">
        <v>0</v>
      </c>
      <c r="D16" s="466">
        <v>0</v>
      </c>
      <c r="E16" s="466">
        <v>0</v>
      </c>
      <c r="F16" s="466">
        <v>0</v>
      </c>
      <c r="G16" s="466">
        <v>0</v>
      </c>
      <c r="H16" s="466">
        <v>0</v>
      </c>
      <c r="I16" s="466">
        <v>0</v>
      </c>
      <c r="J16" s="466">
        <v>0</v>
      </c>
      <c r="K16" s="1681">
        <f t="shared" si="0"/>
        <v>0</v>
      </c>
      <c r="L16" s="466"/>
    </row>
    <row r="17" spans="1:12" x14ac:dyDescent="0.2">
      <c r="A17" s="1514" t="s">
        <v>748</v>
      </c>
      <c r="B17" s="605" t="s">
        <v>164</v>
      </c>
      <c r="C17" s="466">
        <v>0</v>
      </c>
      <c r="D17" s="466">
        <v>0</v>
      </c>
      <c r="E17" s="466">
        <v>0</v>
      </c>
      <c r="F17" s="466">
        <v>0</v>
      </c>
      <c r="G17" s="466">
        <v>0</v>
      </c>
      <c r="H17" s="466">
        <v>0</v>
      </c>
      <c r="I17" s="466">
        <v>0</v>
      </c>
      <c r="J17" s="466">
        <v>0</v>
      </c>
      <c r="K17" s="1681">
        <f t="shared" si="0"/>
        <v>0</v>
      </c>
      <c r="L17" s="466"/>
    </row>
    <row r="18" spans="1:12" x14ac:dyDescent="0.2">
      <c r="A18" s="1514" t="s">
        <v>1148</v>
      </c>
      <c r="B18" s="605">
        <v>1800</v>
      </c>
      <c r="C18" s="466">
        <v>217404</v>
      </c>
      <c r="D18" s="466">
        <v>3113</v>
      </c>
      <c r="E18" s="466">
        <v>0</v>
      </c>
      <c r="F18" s="466">
        <v>10359</v>
      </c>
      <c r="G18" s="466">
        <v>0</v>
      </c>
      <c r="H18" s="466">
        <v>0</v>
      </c>
      <c r="I18" s="466">
        <v>0</v>
      </c>
      <c r="J18" s="466">
        <v>0</v>
      </c>
      <c r="K18" s="1681">
        <f t="shared" si="0"/>
        <v>230876</v>
      </c>
      <c r="L18" s="466">
        <v>277700</v>
      </c>
    </row>
    <row r="19" spans="1:12" x14ac:dyDescent="0.2">
      <c r="A19" s="1514" t="s">
        <v>136</v>
      </c>
      <c r="B19" s="605">
        <v>1900</v>
      </c>
      <c r="C19" s="466">
        <v>294889</v>
      </c>
      <c r="D19" s="466">
        <v>69664</v>
      </c>
      <c r="E19" s="466">
        <v>2874</v>
      </c>
      <c r="F19" s="466">
        <v>29700</v>
      </c>
      <c r="G19" s="466">
        <v>56000</v>
      </c>
      <c r="H19" s="466">
        <v>0</v>
      </c>
      <c r="I19" s="466">
        <v>0</v>
      </c>
      <c r="J19" s="466">
        <v>0</v>
      </c>
      <c r="K19" s="1681">
        <f t="shared" si="0"/>
        <v>453127</v>
      </c>
      <c r="L19" s="466">
        <v>462375</v>
      </c>
    </row>
    <row r="20" spans="1:12" x14ac:dyDescent="0.2">
      <c r="A20" s="1515" t="s">
        <v>762</v>
      </c>
      <c r="B20" s="593" t="s">
        <v>749</v>
      </c>
      <c r="C20" s="477"/>
      <c r="D20" s="477"/>
      <c r="E20" s="477"/>
      <c r="F20" s="477"/>
      <c r="G20" s="477"/>
      <c r="H20" s="466">
        <v>0</v>
      </c>
      <c r="I20" s="607"/>
      <c r="J20" s="475"/>
      <c r="K20" s="1681">
        <f t="shared" si="0"/>
        <v>0</v>
      </c>
      <c r="L20" s="471"/>
    </row>
    <row r="21" spans="1:12" x14ac:dyDescent="0.2">
      <c r="A21" s="1515" t="s">
        <v>763</v>
      </c>
      <c r="B21" s="593" t="s">
        <v>750</v>
      </c>
      <c r="C21" s="477"/>
      <c r="D21" s="477"/>
      <c r="E21" s="477"/>
      <c r="F21" s="477"/>
      <c r="G21" s="477"/>
      <c r="H21" s="466">
        <v>0</v>
      </c>
      <c r="I21" s="607"/>
      <c r="J21" s="477"/>
      <c r="K21" s="1681">
        <f t="shared" si="0"/>
        <v>0</v>
      </c>
      <c r="L21" s="471"/>
    </row>
    <row r="22" spans="1:12" x14ac:dyDescent="0.2">
      <c r="A22" s="1515" t="s">
        <v>764</v>
      </c>
      <c r="B22" s="593" t="s">
        <v>751</v>
      </c>
      <c r="C22" s="477"/>
      <c r="D22" s="477"/>
      <c r="E22" s="477"/>
      <c r="F22" s="477"/>
      <c r="G22" s="477"/>
      <c r="H22" s="466">
        <v>0</v>
      </c>
      <c r="I22" s="607"/>
      <c r="J22" s="477"/>
      <c r="K22" s="1681">
        <f t="shared" si="0"/>
        <v>0</v>
      </c>
      <c r="L22" s="471"/>
    </row>
    <row r="23" spans="1:12" x14ac:dyDescent="0.2">
      <c r="A23" s="1515" t="s">
        <v>765</v>
      </c>
      <c r="B23" s="593" t="s">
        <v>752</v>
      </c>
      <c r="C23" s="477"/>
      <c r="D23" s="477"/>
      <c r="E23" s="477"/>
      <c r="F23" s="477"/>
      <c r="G23" s="477"/>
      <c r="H23" s="466">
        <v>0</v>
      </c>
      <c r="I23" s="607"/>
      <c r="J23" s="477"/>
      <c r="K23" s="1681">
        <f t="shared" si="0"/>
        <v>0</v>
      </c>
      <c r="L23" s="471"/>
    </row>
    <row r="24" spans="1:12" ht="12.75" customHeight="1" x14ac:dyDescent="0.2">
      <c r="A24" s="1515" t="s">
        <v>766</v>
      </c>
      <c r="B24" s="593" t="s">
        <v>753</v>
      </c>
      <c r="C24" s="477"/>
      <c r="D24" s="477"/>
      <c r="E24" s="477"/>
      <c r="F24" s="477"/>
      <c r="G24" s="477"/>
      <c r="H24" s="466">
        <v>0</v>
      </c>
      <c r="I24" s="607"/>
      <c r="J24" s="477"/>
      <c r="K24" s="1681">
        <f t="shared" si="0"/>
        <v>0</v>
      </c>
      <c r="L24" s="471"/>
    </row>
    <row r="25" spans="1:12" ht="12.75" customHeight="1" x14ac:dyDescent="0.2">
      <c r="A25" s="1515" t="s">
        <v>835</v>
      </c>
      <c r="B25" s="593" t="s">
        <v>754</v>
      </c>
      <c r="C25" s="477"/>
      <c r="D25" s="477"/>
      <c r="E25" s="477"/>
      <c r="F25" s="477"/>
      <c r="G25" s="477"/>
      <c r="H25" s="466">
        <v>0</v>
      </c>
      <c r="I25" s="607"/>
      <c r="J25" s="477"/>
      <c r="K25" s="1681">
        <f t="shared" si="0"/>
        <v>0</v>
      </c>
      <c r="L25" s="471"/>
    </row>
    <row r="26" spans="1:12" x14ac:dyDescent="0.2">
      <c r="A26" s="1515" t="s">
        <v>643</v>
      </c>
      <c r="B26" s="593" t="s">
        <v>755</v>
      </c>
      <c r="C26" s="477"/>
      <c r="D26" s="477"/>
      <c r="E26" s="477"/>
      <c r="F26" s="477"/>
      <c r="G26" s="477"/>
      <c r="H26" s="466">
        <v>0</v>
      </c>
      <c r="I26" s="607"/>
      <c r="J26" s="477"/>
      <c r="K26" s="1681">
        <f t="shared" si="0"/>
        <v>0</v>
      </c>
      <c r="L26" s="471"/>
    </row>
    <row r="27" spans="1:12" x14ac:dyDescent="0.2">
      <c r="A27" s="1515" t="s">
        <v>644</v>
      </c>
      <c r="B27" s="593" t="s">
        <v>756</v>
      </c>
      <c r="C27" s="477"/>
      <c r="D27" s="477"/>
      <c r="E27" s="477"/>
      <c r="F27" s="477"/>
      <c r="G27" s="477"/>
      <c r="H27" s="466">
        <v>0</v>
      </c>
      <c r="I27" s="607"/>
      <c r="J27" s="477"/>
      <c r="K27" s="1681">
        <f t="shared" si="0"/>
        <v>0</v>
      </c>
      <c r="L27" s="471"/>
    </row>
    <row r="28" spans="1:12" x14ac:dyDescent="0.2">
      <c r="A28" s="1515" t="s">
        <v>152</v>
      </c>
      <c r="B28" s="593" t="s">
        <v>757</v>
      </c>
      <c r="C28" s="477"/>
      <c r="D28" s="477"/>
      <c r="E28" s="477"/>
      <c r="F28" s="477"/>
      <c r="G28" s="477"/>
      <c r="H28" s="466">
        <v>0</v>
      </c>
      <c r="I28" s="607"/>
      <c r="J28" s="477"/>
      <c r="K28" s="1681">
        <f t="shared" si="0"/>
        <v>0</v>
      </c>
      <c r="L28" s="471"/>
    </row>
    <row r="29" spans="1:12" x14ac:dyDescent="0.2">
      <c r="A29" s="1515" t="s">
        <v>153</v>
      </c>
      <c r="B29" s="593" t="s">
        <v>758</v>
      </c>
      <c r="C29" s="477"/>
      <c r="D29" s="477"/>
      <c r="E29" s="477"/>
      <c r="F29" s="477"/>
      <c r="G29" s="477"/>
      <c r="H29" s="466">
        <v>0</v>
      </c>
      <c r="I29" s="607"/>
      <c r="J29" s="477"/>
      <c r="K29" s="1681">
        <f t="shared" si="0"/>
        <v>0</v>
      </c>
      <c r="L29" s="471"/>
    </row>
    <row r="30" spans="1:12" x14ac:dyDescent="0.2">
      <c r="A30" s="1515" t="s">
        <v>154</v>
      </c>
      <c r="B30" s="593" t="s">
        <v>759</v>
      </c>
      <c r="C30" s="477"/>
      <c r="D30" s="477"/>
      <c r="E30" s="477"/>
      <c r="F30" s="477"/>
      <c r="G30" s="477"/>
      <c r="H30" s="466">
        <v>0</v>
      </c>
      <c r="I30" s="607"/>
      <c r="J30" s="477"/>
      <c r="K30" s="1681">
        <f t="shared" si="0"/>
        <v>0</v>
      </c>
      <c r="L30" s="471"/>
    </row>
    <row r="31" spans="1:12" x14ac:dyDescent="0.2">
      <c r="A31" s="1515" t="s">
        <v>155</v>
      </c>
      <c r="B31" s="593" t="s">
        <v>760</v>
      </c>
      <c r="C31" s="477"/>
      <c r="D31" s="477"/>
      <c r="E31" s="477"/>
      <c r="F31" s="477"/>
      <c r="G31" s="477"/>
      <c r="H31" s="466">
        <v>0</v>
      </c>
      <c r="I31" s="607"/>
      <c r="J31" s="477"/>
      <c r="K31" s="1681">
        <f t="shared" si="0"/>
        <v>0</v>
      </c>
      <c r="L31" s="471"/>
    </row>
    <row r="32" spans="1:12" x14ac:dyDescent="0.2">
      <c r="A32" s="1516" t="s">
        <v>1191</v>
      </c>
      <c r="B32" s="605" t="s">
        <v>761</v>
      </c>
      <c r="C32" s="477"/>
      <c r="D32" s="477"/>
      <c r="E32" s="477"/>
      <c r="F32" s="477"/>
      <c r="G32" s="477"/>
      <c r="H32" s="466">
        <v>0</v>
      </c>
      <c r="I32" s="607"/>
      <c r="J32" s="480"/>
      <c r="K32" s="1681">
        <f t="shared" si="0"/>
        <v>0</v>
      </c>
      <c r="L32" s="471"/>
    </row>
    <row r="33" spans="1:14" ht="12.75" customHeight="1" thickBot="1" x14ac:dyDescent="0.25">
      <c r="A33" s="1678" t="s">
        <v>1767</v>
      </c>
      <c r="B33" s="1679" t="s">
        <v>591</v>
      </c>
      <c r="C33" s="1680">
        <f>SUM(C5:C32)</f>
        <v>3122479</v>
      </c>
      <c r="D33" s="1680">
        <f t="shared" ref="D33:L33" si="1">SUM(D5:D32)</f>
        <v>671577</v>
      </c>
      <c r="E33" s="1680">
        <f t="shared" si="1"/>
        <v>62998</v>
      </c>
      <c r="F33" s="1680">
        <f t="shared" si="1"/>
        <v>111988</v>
      </c>
      <c r="G33" s="1680">
        <f t="shared" si="1"/>
        <v>79300</v>
      </c>
      <c r="H33" s="1680">
        <f t="shared" si="1"/>
        <v>15456</v>
      </c>
      <c r="I33" s="1680">
        <f t="shared" si="1"/>
        <v>0</v>
      </c>
      <c r="J33" s="1680">
        <f t="shared" si="1"/>
        <v>0</v>
      </c>
      <c r="K33" s="1680">
        <f t="shared" si="1"/>
        <v>4063798</v>
      </c>
      <c r="L33" s="1680">
        <f t="shared" si="1"/>
        <v>4773015</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67732</v>
      </c>
      <c r="E36" s="466">
        <v>0</v>
      </c>
      <c r="F36" s="466">
        <v>377</v>
      </c>
      <c r="G36" s="466">
        <v>0</v>
      </c>
      <c r="H36" s="466">
        <v>0</v>
      </c>
      <c r="I36" s="466">
        <v>0</v>
      </c>
      <c r="J36" s="466">
        <v>0</v>
      </c>
      <c r="K36" s="1681">
        <f t="shared" ref="K36:K41" si="2">SUM(C36:J36)</f>
        <v>68109</v>
      </c>
      <c r="L36" s="466">
        <v>71534</v>
      </c>
    </row>
    <row r="37" spans="1:14" x14ac:dyDescent="0.2">
      <c r="A37" s="1514" t="s">
        <v>1151</v>
      </c>
      <c r="B37" s="605">
        <v>2120</v>
      </c>
      <c r="C37" s="466">
        <v>0</v>
      </c>
      <c r="D37" s="466">
        <v>0</v>
      </c>
      <c r="E37" s="466">
        <v>0</v>
      </c>
      <c r="F37" s="466">
        <v>0</v>
      </c>
      <c r="G37" s="466">
        <v>0</v>
      </c>
      <c r="H37" s="466">
        <v>0</v>
      </c>
      <c r="I37" s="466">
        <v>0</v>
      </c>
      <c r="J37" s="466">
        <v>0</v>
      </c>
      <c r="K37" s="1681">
        <f t="shared" si="2"/>
        <v>0</v>
      </c>
      <c r="L37" s="466"/>
    </row>
    <row r="38" spans="1:14" x14ac:dyDescent="0.2">
      <c r="A38" s="1514" t="s">
        <v>207</v>
      </c>
      <c r="B38" s="605">
        <v>2130</v>
      </c>
      <c r="C38" s="466">
        <v>63728</v>
      </c>
      <c r="D38" s="466">
        <v>13935</v>
      </c>
      <c r="E38" s="466">
        <v>901</v>
      </c>
      <c r="F38" s="466">
        <v>2157</v>
      </c>
      <c r="G38" s="466">
        <v>0</v>
      </c>
      <c r="H38" s="466">
        <v>82</v>
      </c>
      <c r="I38" s="466">
        <v>0</v>
      </c>
      <c r="J38" s="466">
        <v>0</v>
      </c>
      <c r="K38" s="1681">
        <f t="shared" si="2"/>
        <v>80803</v>
      </c>
      <c r="L38" s="466">
        <v>91382</v>
      </c>
    </row>
    <row r="39" spans="1:14" x14ac:dyDescent="0.2">
      <c r="A39" s="1514" t="s">
        <v>208</v>
      </c>
      <c r="B39" s="605">
        <v>2140</v>
      </c>
      <c r="C39" s="466">
        <v>0</v>
      </c>
      <c r="D39" s="466">
        <v>0</v>
      </c>
      <c r="E39" s="466">
        <v>0</v>
      </c>
      <c r="F39" s="466">
        <v>0</v>
      </c>
      <c r="G39" s="466">
        <v>0</v>
      </c>
      <c r="H39" s="466">
        <v>0</v>
      </c>
      <c r="I39" s="466">
        <v>0</v>
      </c>
      <c r="J39" s="466">
        <v>0</v>
      </c>
      <c r="K39" s="1681">
        <f t="shared" si="2"/>
        <v>0</v>
      </c>
      <c r="L39" s="466"/>
    </row>
    <row r="40" spans="1:14" x14ac:dyDescent="0.2">
      <c r="A40" s="1514" t="s">
        <v>209</v>
      </c>
      <c r="B40" s="605">
        <v>2150</v>
      </c>
      <c r="C40" s="466">
        <v>0</v>
      </c>
      <c r="D40" s="466">
        <v>0</v>
      </c>
      <c r="E40" s="466">
        <v>0</v>
      </c>
      <c r="F40" s="466">
        <v>0</v>
      </c>
      <c r="G40" s="466">
        <v>0</v>
      </c>
      <c r="H40" s="466">
        <v>0</v>
      </c>
      <c r="I40" s="466">
        <v>0</v>
      </c>
      <c r="J40" s="466">
        <v>0</v>
      </c>
      <c r="K40" s="1681">
        <f t="shared" si="2"/>
        <v>0</v>
      </c>
      <c r="L40" s="466"/>
    </row>
    <row r="41" spans="1:14" x14ac:dyDescent="0.2">
      <c r="A41" s="1514" t="s">
        <v>1768</v>
      </c>
      <c r="B41" s="605">
        <v>2190</v>
      </c>
      <c r="C41" s="466">
        <v>0</v>
      </c>
      <c r="D41" s="466">
        <v>0</v>
      </c>
      <c r="E41" s="466">
        <v>0</v>
      </c>
      <c r="F41" s="466">
        <v>0</v>
      </c>
      <c r="G41" s="466">
        <v>0</v>
      </c>
      <c r="H41" s="466">
        <v>0</v>
      </c>
      <c r="I41" s="466">
        <v>0</v>
      </c>
      <c r="J41" s="466">
        <v>0</v>
      </c>
      <c r="K41" s="1681">
        <f t="shared" si="2"/>
        <v>0</v>
      </c>
      <c r="L41" s="466"/>
    </row>
    <row r="42" spans="1:14" ht="12.75" customHeight="1" thickBot="1" x14ac:dyDescent="0.25">
      <c r="A42" s="1678" t="s">
        <v>581</v>
      </c>
      <c r="B42" s="1679" t="s">
        <v>740</v>
      </c>
      <c r="C42" s="1680">
        <f>SUM(C36:C41)</f>
        <v>63728</v>
      </c>
      <c r="D42" s="1680">
        <f t="shared" ref="D42:L42" si="3">SUM(D36:D41)</f>
        <v>81667</v>
      </c>
      <c r="E42" s="1680">
        <f t="shared" si="3"/>
        <v>901</v>
      </c>
      <c r="F42" s="1680">
        <f t="shared" si="3"/>
        <v>2534</v>
      </c>
      <c r="G42" s="1680">
        <f t="shared" si="3"/>
        <v>0</v>
      </c>
      <c r="H42" s="1680">
        <f t="shared" si="3"/>
        <v>82</v>
      </c>
      <c r="I42" s="1680">
        <f t="shared" si="3"/>
        <v>0</v>
      </c>
      <c r="J42" s="1680">
        <f t="shared" si="3"/>
        <v>0</v>
      </c>
      <c r="K42" s="1680">
        <f t="shared" si="3"/>
        <v>148912</v>
      </c>
      <c r="L42" s="1680">
        <f t="shared" si="3"/>
        <v>162916</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8246</v>
      </c>
      <c r="D44" s="466">
        <v>257</v>
      </c>
      <c r="E44" s="466">
        <v>15797</v>
      </c>
      <c r="F44" s="466">
        <v>1198</v>
      </c>
      <c r="G44" s="466">
        <v>0</v>
      </c>
      <c r="H44" s="466">
        <v>0</v>
      </c>
      <c r="I44" s="466">
        <v>0</v>
      </c>
      <c r="J44" s="466">
        <v>0</v>
      </c>
      <c r="K44" s="1682">
        <f>SUM(C44:J44)</f>
        <v>25498</v>
      </c>
      <c r="L44" s="481">
        <v>15846</v>
      </c>
    </row>
    <row r="45" spans="1:14" x14ac:dyDescent="0.2">
      <c r="A45" s="1514" t="s">
        <v>869</v>
      </c>
      <c r="B45" s="605">
        <v>2220</v>
      </c>
      <c r="C45" s="466">
        <v>90704</v>
      </c>
      <c r="D45" s="466">
        <v>13648</v>
      </c>
      <c r="E45" s="466">
        <v>195</v>
      </c>
      <c r="F45" s="466">
        <v>7947</v>
      </c>
      <c r="G45" s="466">
        <v>0</v>
      </c>
      <c r="H45" s="466">
        <v>337</v>
      </c>
      <c r="I45" s="466">
        <v>0</v>
      </c>
      <c r="J45" s="466">
        <v>0</v>
      </c>
      <c r="K45" s="1682">
        <f>SUM(C45:J45)</f>
        <v>112831</v>
      </c>
      <c r="L45" s="466">
        <v>121670</v>
      </c>
    </row>
    <row r="46" spans="1:14" x14ac:dyDescent="0.2">
      <c r="A46" s="1514" t="s">
        <v>870</v>
      </c>
      <c r="B46" s="605">
        <v>2230</v>
      </c>
      <c r="C46" s="466">
        <v>0</v>
      </c>
      <c r="D46" s="466">
        <v>0</v>
      </c>
      <c r="E46" s="466">
        <v>0</v>
      </c>
      <c r="F46" s="466">
        <v>0</v>
      </c>
      <c r="G46" s="466">
        <v>0</v>
      </c>
      <c r="H46" s="466">
        <v>0</v>
      </c>
      <c r="I46" s="466">
        <v>0</v>
      </c>
      <c r="J46" s="466">
        <v>0</v>
      </c>
      <c r="K46" s="1682">
        <f>SUM(C46:J46)</f>
        <v>0</v>
      </c>
      <c r="L46" s="466"/>
    </row>
    <row r="47" spans="1:14" ht="12.75" customHeight="1" thickBot="1" x14ac:dyDescent="0.25">
      <c r="A47" s="1678" t="s">
        <v>582</v>
      </c>
      <c r="B47" s="1679" t="s">
        <v>32</v>
      </c>
      <c r="C47" s="1680">
        <f>SUM(C44:C46)</f>
        <v>98950</v>
      </c>
      <c r="D47" s="1680">
        <f t="shared" ref="D47:K47" si="4">SUM(D44:D46)</f>
        <v>13905</v>
      </c>
      <c r="E47" s="1680">
        <f t="shared" si="4"/>
        <v>15992</v>
      </c>
      <c r="F47" s="1680">
        <f t="shared" si="4"/>
        <v>9145</v>
      </c>
      <c r="G47" s="1680">
        <f t="shared" si="4"/>
        <v>0</v>
      </c>
      <c r="H47" s="1680">
        <f t="shared" si="4"/>
        <v>337</v>
      </c>
      <c r="I47" s="1680">
        <f t="shared" si="4"/>
        <v>0</v>
      </c>
      <c r="J47" s="1680">
        <f t="shared" si="4"/>
        <v>0</v>
      </c>
      <c r="K47" s="1680">
        <f t="shared" si="4"/>
        <v>138329</v>
      </c>
      <c r="L47" s="1680">
        <f>SUM(L44:L46)</f>
        <v>137516</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9392</v>
      </c>
      <c r="D49" s="466">
        <v>0</v>
      </c>
      <c r="E49" s="466">
        <v>22696</v>
      </c>
      <c r="F49" s="466">
        <v>25668</v>
      </c>
      <c r="G49" s="466">
        <v>0</v>
      </c>
      <c r="H49" s="466">
        <v>5135</v>
      </c>
      <c r="I49" s="466">
        <v>0</v>
      </c>
      <c r="J49" s="466">
        <v>0</v>
      </c>
      <c r="K49" s="1682">
        <f>SUM(C49:J49)</f>
        <v>62891</v>
      </c>
      <c r="L49" s="481">
        <v>76235</v>
      </c>
    </row>
    <row r="50" spans="1:14" x14ac:dyDescent="0.2">
      <c r="A50" s="1514" t="s">
        <v>872</v>
      </c>
      <c r="B50" s="605">
        <v>2320</v>
      </c>
      <c r="C50" s="466">
        <v>178928</v>
      </c>
      <c r="D50" s="466">
        <v>55872</v>
      </c>
      <c r="E50" s="466">
        <v>4120</v>
      </c>
      <c r="F50" s="466">
        <v>11800</v>
      </c>
      <c r="G50" s="466">
        <v>3539</v>
      </c>
      <c r="H50" s="466">
        <v>1000</v>
      </c>
      <c r="I50" s="466">
        <v>0</v>
      </c>
      <c r="J50" s="466">
        <v>0</v>
      </c>
      <c r="K50" s="1682">
        <f>SUM(C50:J50)</f>
        <v>255259</v>
      </c>
      <c r="L50" s="466">
        <v>270875</v>
      </c>
    </row>
    <row r="51" spans="1:14" x14ac:dyDescent="0.2">
      <c r="A51" s="1514" t="s">
        <v>44</v>
      </c>
      <c r="B51" s="605">
        <v>2330</v>
      </c>
      <c r="C51" s="466">
        <v>0</v>
      </c>
      <c r="D51" s="466">
        <v>0</v>
      </c>
      <c r="E51" s="466">
        <v>0</v>
      </c>
      <c r="F51" s="466">
        <v>0</v>
      </c>
      <c r="G51" s="466">
        <v>0</v>
      </c>
      <c r="H51" s="466">
        <v>0</v>
      </c>
      <c r="I51" s="466">
        <v>0</v>
      </c>
      <c r="J51" s="466">
        <v>0</v>
      </c>
      <c r="K51" s="1682">
        <f>SUM(C51:J51)</f>
        <v>0</v>
      </c>
      <c r="L51" s="466"/>
    </row>
    <row r="52" spans="1:14" ht="22.5" x14ac:dyDescent="0.2">
      <c r="A52" s="1515" t="s">
        <v>316</v>
      </c>
      <c r="B52" s="618" t="s">
        <v>384</v>
      </c>
      <c r="C52" s="474"/>
      <c r="D52" s="474"/>
      <c r="E52" s="474"/>
      <c r="F52" s="474"/>
      <c r="G52" s="474"/>
      <c r="H52" s="474"/>
      <c r="I52" s="474"/>
      <c r="J52" s="474"/>
      <c r="K52" s="1682">
        <f>SUM(C52:J52)</f>
        <v>0</v>
      </c>
      <c r="L52" s="474"/>
    </row>
    <row r="53" spans="1:14" ht="12.75" customHeight="1" thickBot="1" x14ac:dyDescent="0.25">
      <c r="A53" s="1678" t="s">
        <v>741</v>
      </c>
      <c r="B53" s="1679" t="s">
        <v>33</v>
      </c>
      <c r="C53" s="1680">
        <f>SUM(C49:C52)</f>
        <v>188320</v>
      </c>
      <c r="D53" s="1680">
        <f t="shared" ref="D53:L53" si="5">SUM(D49:D52)</f>
        <v>55872</v>
      </c>
      <c r="E53" s="1680">
        <f t="shared" si="5"/>
        <v>26816</v>
      </c>
      <c r="F53" s="1680">
        <f t="shared" si="5"/>
        <v>37468</v>
      </c>
      <c r="G53" s="1680">
        <f t="shared" si="5"/>
        <v>3539</v>
      </c>
      <c r="H53" s="1680">
        <f t="shared" si="5"/>
        <v>6135</v>
      </c>
      <c r="I53" s="1680">
        <f t="shared" si="5"/>
        <v>0</v>
      </c>
      <c r="J53" s="1680">
        <f t="shared" si="5"/>
        <v>0</v>
      </c>
      <c r="K53" s="1680">
        <f t="shared" si="5"/>
        <v>318150</v>
      </c>
      <c r="L53" s="1680">
        <f t="shared" si="5"/>
        <v>347110</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284999</v>
      </c>
      <c r="D55" s="466">
        <v>138482</v>
      </c>
      <c r="E55" s="466">
        <v>1565</v>
      </c>
      <c r="F55" s="466">
        <v>2208</v>
      </c>
      <c r="G55" s="466">
        <v>0</v>
      </c>
      <c r="H55" s="466">
        <v>490</v>
      </c>
      <c r="I55" s="466">
        <v>0</v>
      </c>
      <c r="J55" s="466">
        <v>0</v>
      </c>
      <c r="K55" s="1682">
        <f>SUM(C55:J55)</f>
        <v>427744</v>
      </c>
      <c r="L55" s="481">
        <v>459852</v>
      </c>
    </row>
    <row r="56" spans="1:14" ht="12.75" customHeight="1" x14ac:dyDescent="0.2">
      <c r="A56" s="1518" t="s">
        <v>394</v>
      </c>
      <c r="B56" s="619">
        <v>2490</v>
      </c>
      <c r="C56" s="466">
        <v>0</v>
      </c>
      <c r="D56" s="466">
        <v>0</v>
      </c>
      <c r="E56" s="466">
        <v>0</v>
      </c>
      <c r="F56" s="466">
        <v>0</v>
      </c>
      <c r="G56" s="466">
        <v>0</v>
      </c>
      <c r="H56" s="466">
        <v>0</v>
      </c>
      <c r="I56" s="466">
        <v>0</v>
      </c>
      <c r="J56" s="466">
        <v>0</v>
      </c>
      <c r="K56" s="1682">
        <f>SUM(C56:J56)</f>
        <v>0</v>
      </c>
      <c r="L56" s="466"/>
    </row>
    <row r="57" spans="1:14" s="343" customFormat="1" ht="12.75" customHeight="1" thickBot="1" x14ac:dyDescent="0.25">
      <c r="A57" s="1678" t="s">
        <v>281</v>
      </c>
      <c r="B57" s="1683" t="s">
        <v>34</v>
      </c>
      <c r="C57" s="1684">
        <f>SUM(C55:C56)</f>
        <v>284999</v>
      </c>
      <c r="D57" s="1684">
        <f t="shared" ref="D57:K57" si="6">SUM(D55:D56)</f>
        <v>138482</v>
      </c>
      <c r="E57" s="1684">
        <f t="shared" si="6"/>
        <v>1565</v>
      </c>
      <c r="F57" s="1684">
        <f t="shared" si="6"/>
        <v>2208</v>
      </c>
      <c r="G57" s="1684">
        <f t="shared" si="6"/>
        <v>0</v>
      </c>
      <c r="H57" s="1684">
        <f t="shared" si="6"/>
        <v>490</v>
      </c>
      <c r="I57" s="1684">
        <f t="shared" si="6"/>
        <v>0</v>
      </c>
      <c r="J57" s="1684">
        <f t="shared" si="6"/>
        <v>0</v>
      </c>
      <c r="K57" s="1684">
        <f t="shared" si="6"/>
        <v>427744</v>
      </c>
      <c r="L57" s="1680">
        <f>SUM(L55:L56)</f>
        <v>459852</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2">
        <f t="shared" ref="K59:K64" si="7">SUM(C59:J59)</f>
        <v>0</v>
      </c>
      <c r="L59" s="481"/>
      <c r="M59" s="600"/>
      <c r="N59" s="600"/>
    </row>
    <row r="60" spans="1:14" s="343" customFormat="1" x14ac:dyDescent="0.2">
      <c r="A60" s="1514" t="s">
        <v>483</v>
      </c>
      <c r="B60" s="605">
        <v>2520</v>
      </c>
      <c r="C60" s="466">
        <v>78225</v>
      </c>
      <c r="D60" s="466">
        <v>28263</v>
      </c>
      <c r="E60" s="466">
        <v>9099</v>
      </c>
      <c r="F60" s="466">
        <v>4811</v>
      </c>
      <c r="G60" s="466">
        <v>0</v>
      </c>
      <c r="H60" s="466">
        <v>4219</v>
      </c>
      <c r="I60" s="466">
        <v>0</v>
      </c>
      <c r="J60" s="466">
        <v>0</v>
      </c>
      <c r="K60" s="1682">
        <f t="shared" si="7"/>
        <v>124617</v>
      </c>
      <c r="L60" s="466">
        <v>139545</v>
      </c>
      <c r="M60" s="600"/>
      <c r="N60" s="600"/>
    </row>
    <row r="61" spans="1:14" s="343" customFormat="1" x14ac:dyDescent="0.2">
      <c r="A61" s="1514" t="s">
        <v>206</v>
      </c>
      <c r="B61" s="605">
        <v>2540</v>
      </c>
      <c r="C61" s="466">
        <v>0</v>
      </c>
      <c r="D61" s="466">
        <v>0</v>
      </c>
      <c r="E61" s="466">
        <v>0</v>
      </c>
      <c r="F61" s="466">
        <v>0</v>
      </c>
      <c r="G61" s="466">
        <v>0</v>
      </c>
      <c r="H61" s="466">
        <v>0</v>
      </c>
      <c r="I61" s="466">
        <v>0</v>
      </c>
      <c r="J61" s="466">
        <v>0</v>
      </c>
      <c r="K61" s="1682">
        <f t="shared" si="7"/>
        <v>0</v>
      </c>
      <c r="L61" s="466"/>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2">
        <f t="shared" si="7"/>
        <v>0</v>
      </c>
      <c r="L62" s="466"/>
      <c r="M62" s="600"/>
      <c r="N62" s="600"/>
    </row>
    <row r="63" spans="1:14" s="600" customFormat="1" x14ac:dyDescent="0.2">
      <c r="A63" s="1514" t="s">
        <v>102</v>
      </c>
      <c r="B63" s="605">
        <v>2560</v>
      </c>
      <c r="C63" s="466">
        <v>155323</v>
      </c>
      <c r="D63" s="466">
        <v>18597</v>
      </c>
      <c r="E63" s="466">
        <v>4545</v>
      </c>
      <c r="F63" s="466">
        <v>225758</v>
      </c>
      <c r="G63" s="466">
        <v>0</v>
      </c>
      <c r="H63" s="466">
        <v>1456</v>
      </c>
      <c r="I63" s="466">
        <v>0</v>
      </c>
      <c r="J63" s="466">
        <v>0</v>
      </c>
      <c r="K63" s="1682">
        <f t="shared" si="7"/>
        <v>405679</v>
      </c>
      <c r="L63" s="466">
        <v>456735</v>
      </c>
    </row>
    <row r="64" spans="1:14" s="600" customFormat="1" x14ac:dyDescent="0.2">
      <c r="A64" s="1519" t="s">
        <v>103</v>
      </c>
      <c r="B64" s="621">
        <v>2570</v>
      </c>
      <c r="C64" s="466">
        <v>0</v>
      </c>
      <c r="D64" s="466">
        <v>0</v>
      </c>
      <c r="E64" s="466">
        <v>0</v>
      </c>
      <c r="F64" s="466">
        <v>0</v>
      </c>
      <c r="G64" s="466">
        <v>0</v>
      </c>
      <c r="H64" s="466">
        <v>0</v>
      </c>
      <c r="I64" s="466">
        <v>0</v>
      </c>
      <c r="J64" s="466">
        <v>0</v>
      </c>
      <c r="K64" s="1682">
        <f t="shared" si="7"/>
        <v>0</v>
      </c>
      <c r="L64" s="481"/>
    </row>
    <row r="65" spans="1:14" s="343" customFormat="1" ht="12.75" customHeight="1" thickBot="1" x14ac:dyDescent="0.25">
      <c r="A65" s="1678" t="s">
        <v>743</v>
      </c>
      <c r="B65" s="1679" t="s">
        <v>35</v>
      </c>
      <c r="C65" s="1680">
        <f>SUM(C59:C64)</f>
        <v>233548</v>
      </c>
      <c r="D65" s="1680">
        <f t="shared" ref="D65:L65" si="8">SUM(D59:D64)</f>
        <v>46860</v>
      </c>
      <c r="E65" s="1680">
        <f t="shared" si="8"/>
        <v>13644</v>
      </c>
      <c r="F65" s="1680">
        <f t="shared" si="8"/>
        <v>230569</v>
      </c>
      <c r="G65" s="1680">
        <f t="shared" si="8"/>
        <v>0</v>
      </c>
      <c r="H65" s="1680">
        <f t="shared" si="8"/>
        <v>5675</v>
      </c>
      <c r="I65" s="1680">
        <f t="shared" si="8"/>
        <v>0</v>
      </c>
      <c r="J65" s="1680">
        <f t="shared" si="8"/>
        <v>0</v>
      </c>
      <c r="K65" s="1680">
        <f t="shared" si="8"/>
        <v>530296</v>
      </c>
      <c r="L65" s="1680">
        <f t="shared" si="8"/>
        <v>596280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2">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2">
        <f>SUM(C68:J68)</f>
        <v>0</v>
      </c>
      <c r="L68" s="466"/>
      <c r="M68" s="600"/>
      <c r="N68" s="600"/>
    </row>
    <row r="69" spans="1:14" s="343" customFormat="1" x14ac:dyDescent="0.2">
      <c r="A69" s="1514" t="s">
        <v>1121</v>
      </c>
      <c r="B69" s="605">
        <v>2630</v>
      </c>
      <c r="C69" s="466">
        <v>84397</v>
      </c>
      <c r="D69" s="466">
        <v>17942</v>
      </c>
      <c r="E69" s="466">
        <v>92000</v>
      </c>
      <c r="F69" s="466">
        <v>13720</v>
      </c>
      <c r="G69" s="466">
        <v>61964</v>
      </c>
      <c r="H69" s="466">
        <v>0</v>
      </c>
      <c r="I69" s="466">
        <v>0</v>
      </c>
      <c r="J69" s="466">
        <v>0</v>
      </c>
      <c r="K69" s="1682">
        <f>SUM(C69:J69)</f>
        <v>270023</v>
      </c>
      <c r="L69" s="466">
        <v>295995</v>
      </c>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2">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2">
        <f>SUM(C71:J71)</f>
        <v>0</v>
      </c>
      <c r="L71" s="466"/>
      <c r="M71" s="600"/>
      <c r="N71" s="600"/>
    </row>
    <row r="72" spans="1:14" s="343" customFormat="1" ht="12.75" customHeight="1" thickBot="1" x14ac:dyDescent="0.25">
      <c r="A72" s="1678" t="s">
        <v>37</v>
      </c>
      <c r="B72" s="1685" t="s">
        <v>36</v>
      </c>
      <c r="C72" s="1680">
        <f>SUM(C67:C71)</f>
        <v>84397</v>
      </c>
      <c r="D72" s="1680">
        <f t="shared" ref="D72:K72" si="9">SUM(D67:D71)</f>
        <v>17942</v>
      </c>
      <c r="E72" s="1680">
        <f t="shared" si="9"/>
        <v>92000</v>
      </c>
      <c r="F72" s="1680">
        <f t="shared" si="9"/>
        <v>13720</v>
      </c>
      <c r="G72" s="1680">
        <f t="shared" si="9"/>
        <v>61964</v>
      </c>
      <c r="H72" s="1680">
        <f t="shared" si="9"/>
        <v>0</v>
      </c>
      <c r="I72" s="1680">
        <f t="shared" si="9"/>
        <v>0</v>
      </c>
      <c r="J72" s="1680">
        <f t="shared" si="9"/>
        <v>0</v>
      </c>
      <c r="K72" s="1680">
        <f t="shared" si="9"/>
        <v>270023</v>
      </c>
      <c r="L72" s="1680">
        <f>SUM(L67:L71)</f>
        <v>295995</v>
      </c>
      <c r="M72" s="600"/>
      <c r="N72" s="600"/>
    </row>
    <row r="73" spans="1:14" s="343" customFormat="1" ht="14.25" thickTop="1" thickBot="1" x14ac:dyDescent="0.25">
      <c r="A73" s="1520" t="s">
        <v>1037</v>
      </c>
      <c r="B73" s="623" t="s">
        <v>595</v>
      </c>
      <c r="C73" s="466">
        <v>0</v>
      </c>
      <c r="D73" s="466">
        <v>0</v>
      </c>
      <c r="E73" s="466">
        <v>0</v>
      </c>
      <c r="F73" s="466">
        <v>400</v>
      </c>
      <c r="G73" s="466">
        <v>0</v>
      </c>
      <c r="H73" s="466">
        <v>0</v>
      </c>
      <c r="I73" s="466">
        <v>0</v>
      </c>
      <c r="J73" s="466">
        <v>0</v>
      </c>
      <c r="K73" s="1680">
        <f>SUM(C73:J73)</f>
        <v>400</v>
      </c>
      <c r="L73" s="572"/>
      <c r="M73" s="600"/>
      <c r="N73" s="600"/>
    </row>
    <row r="74" spans="1:14" ht="12.75" customHeight="1" thickTop="1" thickBot="1" x14ac:dyDescent="0.25">
      <c r="A74" s="1678" t="s">
        <v>865</v>
      </c>
      <c r="B74" s="1686">
        <v>2000</v>
      </c>
      <c r="C74" s="1687">
        <f>SUM(C42,C47,C53,C57,C65,C72,C73)</f>
        <v>953942</v>
      </c>
      <c r="D74" s="1687">
        <f t="shared" ref="D74:K74" si="10">SUM(D42,D47,D53,D57,D65,D72,D73)</f>
        <v>354728</v>
      </c>
      <c r="E74" s="1687">
        <f t="shared" si="10"/>
        <v>150918</v>
      </c>
      <c r="F74" s="1687">
        <f t="shared" si="10"/>
        <v>296044</v>
      </c>
      <c r="G74" s="1687">
        <f t="shared" si="10"/>
        <v>65503</v>
      </c>
      <c r="H74" s="1687">
        <f t="shared" si="10"/>
        <v>12719</v>
      </c>
      <c r="I74" s="1687">
        <f t="shared" si="10"/>
        <v>0</v>
      </c>
      <c r="J74" s="1687">
        <f t="shared" si="10"/>
        <v>0</v>
      </c>
      <c r="K74" s="1687">
        <f t="shared" si="10"/>
        <v>1833854</v>
      </c>
      <c r="L74" s="1687">
        <f>SUM(L42,L47,L53,L57,L65,L72,L73)</f>
        <v>1999669</v>
      </c>
    </row>
    <row r="75" spans="1:14" s="259" customFormat="1" ht="15.75" customHeight="1" thickTop="1" thickBot="1" x14ac:dyDescent="0.25">
      <c r="A75" s="1620" t="s">
        <v>49</v>
      </c>
      <c r="B75" s="1621" t="s">
        <v>596</v>
      </c>
      <c r="C75" s="466">
        <v>0</v>
      </c>
      <c r="D75" s="466">
        <v>0</v>
      </c>
      <c r="E75" s="466">
        <v>0</v>
      </c>
      <c r="F75" s="466">
        <v>3611</v>
      </c>
      <c r="G75" s="466">
        <v>0</v>
      </c>
      <c r="H75" s="466">
        <v>0</v>
      </c>
      <c r="I75" s="466">
        <v>0</v>
      </c>
      <c r="J75" s="466">
        <v>0</v>
      </c>
      <c r="K75" s="1680">
        <f>SUM(C75:J75)</f>
        <v>3611</v>
      </c>
      <c r="L75" s="572"/>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0</v>
      </c>
      <c r="F78" s="607"/>
      <c r="G78" s="607"/>
      <c r="H78" s="466">
        <v>0</v>
      </c>
      <c r="I78" s="477"/>
      <c r="J78" s="477"/>
      <c r="K78" s="1681">
        <f t="shared" ref="K78:K83" si="11">SUM(C78:J78)</f>
        <v>0</v>
      </c>
      <c r="L78" s="481"/>
    </row>
    <row r="79" spans="1:14" x14ac:dyDescent="0.2">
      <c r="A79" s="1514" t="s">
        <v>322</v>
      </c>
      <c r="B79" s="605">
        <v>4120</v>
      </c>
      <c r="C79" s="607"/>
      <c r="D79" s="607"/>
      <c r="E79" s="466">
        <v>652790</v>
      </c>
      <c r="F79" s="607"/>
      <c r="G79" s="607"/>
      <c r="H79" s="466">
        <v>0</v>
      </c>
      <c r="I79" s="477"/>
      <c r="J79" s="477"/>
      <c r="K79" s="1681">
        <f t="shared" si="11"/>
        <v>652790</v>
      </c>
      <c r="L79" s="466">
        <v>925000</v>
      </c>
    </row>
    <row r="80" spans="1:14" x14ac:dyDescent="0.2">
      <c r="A80" s="1514" t="s">
        <v>323</v>
      </c>
      <c r="B80" s="605">
        <v>4130</v>
      </c>
      <c r="C80" s="607"/>
      <c r="D80" s="607"/>
      <c r="E80" s="466">
        <v>0</v>
      </c>
      <c r="F80" s="607"/>
      <c r="G80" s="607"/>
      <c r="H80" s="466">
        <v>0</v>
      </c>
      <c r="I80" s="477"/>
      <c r="J80" s="477"/>
      <c r="K80" s="1681">
        <f t="shared" si="11"/>
        <v>0</v>
      </c>
      <c r="L80" s="466"/>
    </row>
    <row r="81" spans="1:12" x14ac:dyDescent="0.2">
      <c r="A81" s="1514" t="s">
        <v>721</v>
      </c>
      <c r="B81" s="605">
        <v>4140</v>
      </c>
      <c r="C81" s="607"/>
      <c r="D81" s="607"/>
      <c r="E81" s="466">
        <v>0</v>
      </c>
      <c r="F81" s="607"/>
      <c r="G81" s="607"/>
      <c r="H81" s="466">
        <v>0</v>
      </c>
      <c r="I81" s="477"/>
      <c r="J81" s="477"/>
      <c r="K81" s="1681">
        <f t="shared" si="11"/>
        <v>0</v>
      </c>
      <c r="L81" s="466"/>
    </row>
    <row r="82" spans="1:12" x14ac:dyDescent="0.2">
      <c r="A82" s="1514" t="s">
        <v>88</v>
      </c>
      <c r="B82" s="605">
        <v>4170</v>
      </c>
      <c r="C82" s="607"/>
      <c r="D82" s="607"/>
      <c r="E82" s="466">
        <v>0</v>
      </c>
      <c r="F82" s="607"/>
      <c r="G82" s="607"/>
      <c r="H82" s="466">
        <v>0</v>
      </c>
      <c r="I82" s="477"/>
      <c r="J82" s="477"/>
      <c r="K82" s="1681">
        <f t="shared" si="11"/>
        <v>0</v>
      </c>
      <c r="L82" s="466"/>
    </row>
    <row r="83" spans="1:12" x14ac:dyDescent="0.2">
      <c r="A83" s="1518" t="s">
        <v>722</v>
      </c>
      <c r="B83" s="619">
        <v>4190</v>
      </c>
      <c r="C83" s="607"/>
      <c r="D83" s="607"/>
      <c r="E83" s="466">
        <v>0</v>
      </c>
      <c r="F83" s="607"/>
      <c r="G83" s="607"/>
      <c r="H83" s="466">
        <v>0</v>
      </c>
      <c r="I83" s="477"/>
      <c r="J83" s="477"/>
      <c r="K83" s="1681">
        <f t="shared" si="11"/>
        <v>0</v>
      </c>
      <c r="L83" s="466"/>
    </row>
    <row r="84" spans="1:12" ht="13.5" thickBot="1" x14ac:dyDescent="0.25">
      <c r="A84" s="1678" t="s">
        <v>1565</v>
      </c>
      <c r="B84" s="1688">
        <v>4100</v>
      </c>
      <c r="C84" s="607"/>
      <c r="D84" s="607"/>
      <c r="E84" s="1680">
        <f>SUM(E78:E83)</f>
        <v>652790</v>
      </c>
      <c r="F84" s="607"/>
      <c r="G84" s="607"/>
      <c r="H84" s="1680">
        <f>SUM(H78:H83)</f>
        <v>0</v>
      </c>
      <c r="I84" s="477"/>
      <c r="J84" s="477"/>
      <c r="K84" s="1680">
        <f>SUM(K78:K83)</f>
        <v>652790</v>
      </c>
      <c r="L84" s="1680">
        <f>SUM(L78:L83)</f>
        <v>925000</v>
      </c>
    </row>
    <row r="85" spans="1:12" ht="12.75" customHeight="1" thickTop="1" thickBot="1" x14ac:dyDescent="0.25">
      <c r="A85" s="1521" t="s">
        <v>273</v>
      </c>
      <c r="B85" s="625">
        <v>4210</v>
      </c>
      <c r="C85" s="607"/>
      <c r="D85" s="607"/>
      <c r="E85" s="626"/>
      <c r="F85" s="607"/>
      <c r="G85" s="607"/>
      <c r="H85" s="466">
        <v>0</v>
      </c>
      <c r="I85" s="477"/>
      <c r="J85" s="477"/>
      <c r="K85" s="1687">
        <f>H85</f>
        <v>0</v>
      </c>
      <c r="L85" s="530"/>
    </row>
    <row r="86" spans="1:12" ht="12.75" customHeight="1" thickTop="1" thickBot="1" x14ac:dyDescent="0.25">
      <c r="A86" s="1522" t="s">
        <v>723</v>
      </c>
      <c r="B86" s="627">
        <v>4220</v>
      </c>
      <c r="C86" s="607"/>
      <c r="D86" s="607"/>
      <c r="E86" s="628"/>
      <c r="F86" s="607"/>
      <c r="G86" s="607"/>
      <c r="H86" s="466">
        <v>140666</v>
      </c>
      <c r="I86" s="477"/>
      <c r="J86" s="477"/>
      <c r="K86" s="1687">
        <f t="shared" ref="K86:K98" si="12">H86</f>
        <v>140666</v>
      </c>
      <c r="L86" s="530"/>
    </row>
    <row r="87" spans="1:12" ht="14.25" thickTop="1" thickBot="1" x14ac:dyDescent="0.25">
      <c r="A87" s="1523" t="s">
        <v>724</v>
      </c>
      <c r="B87" s="629">
        <v>4230</v>
      </c>
      <c r="C87" s="607"/>
      <c r="D87" s="607"/>
      <c r="E87" s="628"/>
      <c r="F87" s="607"/>
      <c r="G87" s="607"/>
      <c r="H87" s="466">
        <v>0</v>
      </c>
      <c r="I87" s="477"/>
      <c r="J87" s="477"/>
      <c r="K87" s="1687">
        <f t="shared" si="12"/>
        <v>0</v>
      </c>
      <c r="L87" s="530"/>
    </row>
    <row r="88" spans="1:12" ht="12.75" customHeight="1" thickTop="1" thickBot="1" x14ac:dyDescent="0.25">
      <c r="A88" s="1523" t="s">
        <v>789</v>
      </c>
      <c r="B88" s="629">
        <v>4240</v>
      </c>
      <c r="C88" s="607"/>
      <c r="D88" s="607"/>
      <c r="E88" s="628"/>
      <c r="F88" s="607"/>
      <c r="G88" s="607"/>
      <c r="H88" s="466">
        <v>0</v>
      </c>
      <c r="I88" s="477"/>
      <c r="J88" s="477"/>
      <c r="K88" s="1687">
        <f t="shared" si="12"/>
        <v>0</v>
      </c>
      <c r="L88" s="530"/>
    </row>
    <row r="89" spans="1:12" ht="12.75" customHeight="1" thickTop="1" thickBot="1" x14ac:dyDescent="0.25">
      <c r="A89" s="1523" t="s">
        <v>725</v>
      </c>
      <c r="B89" s="629">
        <v>4270</v>
      </c>
      <c r="C89" s="607"/>
      <c r="D89" s="607"/>
      <c r="E89" s="628"/>
      <c r="F89" s="607"/>
      <c r="G89" s="607"/>
      <c r="H89" s="466">
        <v>0</v>
      </c>
      <c r="I89" s="477"/>
      <c r="J89" s="477"/>
      <c r="K89" s="1687">
        <f t="shared" si="12"/>
        <v>0</v>
      </c>
      <c r="L89" s="530"/>
    </row>
    <row r="90" spans="1:12" ht="12.75" customHeight="1" thickTop="1" thickBot="1" x14ac:dyDescent="0.25">
      <c r="A90" s="1523" t="s">
        <v>710</v>
      </c>
      <c r="B90" s="629">
        <v>4280</v>
      </c>
      <c r="C90" s="607"/>
      <c r="D90" s="607"/>
      <c r="E90" s="628"/>
      <c r="F90" s="607"/>
      <c r="G90" s="607"/>
      <c r="H90" s="466">
        <v>0</v>
      </c>
      <c r="I90" s="477"/>
      <c r="J90" s="477"/>
      <c r="K90" s="1687">
        <f t="shared" si="12"/>
        <v>0</v>
      </c>
      <c r="L90" s="530"/>
    </row>
    <row r="91" spans="1:12" ht="12.75" customHeight="1" thickTop="1" thickBot="1" x14ac:dyDescent="0.25">
      <c r="A91" s="1523" t="s">
        <v>711</v>
      </c>
      <c r="B91" s="629">
        <v>4290</v>
      </c>
      <c r="C91" s="607"/>
      <c r="D91" s="607"/>
      <c r="E91" s="628"/>
      <c r="F91" s="607"/>
      <c r="G91" s="607"/>
      <c r="H91" s="466">
        <v>0</v>
      </c>
      <c r="I91" s="477"/>
      <c r="J91" s="477"/>
      <c r="K91" s="1687">
        <f t="shared" si="12"/>
        <v>0</v>
      </c>
      <c r="L91" s="530"/>
    </row>
    <row r="92" spans="1:12" ht="14.25" thickTop="1" thickBot="1" x14ac:dyDescent="0.25">
      <c r="A92" s="1690" t="s">
        <v>1641</v>
      </c>
      <c r="B92" s="1688">
        <v>4200</v>
      </c>
      <c r="C92" s="607"/>
      <c r="D92" s="607"/>
      <c r="E92" s="628"/>
      <c r="F92" s="607"/>
      <c r="G92" s="607"/>
      <c r="H92" s="1680">
        <f>SUM(H85:H91)</f>
        <v>140666</v>
      </c>
      <c r="I92" s="477"/>
      <c r="J92" s="477"/>
      <c r="K92" s="1687">
        <f t="shared" si="12"/>
        <v>140666</v>
      </c>
      <c r="L92" s="1680">
        <f>SUM(L85:L91)</f>
        <v>0</v>
      </c>
    </row>
    <row r="93" spans="1:12" ht="14.25" thickTop="1" thickBot="1" x14ac:dyDescent="0.25">
      <c r="A93" s="1522" t="s">
        <v>712</v>
      </c>
      <c r="B93" s="630">
        <v>4310</v>
      </c>
      <c r="C93" s="607"/>
      <c r="D93" s="607"/>
      <c r="E93" s="628"/>
      <c r="F93" s="607"/>
      <c r="G93" s="607"/>
      <c r="H93" s="466">
        <v>0</v>
      </c>
      <c r="I93" s="477"/>
      <c r="J93" s="477"/>
      <c r="K93" s="1687">
        <f t="shared" si="12"/>
        <v>0</v>
      </c>
      <c r="L93" s="532"/>
    </row>
    <row r="94" spans="1:12" ht="12.75" customHeight="1" thickTop="1" thickBot="1" x14ac:dyDescent="0.25">
      <c r="A94" s="1523" t="s">
        <v>713</v>
      </c>
      <c r="B94" s="629">
        <v>4320</v>
      </c>
      <c r="C94" s="607"/>
      <c r="D94" s="607"/>
      <c r="E94" s="628"/>
      <c r="F94" s="607"/>
      <c r="G94" s="607"/>
      <c r="H94" s="466">
        <v>0</v>
      </c>
      <c r="I94" s="477"/>
      <c r="J94" s="477"/>
      <c r="K94" s="1687">
        <f t="shared" si="12"/>
        <v>0</v>
      </c>
      <c r="L94" s="530"/>
    </row>
    <row r="95" spans="1:12" ht="15" customHeight="1" thickTop="1" thickBot="1" x14ac:dyDescent="0.25">
      <c r="A95" s="1523" t="s">
        <v>1568</v>
      </c>
      <c r="B95" s="629">
        <v>4330</v>
      </c>
      <c r="C95" s="607"/>
      <c r="D95" s="607"/>
      <c r="E95" s="628"/>
      <c r="F95" s="607"/>
      <c r="G95" s="607"/>
      <c r="H95" s="466">
        <v>0</v>
      </c>
      <c r="I95" s="477"/>
      <c r="J95" s="477"/>
      <c r="K95" s="1687">
        <f t="shared" si="12"/>
        <v>0</v>
      </c>
      <c r="L95" s="530"/>
    </row>
    <row r="96" spans="1:12" ht="14.25" thickTop="1" thickBot="1" x14ac:dyDescent="0.25">
      <c r="A96" s="1523" t="s">
        <v>714</v>
      </c>
      <c r="B96" s="629">
        <v>4340</v>
      </c>
      <c r="C96" s="607"/>
      <c r="D96" s="607"/>
      <c r="E96" s="628"/>
      <c r="F96" s="607"/>
      <c r="G96" s="607"/>
      <c r="H96" s="466">
        <v>0</v>
      </c>
      <c r="I96" s="477"/>
      <c r="J96" s="477"/>
      <c r="K96" s="1687">
        <f t="shared" si="12"/>
        <v>0</v>
      </c>
      <c r="L96" s="530"/>
    </row>
    <row r="97" spans="1:14" ht="12.75" customHeight="1" thickTop="1" thickBot="1" x14ac:dyDescent="0.25">
      <c r="A97" s="1523" t="s">
        <v>787</v>
      </c>
      <c r="B97" s="629">
        <v>4370</v>
      </c>
      <c r="C97" s="607"/>
      <c r="D97" s="607"/>
      <c r="E97" s="628"/>
      <c r="F97" s="607"/>
      <c r="G97" s="607"/>
      <c r="H97" s="466">
        <v>0</v>
      </c>
      <c r="I97" s="477"/>
      <c r="J97" s="477"/>
      <c r="K97" s="1687">
        <f t="shared" si="12"/>
        <v>0</v>
      </c>
      <c r="L97" s="530"/>
    </row>
    <row r="98" spans="1:14" ht="14.25" thickTop="1" thickBot="1" x14ac:dyDescent="0.25">
      <c r="A98" s="1523" t="s">
        <v>788</v>
      </c>
      <c r="B98" s="629">
        <v>4380</v>
      </c>
      <c r="C98" s="607"/>
      <c r="D98" s="607"/>
      <c r="E98" s="632"/>
      <c r="F98" s="607"/>
      <c r="G98" s="607"/>
      <c r="H98" s="466">
        <v>0</v>
      </c>
      <c r="I98" s="477"/>
      <c r="J98" s="477"/>
      <c r="K98" s="1687">
        <f t="shared" si="12"/>
        <v>0</v>
      </c>
      <c r="L98" s="530"/>
    </row>
    <row r="99" spans="1:14" ht="14.25" thickTop="1" thickBot="1" x14ac:dyDescent="0.25">
      <c r="A99" s="1523" t="s">
        <v>385</v>
      </c>
      <c r="B99" s="629">
        <v>4390</v>
      </c>
      <c r="C99" s="607"/>
      <c r="D99" s="607"/>
      <c r="E99" s="466">
        <v>0</v>
      </c>
      <c r="F99" s="607"/>
      <c r="G99" s="607"/>
      <c r="H99" s="466">
        <v>0</v>
      </c>
      <c r="I99" s="477"/>
      <c r="J99" s="477"/>
      <c r="K99" s="1687">
        <f>SUM(E99,H99)</f>
        <v>0</v>
      </c>
      <c r="L99" s="530"/>
    </row>
    <row r="100" spans="1:14" ht="14.25" thickTop="1" thickBot="1" x14ac:dyDescent="0.25">
      <c r="A100" s="1690" t="s">
        <v>1566</v>
      </c>
      <c r="B100" s="1691">
        <v>4300</v>
      </c>
      <c r="C100" s="607"/>
      <c r="D100" s="607"/>
      <c r="E100" s="1687">
        <f>SUM(E93:E99)</f>
        <v>0</v>
      </c>
      <c r="F100" s="607"/>
      <c r="G100" s="607"/>
      <c r="H100" s="1687">
        <f>SUM(H93:H99)</f>
        <v>0</v>
      </c>
      <c r="I100" s="477"/>
      <c r="J100" s="477"/>
      <c r="K100" s="1687">
        <f>SUM(K93:K99)</f>
        <v>0</v>
      </c>
      <c r="L100" s="1687">
        <f>SUM(L93:L99)</f>
        <v>0</v>
      </c>
    </row>
    <row r="101" spans="1:14" ht="12.75" customHeight="1" thickTop="1" thickBot="1" x14ac:dyDescent="0.25">
      <c r="A101" s="1520" t="s">
        <v>1569</v>
      </c>
      <c r="B101" s="633" t="s">
        <v>988</v>
      </c>
      <c r="C101" s="607"/>
      <c r="D101" s="607"/>
      <c r="E101" s="466">
        <v>0</v>
      </c>
      <c r="F101" s="607"/>
      <c r="G101" s="607"/>
      <c r="H101" s="466">
        <v>0</v>
      </c>
      <c r="I101" s="477"/>
      <c r="J101" s="477"/>
      <c r="K101" s="1689">
        <f>SUM(C101:J101)</f>
        <v>0</v>
      </c>
      <c r="L101" s="530"/>
    </row>
    <row r="102" spans="1:14" ht="12.75" customHeight="1" thickTop="1" thickBot="1" x14ac:dyDescent="0.25">
      <c r="A102" s="1678" t="s">
        <v>1567</v>
      </c>
      <c r="B102" s="1688">
        <v>4000</v>
      </c>
      <c r="C102" s="607"/>
      <c r="D102" s="607"/>
      <c r="E102" s="1687">
        <f>SUM(E84,E92,E100,E101)</f>
        <v>652790</v>
      </c>
      <c r="F102" s="607"/>
      <c r="G102" s="607"/>
      <c r="H102" s="1687">
        <f>SUM(H84,H92,H100,H101)</f>
        <v>140666</v>
      </c>
      <c r="I102" s="477"/>
      <c r="J102" s="477"/>
      <c r="K102" s="1687">
        <f>SUM(K84,K92,K100,K101)</f>
        <v>793456</v>
      </c>
      <c r="L102" s="1687">
        <f>SUM(L84,L92,L100,L101)</f>
        <v>925000</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1">
        <f>H105</f>
        <v>0</v>
      </c>
      <c r="L105" s="481"/>
      <c r="M105" s="210"/>
      <c r="N105" s="210"/>
    </row>
    <row r="106" spans="1:14" s="588" customFormat="1" x14ac:dyDescent="0.2">
      <c r="A106" s="1514" t="s">
        <v>90</v>
      </c>
      <c r="B106" s="605">
        <v>5120</v>
      </c>
      <c r="C106" s="607"/>
      <c r="D106" s="607"/>
      <c r="E106" s="607"/>
      <c r="F106" s="607"/>
      <c r="G106" s="607"/>
      <c r="H106" s="466">
        <v>0</v>
      </c>
      <c r="I106" s="468"/>
      <c r="J106" s="468"/>
      <c r="K106" s="1681">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1">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1">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1">
        <f>H109</f>
        <v>0</v>
      </c>
      <c r="L109" s="466"/>
      <c r="M109" s="210"/>
      <c r="N109" s="210"/>
    </row>
    <row r="110" spans="1:14" s="588" customFormat="1" ht="12.75" customHeight="1" thickBot="1" x14ac:dyDescent="0.25">
      <c r="A110" s="1678" t="s">
        <v>1164</v>
      </c>
      <c r="B110" s="1685" t="s">
        <v>742</v>
      </c>
      <c r="C110" s="607"/>
      <c r="D110" s="607"/>
      <c r="E110" s="607"/>
      <c r="F110" s="607"/>
      <c r="G110" s="607"/>
      <c r="H110" s="1680">
        <f>SUM(H105:H109)</f>
        <v>0</v>
      </c>
      <c r="I110" s="468"/>
      <c r="J110" s="468"/>
      <c r="K110" s="1680">
        <f>SUM(K105:K109)</f>
        <v>0</v>
      </c>
      <c r="L110" s="1680">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3">
        <f>H111</f>
        <v>0</v>
      </c>
      <c r="L111" s="532"/>
      <c r="M111" s="210"/>
      <c r="N111" s="210"/>
    </row>
    <row r="112" spans="1:14" s="588" customFormat="1" ht="12.75" customHeight="1" thickTop="1" thickBot="1" x14ac:dyDescent="0.25">
      <c r="A112" s="1678" t="s">
        <v>659</v>
      </c>
      <c r="B112" s="1679" t="s">
        <v>513</v>
      </c>
      <c r="C112" s="607"/>
      <c r="D112" s="607"/>
      <c r="E112" s="607"/>
      <c r="F112" s="607"/>
      <c r="G112" s="607"/>
      <c r="H112" s="1680">
        <f>SUM(H110:H111)</f>
        <v>0</v>
      </c>
      <c r="I112" s="468"/>
      <c r="J112" s="468"/>
      <c r="K112" s="1680">
        <f>SUM(K110:K111)</f>
        <v>0</v>
      </c>
      <c r="L112" s="1687">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v>100000</v>
      </c>
      <c r="M113" s="604"/>
      <c r="N113" s="604"/>
    </row>
    <row r="114" spans="1:14" ht="12.75" customHeight="1" thickTop="1" thickBot="1" x14ac:dyDescent="0.25">
      <c r="A114" s="1678" t="s">
        <v>50</v>
      </c>
      <c r="B114" s="1692"/>
      <c r="C114" s="1680">
        <f>SUM(C33,C74,C75,C102,C112,C113)</f>
        <v>4076421</v>
      </c>
      <c r="D114" s="1680">
        <f t="shared" ref="D114:K114" si="13">SUM(D33,D74,D75,D102,D112,D113)</f>
        <v>1026305</v>
      </c>
      <c r="E114" s="1680">
        <f t="shared" si="13"/>
        <v>866706</v>
      </c>
      <c r="F114" s="1680">
        <f t="shared" si="13"/>
        <v>411643</v>
      </c>
      <c r="G114" s="1680">
        <f t="shared" si="13"/>
        <v>144803</v>
      </c>
      <c r="H114" s="1680">
        <f>SUM(H33,H74,H75,H102,H112,H113)</f>
        <v>168841</v>
      </c>
      <c r="I114" s="1680">
        <f t="shared" si="13"/>
        <v>0</v>
      </c>
      <c r="J114" s="1680">
        <f t="shared" si="13"/>
        <v>0</v>
      </c>
      <c r="K114" s="1680">
        <f t="shared" si="13"/>
        <v>6694719</v>
      </c>
      <c r="L114" s="1680">
        <f>SUM(L33,L74,L75,L102,L112,L113)</f>
        <v>7797684</v>
      </c>
    </row>
    <row r="115" spans="1:14" ht="13.5" thickTop="1" x14ac:dyDescent="0.2">
      <c r="A115" s="2190" t="s">
        <v>1053</v>
      </c>
      <c r="B115" s="2191"/>
      <c r="C115" s="609"/>
      <c r="D115" s="609"/>
      <c r="E115" s="609"/>
      <c r="F115" s="609"/>
      <c r="G115" s="609"/>
      <c r="H115" s="609"/>
      <c r="I115" s="609"/>
      <c r="J115" s="609"/>
      <c r="K115" s="1694">
        <f>'Revenues 9-14'!C275-'Expenditures 15-22'!K114</f>
        <v>1458023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8" t="s">
        <v>314</v>
      </c>
      <c r="B117" s="2169"/>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1">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80">
        <f>SUM(C122:J122)</f>
        <v>0</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80">
        <f>SUM(C123:J123)</f>
        <v>0</v>
      </c>
      <c r="L123" s="466"/>
    </row>
    <row r="124" spans="1:14" ht="14.25" thickTop="1" thickBot="1" x14ac:dyDescent="0.25">
      <c r="A124" s="1514" t="s">
        <v>206</v>
      </c>
      <c r="B124" s="605">
        <v>2540</v>
      </c>
      <c r="C124" s="466">
        <v>289839</v>
      </c>
      <c r="D124" s="466">
        <v>105743</v>
      </c>
      <c r="E124" s="466">
        <v>287340</v>
      </c>
      <c r="F124" s="466">
        <v>140645</v>
      </c>
      <c r="G124" s="466">
        <v>36000</v>
      </c>
      <c r="H124" s="466">
        <v>500</v>
      </c>
      <c r="I124" s="466">
        <v>0</v>
      </c>
      <c r="J124" s="466">
        <v>0</v>
      </c>
      <c r="K124" s="1680">
        <f>SUM(C124:J124)</f>
        <v>860067</v>
      </c>
      <c r="L124" s="466">
        <v>949715</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80">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80">
        <f>SUM(C126:J126)</f>
        <v>0</v>
      </c>
      <c r="L126" s="466"/>
    </row>
    <row r="127" spans="1:14" ht="12.75" customHeight="1" thickTop="1" thickBot="1" x14ac:dyDescent="0.25">
      <c r="A127" s="1678" t="s">
        <v>743</v>
      </c>
      <c r="B127" s="1679" t="s">
        <v>35</v>
      </c>
      <c r="C127" s="1680">
        <f>SUM(C122:C126)</f>
        <v>289839</v>
      </c>
      <c r="D127" s="1680">
        <f t="shared" ref="D127:L127" si="14">SUM(D122:D126)</f>
        <v>105743</v>
      </c>
      <c r="E127" s="1680">
        <f t="shared" si="14"/>
        <v>287340</v>
      </c>
      <c r="F127" s="1680">
        <f t="shared" si="14"/>
        <v>140645</v>
      </c>
      <c r="G127" s="1680">
        <f t="shared" si="14"/>
        <v>36000</v>
      </c>
      <c r="H127" s="1680">
        <f t="shared" si="14"/>
        <v>500</v>
      </c>
      <c r="I127" s="1680">
        <f t="shared" si="14"/>
        <v>0</v>
      </c>
      <c r="J127" s="1680">
        <f t="shared" si="14"/>
        <v>0</v>
      </c>
      <c r="K127" s="1680">
        <f t="shared" si="14"/>
        <v>860067</v>
      </c>
      <c r="L127" s="1680">
        <f t="shared" si="14"/>
        <v>949715</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5">
        <f>SUM(C128:J128)</f>
        <v>0</v>
      </c>
      <c r="L128" s="646"/>
    </row>
    <row r="129" spans="1:14" ht="12.75" customHeight="1" thickBot="1" x14ac:dyDescent="0.25">
      <c r="A129" s="1696" t="s">
        <v>865</v>
      </c>
      <c r="B129" s="1697" t="s">
        <v>590</v>
      </c>
      <c r="C129" s="1687">
        <f>SUM(C120,C127,C128)</f>
        <v>289839</v>
      </c>
      <c r="D129" s="1687">
        <f t="shared" ref="D129:L129" si="15">SUM(D120,D127,D128)</f>
        <v>105743</v>
      </c>
      <c r="E129" s="1687">
        <f t="shared" si="15"/>
        <v>287340</v>
      </c>
      <c r="F129" s="1687">
        <f t="shared" si="15"/>
        <v>140645</v>
      </c>
      <c r="G129" s="1687">
        <f t="shared" si="15"/>
        <v>36000</v>
      </c>
      <c r="H129" s="1687">
        <f t="shared" si="15"/>
        <v>500</v>
      </c>
      <c r="I129" s="1687">
        <f t="shared" si="15"/>
        <v>0</v>
      </c>
      <c r="J129" s="1687">
        <f t="shared" si="15"/>
        <v>0</v>
      </c>
      <c r="K129" s="1687">
        <f t="shared" si="15"/>
        <v>860067</v>
      </c>
      <c r="L129" s="1687">
        <f t="shared" si="15"/>
        <v>949715</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80">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2" t="s">
        <v>1957</v>
      </c>
      <c r="C133" s="468"/>
      <c r="D133" s="468"/>
      <c r="E133" s="466">
        <v>0</v>
      </c>
      <c r="F133" s="468"/>
      <c r="G133" s="468"/>
      <c r="H133" s="466">
        <v>0</v>
      </c>
      <c r="I133" s="468"/>
      <c r="J133" s="468"/>
      <c r="K133" s="1832">
        <f>SUM(E133,H133)</f>
        <v>0</v>
      </c>
      <c r="L133" s="631"/>
      <c r="M133" s="206"/>
      <c r="N133" s="206"/>
    </row>
    <row r="134" spans="1:14" x14ac:dyDescent="0.2">
      <c r="A134" s="1514" t="s">
        <v>322</v>
      </c>
      <c r="B134" s="605">
        <v>4120</v>
      </c>
      <c r="C134" s="607"/>
      <c r="D134" s="607"/>
      <c r="E134" s="466">
        <v>0</v>
      </c>
      <c r="F134" s="607"/>
      <c r="G134" s="607"/>
      <c r="H134" s="466">
        <v>0</v>
      </c>
      <c r="I134" s="477"/>
      <c r="J134" s="607"/>
      <c r="K134" s="1682">
        <f>SUM(E134,H134)</f>
        <v>0</v>
      </c>
      <c r="L134" s="481"/>
    </row>
    <row r="135" spans="1:14" x14ac:dyDescent="0.2">
      <c r="A135" s="1514" t="s">
        <v>721</v>
      </c>
      <c r="B135" s="605">
        <v>4140</v>
      </c>
      <c r="C135" s="607"/>
      <c r="D135" s="607"/>
      <c r="E135" s="466">
        <v>0</v>
      </c>
      <c r="F135" s="607"/>
      <c r="G135" s="607"/>
      <c r="H135" s="466">
        <v>0</v>
      </c>
      <c r="I135" s="477"/>
      <c r="J135" s="607"/>
      <c r="K135" s="1682">
        <f>SUM(E135,H135)</f>
        <v>0</v>
      </c>
      <c r="L135" s="466"/>
    </row>
    <row r="136" spans="1:14" x14ac:dyDescent="0.2">
      <c r="A136" s="1518" t="s">
        <v>722</v>
      </c>
      <c r="B136" s="619">
        <v>4190</v>
      </c>
      <c r="C136" s="607"/>
      <c r="D136" s="607"/>
      <c r="E136" s="466">
        <v>0</v>
      </c>
      <c r="F136" s="607"/>
      <c r="G136" s="607"/>
      <c r="H136" s="466">
        <v>0</v>
      </c>
      <c r="I136" s="477"/>
      <c r="J136" s="607"/>
      <c r="K136" s="1682">
        <f>SUM(E136,H136)</f>
        <v>0</v>
      </c>
      <c r="L136" s="466"/>
    </row>
    <row r="137" spans="1:14" ht="12.75" customHeight="1" thickBot="1" x14ac:dyDescent="0.25">
      <c r="A137" s="1678" t="s">
        <v>501</v>
      </c>
      <c r="B137" s="1688">
        <v>4100</v>
      </c>
      <c r="C137" s="607"/>
      <c r="D137" s="607"/>
      <c r="E137" s="1680">
        <f>SUM(E133:E136)</f>
        <v>0</v>
      </c>
      <c r="F137" s="607"/>
      <c r="G137" s="607"/>
      <c r="H137" s="1680">
        <f>SUM(H133:H136)</f>
        <v>0</v>
      </c>
      <c r="I137" s="477"/>
      <c r="J137" s="607"/>
      <c r="K137" s="1680">
        <f>SUM(K133:K136)</f>
        <v>0</v>
      </c>
      <c r="L137" s="1680">
        <f>SUM(L133:L136)</f>
        <v>0</v>
      </c>
    </row>
    <row r="138" spans="1:14" ht="12.75" customHeight="1" thickTop="1" thickBot="1" x14ac:dyDescent="0.25">
      <c r="A138" s="1520" t="s">
        <v>98</v>
      </c>
      <c r="B138" s="633" t="s">
        <v>988</v>
      </c>
      <c r="C138" s="607"/>
      <c r="D138" s="607"/>
      <c r="E138" s="466">
        <v>0</v>
      </c>
      <c r="F138" s="607"/>
      <c r="G138" s="607"/>
      <c r="H138" s="466">
        <v>0</v>
      </c>
      <c r="I138" s="477"/>
      <c r="J138" s="607"/>
      <c r="K138" s="1682">
        <f>SUM(E138,H138)</f>
        <v>0</v>
      </c>
      <c r="L138" s="572"/>
    </row>
    <row r="139" spans="1:14" ht="12.75" customHeight="1" thickTop="1" thickBot="1" x14ac:dyDescent="0.25">
      <c r="A139" s="1678" t="s">
        <v>1567</v>
      </c>
      <c r="B139" s="1688">
        <v>4000</v>
      </c>
      <c r="C139" s="607"/>
      <c r="D139" s="607"/>
      <c r="E139" s="1680">
        <f>SUM(E137,E138)</f>
        <v>0</v>
      </c>
      <c r="F139" s="607"/>
      <c r="G139" s="607"/>
      <c r="H139" s="1689">
        <f>SUM(H137:H138)</f>
        <v>0</v>
      </c>
      <c r="I139" s="477"/>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2">
        <f>SUM(H142)</f>
        <v>0</v>
      </c>
      <c r="L142" s="481"/>
    </row>
    <row r="143" spans="1:14" x14ac:dyDescent="0.2">
      <c r="A143" s="1514" t="s">
        <v>90</v>
      </c>
      <c r="B143" s="605">
        <v>5120</v>
      </c>
      <c r="C143" s="607"/>
      <c r="D143" s="607"/>
      <c r="E143" s="607"/>
      <c r="F143" s="607"/>
      <c r="G143" s="607"/>
      <c r="H143" s="466">
        <v>0</v>
      </c>
      <c r="I143" s="468"/>
      <c r="J143" s="607"/>
      <c r="K143" s="1682">
        <f>SUM(H143)</f>
        <v>0</v>
      </c>
      <c r="L143" s="466"/>
    </row>
    <row r="144" spans="1:14" ht="12.75" customHeight="1" x14ac:dyDescent="0.2">
      <c r="A144" s="1514" t="s">
        <v>1232</v>
      </c>
      <c r="B144" s="619" t="s">
        <v>638</v>
      </c>
      <c r="C144" s="607"/>
      <c r="D144" s="607"/>
      <c r="E144" s="607"/>
      <c r="F144" s="607"/>
      <c r="G144" s="607"/>
      <c r="H144" s="466">
        <v>0</v>
      </c>
      <c r="I144" s="468"/>
      <c r="J144" s="607"/>
      <c r="K144" s="1682">
        <f>SUM(H144)</f>
        <v>0</v>
      </c>
      <c r="L144" s="466"/>
    </row>
    <row r="145" spans="1:14" x14ac:dyDescent="0.2">
      <c r="A145" s="1514" t="s">
        <v>91</v>
      </c>
      <c r="B145" s="605" t="s">
        <v>610</v>
      </c>
      <c r="C145" s="607"/>
      <c r="D145" s="607"/>
      <c r="E145" s="607"/>
      <c r="F145" s="607"/>
      <c r="G145" s="607"/>
      <c r="H145" s="466">
        <v>0</v>
      </c>
      <c r="I145" s="468"/>
      <c r="J145" s="607"/>
      <c r="K145" s="1682">
        <f>SUM(H145)</f>
        <v>0</v>
      </c>
      <c r="L145" s="466"/>
    </row>
    <row r="146" spans="1:14" ht="12.75" customHeight="1" x14ac:dyDescent="0.2">
      <c r="A146" s="1514" t="s">
        <v>640</v>
      </c>
      <c r="B146" s="605" t="s">
        <v>639</v>
      </c>
      <c r="C146" s="607"/>
      <c r="D146" s="607"/>
      <c r="E146" s="607"/>
      <c r="F146" s="607"/>
      <c r="G146" s="607"/>
      <c r="H146" s="466">
        <v>0</v>
      </c>
      <c r="I146" s="468"/>
      <c r="J146" s="607"/>
      <c r="K146" s="1682">
        <f>SUM(H146)</f>
        <v>0</v>
      </c>
      <c r="L146" s="466"/>
    </row>
    <row r="147" spans="1:14" ht="12.75" customHeight="1" thickBot="1" x14ac:dyDescent="0.25">
      <c r="A147" s="1525" t="s">
        <v>647</v>
      </c>
      <c r="B147" s="649" t="s">
        <v>742</v>
      </c>
      <c r="C147" s="607"/>
      <c r="D147" s="607"/>
      <c r="E147" s="607"/>
      <c r="F147" s="607"/>
      <c r="G147" s="607"/>
      <c r="H147" s="1698">
        <f>SUM(H142:H146)</f>
        <v>0</v>
      </c>
      <c r="I147" s="468"/>
      <c r="J147" s="607"/>
      <c r="K147" s="1680">
        <f>SUM(K142:K146)</f>
        <v>0</v>
      </c>
      <c r="L147" s="1698">
        <f>SUM(L142:L146)</f>
        <v>0</v>
      </c>
    </row>
    <row r="148" spans="1:14" ht="15.75" customHeight="1" thickTop="1" x14ac:dyDescent="0.2">
      <c r="A148" s="650" t="s">
        <v>1165</v>
      </c>
      <c r="B148" s="651" t="s">
        <v>38</v>
      </c>
      <c r="C148" s="607"/>
      <c r="D148" s="607"/>
      <c r="E148" s="607"/>
      <c r="F148" s="607"/>
      <c r="G148" s="607"/>
      <c r="H148" s="466">
        <v>0</v>
      </c>
      <c r="I148" s="468"/>
      <c r="J148" s="607"/>
      <c r="K148" s="1682">
        <f>SUM(H148)</f>
        <v>0</v>
      </c>
      <c r="L148" s="492"/>
    </row>
    <row r="149" spans="1:14" ht="12.75" customHeight="1" thickBot="1" x14ac:dyDescent="0.25">
      <c r="A149" s="1517" t="s">
        <v>659</v>
      </c>
      <c r="B149" s="608" t="s">
        <v>513</v>
      </c>
      <c r="C149" s="607"/>
      <c r="D149" s="607"/>
      <c r="E149" s="607"/>
      <c r="F149" s="607"/>
      <c r="G149" s="607"/>
      <c r="H149" s="1680">
        <f>SUM(H147,H148)</f>
        <v>0</v>
      </c>
      <c r="I149" s="468"/>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80" t="s">
        <v>641</v>
      </c>
      <c r="B151" s="2162"/>
      <c r="C151" s="1680">
        <f>SUM(C129,C130,C139,C149,C150)</f>
        <v>289839</v>
      </c>
      <c r="D151" s="1680">
        <f t="shared" ref="D151:K151" si="16">SUM(D129,D130,D139,D149,D150)</f>
        <v>105743</v>
      </c>
      <c r="E151" s="1680">
        <f t="shared" si="16"/>
        <v>287340</v>
      </c>
      <c r="F151" s="1680">
        <f t="shared" si="16"/>
        <v>140645</v>
      </c>
      <c r="G151" s="1680">
        <f t="shared" si="16"/>
        <v>36000</v>
      </c>
      <c r="H151" s="1680">
        <f t="shared" si="16"/>
        <v>500</v>
      </c>
      <c r="I151" s="1680">
        <f t="shared" si="16"/>
        <v>0</v>
      </c>
      <c r="J151" s="1680">
        <f t="shared" si="16"/>
        <v>0</v>
      </c>
      <c r="K151" s="1680">
        <f t="shared" si="16"/>
        <v>860067</v>
      </c>
      <c r="L151" s="1680">
        <f>SUM(L129,L130,L139,L149,L150)</f>
        <v>949715</v>
      </c>
    </row>
    <row r="152" spans="1:14" ht="12.75" customHeight="1" thickTop="1" x14ac:dyDescent="0.2">
      <c r="A152" s="2183" t="s">
        <v>1240</v>
      </c>
      <c r="B152" s="2184"/>
      <c r="C152" s="609"/>
      <c r="D152" s="609"/>
      <c r="E152" s="609"/>
      <c r="F152" s="609"/>
      <c r="G152" s="609"/>
      <c r="H152" s="609"/>
      <c r="I152" s="609"/>
      <c r="J152" s="607"/>
      <c r="K152" s="1694">
        <f>'Revenues 9-14'!D275-'Expenditures 15-22'!K151</f>
        <v>1413788</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8" t="s">
        <v>642</v>
      </c>
      <c r="B154" s="2170"/>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1958</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1957</v>
      </c>
      <c r="C157" s="607"/>
      <c r="D157" s="607"/>
      <c r="E157" s="607"/>
      <c r="F157" s="607"/>
      <c r="G157" s="607"/>
      <c r="H157" s="466">
        <v>0</v>
      </c>
      <c r="I157" s="607"/>
      <c r="J157" s="607"/>
      <c r="K157" s="1681">
        <f>H157</f>
        <v>0</v>
      </c>
      <c r="L157" s="467"/>
      <c r="M157" s="610"/>
      <c r="N157" s="610"/>
    </row>
    <row r="158" spans="1:14" s="611" customFormat="1" ht="12" x14ac:dyDescent="0.2">
      <c r="A158" s="1837" t="s">
        <v>322</v>
      </c>
      <c r="B158" s="1838" t="s">
        <v>1959</v>
      </c>
      <c r="C158" s="607"/>
      <c r="D158" s="607"/>
      <c r="E158" s="607"/>
      <c r="F158" s="607"/>
      <c r="G158" s="607"/>
      <c r="H158" s="466">
        <v>0</v>
      </c>
      <c r="I158" s="607"/>
      <c r="J158" s="607"/>
      <c r="K158" s="1681">
        <f>H158</f>
        <v>0</v>
      </c>
      <c r="L158" s="467"/>
      <c r="M158" s="610"/>
      <c r="N158" s="610"/>
    </row>
    <row r="159" spans="1:14" s="611" customFormat="1" ht="12" x14ac:dyDescent="0.2">
      <c r="A159" s="1837" t="s">
        <v>1960</v>
      </c>
      <c r="B159" s="1838" t="s">
        <v>579</v>
      </c>
      <c r="C159" s="607"/>
      <c r="D159" s="607"/>
      <c r="E159" s="607"/>
      <c r="F159" s="607"/>
      <c r="G159" s="607"/>
      <c r="H159" s="466">
        <v>0</v>
      </c>
      <c r="I159" s="607"/>
      <c r="J159" s="607"/>
      <c r="K159" s="1681">
        <f>H159</f>
        <v>0</v>
      </c>
      <c r="L159" s="467"/>
      <c r="M159" s="610"/>
      <c r="N159" s="610"/>
    </row>
    <row r="160" spans="1:14" s="611" customFormat="1" ht="15.75" customHeight="1" thickBot="1" x14ac:dyDescent="0.25">
      <c r="A160" s="1839" t="s">
        <v>1961</v>
      </c>
      <c r="B160" s="1840" t="s">
        <v>915</v>
      </c>
      <c r="C160" s="607"/>
      <c r="D160" s="607"/>
      <c r="E160" s="607"/>
      <c r="F160" s="607"/>
      <c r="G160" s="607"/>
      <c r="H160" s="1698">
        <f>SUM(H157:H159)</f>
        <v>0</v>
      </c>
      <c r="I160" s="607"/>
      <c r="J160" s="607"/>
      <c r="K160" s="1680">
        <f>SUM(K157:K159)</f>
        <v>0</v>
      </c>
      <c r="L160" s="1698">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1">
        <f>SUM(C163:J163)</f>
        <v>0</v>
      </c>
      <c r="L163" s="466"/>
    </row>
    <row r="164" spans="1:14" x14ac:dyDescent="0.2">
      <c r="A164" s="1514" t="s">
        <v>90</v>
      </c>
      <c r="B164" s="605">
        <v>5120</v>
      </c>
      <c r="C164" s="607"/>
      <c r="D164" s="607"/>
      <c r="E164" s="607"/>
      <c r="F164" s="607"/>
      <c r="G164" s="607"/>
      <c r="H164" s="466">
        <v>0</v>
      </c>
      <c r="I164" s="607"/>
      <c r="J164" s="607"/>
      <c r="K164" s="1681">
        <f>SUM(C164:J164)</f>
        <v>0</v>
      </c>
      <c r="L164" s="466"/>
    </row>
    <row r="165" spans="1:14" ht="12.75" customHeight="1" x14ac:dyDescent="0.2">
      <c r="A165" s="1514" t="s">
        <v>1232</v>
      </c>
      <c r="B165" s="605" t="s">
        <v>638</v>
      </c>
      <c r="C165" s="607"/>
      <c r="D165" s="607"/>
      <c r="E165" s="607"/>
      <c r="F165" s="607"/>
      <c r="G165" s="607"/>
      <c r="H165" s="466">
        <v>0</v>
      </c>
      <c r="I165" s="607"/>
      <c r="J165" s="607"/>
      <c r="K165" s="1681">
        <f>SUM(C165:J165)</f>
        <v>0</v>
      </c>
      <c r="L165" s="466"/>
    </row>
    <row r="166" spans="1:14" x14ac:dyDescent="0.2">
      <c r="A166" s="1514" t="s">
        <v>91</v>
      </c>
      <c r="B166" s="619" t="s">
        <v>610</v>
      </c>
      <c r="C166" s="607"/>
      <c r="D166" s="607"/>
      <c r="E166" s="607"/>
      <c r="F166" s="607"/>
      <c r="G166" s="607"/>
      <c r="H166" s="466">
        <v>0</v>
      </c>
      <c r="I166" s="607"/>
      <c r="J166" s="607"/>
      <c r="K166" s="1681">
        <f>SUM(C166:J166)</f>
        <v>0</v>
      </c>
      <c r="L166" s="466"/>
    </row>
    <row r="167" spans="1:14" ht="12.75" customHeight="1" x14ac:dyDescent="0.2">
      <c r="A167" s="1514" t="s">
        <v>640</v>
      </c>
      <c r="B167" s="605" t="s">
        <v>639</v>
      </c>
      <c r="C167" s="607"/>
      <c r="D167" s="607"/>
      <c r="E167" s="607"/>
      <c r="F167" s="607"/>
      <c r="G167" s="607"/>
      <c r="H167" s="466">
        <v>0</v>
      </c>
      <c r="I167" s="607"/>
      <c r="J167" s="607"/>
      <c r="K167" s="1681">
        <f>SUM(C167:J167)</f>
        <v>0</v>
      </c>
      <c r="L167" s="466"/>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466">
        <v>1678705</v>
      </c>
      <c r="I169" s="607"/>
      <c r="J169" s="607"/>
      <c r="K169" s="1681">
        <f>SUM(C169:H169)</f>
        <v>1678705</v>
      </c>
      <c r="L169" s="646">
        <v>1678866</v>
      </c>
    </row>
    <row r="170" spans="1:14" ht="33.75" customHeight="1" x14ac:dyDescent="0.2">
      <c r="A170" s="659" t="s">
        <v>1769</v>
      </c>
      <c r="B170" s="661" t="s">
        <v>31</v>
      </c>
      <c r="C170" s="607"/>
      <c r="D170" s="607"/>
      <c r="E170" s="607"/>
      <c r="F170" s="607"/>
      <c r="G170" s="607"/>
      <c r="H170" s="466">
        <v>670000</v>
      </c>
      <c r="I170" s="607"/>
      <c r="J170" s="607"/>
      <c r="K170" s="1681">
        <f>SUM(C170:J170)</f>
        <v>670000</v>
      </c>
      <c r="L170" s="566">
        <v>670000</v>
      </c>
    </row>
    <row r="171" spans="1:14" ht="15.75" customHeight="1" x14ac:dyDescent="0.2">
      <c r="A171" s="612" t="s">
        <v>790</v>
      </c>
      <c r="B171" s="662" t="s">
        <v>86</v>
      </c>
      <c r="C171" s="607"/>
      <c r="D171" s="607"/>
      <c r="E171" s="466">
        <v>0</v>
      </c>
      <c r="F171" s="607"/>
      <c r="G171" s="607"/>
      <c r="H171" s="466">
        <v>0</v>
      </c>
      <c r="I171" s="477"/>
      <c r="J171" s="607"/>
      <c r="K171" s="1681">
        <f>SUM(C171:J171)</f>
        <v>0</v>
      </c>
      <c r="L171" s="566"/>
    </row>
    <row r="172" spans="1:14" ht="12.75" customHeight="1" thickBot="1" x14ac:dyDescent="0.25">
      <c r="A172" s="1678" t="s">
        <v>659</v>
      </c>
      <c r="B172" s="1679" t="s">
        <v>513</v>
      </c>
      <c r="C172" s="607"/>
      <c r="D172" s="607"/>
      <c r="E172" s="1687">
        <f>SUM(E168,E169,E170,E171)</f>
        <v>0</v>
      </c>
      <c r="F172" s="607"/>
      <c r="G172" s="607"/>
      <c r="H172" s="1687">
        <f>SUM(H168,H169,H170,H171)</f>
        <v>2348705</v>
      </c>
      <c r="I172" s="628"/>
      <c r="J172" s="607"/>
      <c r="K172" s="1687">
        <f>SUM(K168,K169,K170,K171)</f>
        <v>2348705</v>
      </c>
      <c r="L172" s="1687">
        <f>SUM(L168,L169,L170,L171)</f>
        <v>2348866</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9" t="s">
        <v>92</v>
      </c>
      <c r="B174" s="1700"/>
      <c r="C174" s="607"/>
      <c r="D174" s="607"/>
      <c r="E174" s="1687">
        <f>SUM(E155,E172,E173)</f>
        <v>0</v>
      </c>
      <c r="F174" s="607"/>
      <c r="G174" s="607"/>
      <c r="H174" s="1687">
        <f>SUM(H160,H172,H173)</f>
        <v>2348705</v>
      </c>
      <c r="I174" s="628"/>
      <c r="J174" s="607"/>
      <c r="K174" s="1687">
        <f>SUM(K160,K172,K173)</f>
        <v>2348705</v>
      </c>
      <c r="L174" s="1687">
        <f>SUM(L160,L172,L173)</f>
        <v>2348866</v>
      </c>
    </row>
    <row r="175" spans="1:14" ht="13.5" thickTop="1" x14ac:dyDescent="0.2">
      <c r="A175" s="2190" t="s">
        <v>1053</v>
      </c>
      <c r="B175" s="2191"/>
      <c r="C175" s="607"/>
      <c r="D175" s="607"/>
      <c r="E175" s="607"/>
      <c r="F175" s="607"/>
      <c r="G175" s="607"/>
      <c r="H175" s="609"/>
      <c r="I175" s="607"/>
      <c r="J175" s="607"/>
      <c r="K175" s="1694">
        <f>'Revenues 9-14'!E275-'Expenditures 15-22'!K174</f>
        <v>-2286439</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3090</v>
      </c>
      <c r="F180" s="466">
        <v>2659</v>
      </c>
      <c r="G180" s="466">
        <v>0</v>
      </c>
      <c r="H180" s="466">
        <v>0</v>
      </c>
      <c r="I180" s="466">
        <v>0</v>
      </c>
      <c r="J180" s="466">
        <v>0</v>
      </c>
      <c r="K180" s="1681">
        <f>SUM(C180:J180)</f>
        <v>5749</v>
      </c>
      <c r="L180" s="466">
        <v>10600</v>
      </c>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529351</v>
      </c>
      <c r="D182" s="466">
        <v>10848</v>
      </c>
      <c r="E182" s="466">
        <v>77580</v>
      </c>
      <c r="F182" s="466">
        <v>48750</v>
      </c>
      <c r="G182" s="466">
        <v>0</v>
      </c>
      <c r="H182" s="466">
        <v>123235</v>
      </c>
      <c r="I182" s="466">
        <v>0</v>
      </c>
      <c r="J182" s="466">
        <v>0</v>
      </c>
      <c r="K182" s="1681">
        <f>SUM(C182:J182)</f>
        <v>789764</v>
      </c>
      <c r="L182" s="466">
        <v>921145</v>
      </c>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7">
        <f>SUM(C183:J183)</f>
        <v>0</v>
      </c>
      <c r="L183" s="570"/>
    </row>
    <row r="184" spans="1:14" ht="12.75" customHeight="1" thickTop="1" thickBot="1" x14ac:dyDescent="0.25">
      <c r="A184" s="1701" t="s">
        <v>865</v>
      </c>
      <c r="B184" s="1679" t="s">
        <v>590</v>
      </c>
      <c r="C184" s="1687">
        <f>SUM(C180,C182,C183)</f>
        <v>529351</v>
      </c>
      <c r="D184" s="1687">
        <f t="shared" ref="D184:J184" si="17">SUM(D180,D182,D183)</f>
        <v>10848</v>
      </c>
      <c r="E184" s="1687">
        <f t="shared" si="17"/>
        <v>80670</v>
      </c>
      <c r="F184" s="1687">
        <f t="shared" si="17"/>
        <v>51409</v>
      </c>
      <c r="G184" s="1687">
        <f t="shared" si="17"/>
        <v>0</v>
      </c>
      <c r="H184" s="1687">
        <f t="shared" si="17"/>
        <v>123235</v>
      </c>
      <c r="I184" s="1687">
        <f t="shared" si="17"/>
        <v>0</v>
      </c>
      <c r="J184" s="1687">
        <f t="shared" si="17"/>
        <v>0</v>
      </c>
      <c r="K184" s="1687">
        <f>SUM(K180,K182,K183)</f>
        <v>795513</v>
      </c>
      <c r="L184" s="1687">
        <f>SUM(L180, L182:L183)</f>
        <v>931745</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80">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0</v>
      </c>
      <c r="F188" s="607"/>
      <c r="G188" s="607"/>
      <c r="H188" s="466">
        <v>0</v>
      </c>
      <c r="I188" s="477"/>
      <c r="J188" s="607"/>
      <c r="K188" s="1681">
        <f t="shared" ref="K188:K193" si="18">SUM(E188,H188)</f>
        <v>0</v>
      </c>
      <c r="L188" s="466"/>
    </row>
    <row r="189" spans="1:14" x14ac:dyDescent="0.2">
      <c r="A189" s="1514" t="s">
        <v>322</v>
      </c>
      <c r="B189" s="605">
        <v>4120</v>
      </c>
      <c r="C189" s="607"/>
      <c r="D189" s="607"/>
      <c r="E189" s="466">
        <v>0</v>
      </c>
      <c r="F189" s="607"/>
      <c r="G189" s="607"/>
      <c r="H189" s="466">
        <v>0</v>
      </c>
      <c r="I189" s="477"/>
      <c r="J189" s="607"/>
      <c r="K189" s="1681">
        <f t="shared" si="18"/>
        <v>0</v>
      </c>
      <c r="L189" s="466"/>
    </row>
    <row r="190" spans="1:14" x14ac:dyDescent="0.2">
      <c r="A190" s="1514" t="s">
        <v>323</v>
      </c>
      <c r="B190" s="619">
        <v>4130</v>
      </c>
      <c r="C190" s="607"/>
      <c r="D190" s="607"/>
      <c r="E190" s="466">
        <v>0</v>
      </c>
      <c r="F190" s="607"/>
      <c r="G190" s="607"/>
      <c r="H190" s="466">
        <v>0</v>
      </c>
      <c r="I190" s="477"/>
      <c r="J190" s="607"/>
      <c r="K190" s="1681">
        <f t="shared" si="18"/>
        <v>0</v>
      </c>
      <c r="L190" s="466"/>
    </row>
    <row r="191" spans="1:14" x14ac:dyDescent="0.2">
      <c r="A191" s="1514" t="s">
        <v>721</v>
      </c>
      <c r="B191" s="605">
        <v>4140</v>
      </c>
      <c r="C191" s="607"/>
      <c r="D191" s="607"/>
      <c r="E191" s="466">
        <v>0</v>
      </c>
      <c r="F191" s="607"/>
      <c r="G191" s="607"/>
      <c r="H191" s="466">
        <v>0</v>
      </c>
      <c r="I191" s="477"/>
      <c r="J191" s="607"/>
      <c r="K191" s="1681">
        <f t="shared" si="18"/>
        <v>0</v>
      </c>
      <c r="L191" s="466"/>
    </row>
    <row r="192" spans="1:14" x14ac:dyDescent="0.2">
      <c r="A192" s="1514" t="s">
        <v>88</v>
      </c>
      <c r="B192" s="605">
        <v>4170</v>
      </c>
      <c r="C192" s="607"/>
      <c r="D192" s="607"/>
      <c r="E192" s="466">
        <v>0</v>
      </c>
      <c r="F192" s="607"/>
      <c r="G192" s="607"/>
      <c r="H192" s="466">
        <v>0</v>
      </c>
      <c r="I192" s="477"/>
      <c r="J192" s="607"/>
      <c r="K192" s="1681">
        <f t="shared" si="18"/>
        <v>0</v>
      </c>
      <c r="L192" s="466"/>
    </row>
    <row r="193" spans="1:14" x14ac:dyDescent="0.2">
      <c r="A193" s="1518" t="s">
        <v>722</v>
      </c>
      <c r="B193" s="619">
        <v>4190</v>
      </c>
      <c r="C193" s="607"/>
      <c r="D193" s="607"/>
      <c r="E193" s="466">
        <v>0</v>
      </c>
      <c r="F193" s="607"/>
      <c r="G193" s="607"/>
      <c r="H193" s="466">
        <v>0</v>
      </c>
      <c r="I193" s="477"/>
      <c r="J193" s="607"/>
      <c r="K193" s="1681">
        <f t="shared" si="18"/>
        <v>0</v>
      </c>
      <c r="L193" s="466"/>
    </row>
    <row r="194" spans="1:14" ht="12.75" customHeight="1" thickBot="1" x14ac:dyDescent="0.25">
      <c r="A194" s="1678" t="s">
        <v>1202</v>
      </c>
      <c r="B194" s="1679" t="s">
        <v>580</v>
      </c>
      <c r="C194" s="607"/>
      <c r="D194" s="607"/>
      <c r="E194" s="1680">
        <f>SUM(E188:E193)</f>
        <v>0</v>
      </c>
      <c r="F194" s="607"/>
      <c r="G194" s="607"/>
      <c r="H194" s="1680">
        <f>SUM(H188:H193)</f>
        <v>0</v>
      </c>
      <c r="I194" s="477"/>
      <c r="J194" s="607"/>
      <c r="K194" s="1680">
        <f>SUM(K188:K193)</f>
        <v>0</v>
      </c>
      <c r="L194" s="1680">
        <f>SUM(L188:L193)</f>
        <v>0</v>
      </c>
    </row>
    <row r="195" spans="1:14" ht="15.75" customHeight="1" thickTop="1" x14ac:dyDescent="0.2">
      <c r="A195" s="659" t="s">
        <v>94</v>
      </c>
      <c r="B195" s="668" t="s">
        <v>988</v>
      </c>
      <c r="C195" s="607"/>
      <c r="D195" s="607"/>
      <c r="E195" s="466">
        <v>0</v>
      </c>
      <c r="F195" s="607"/>
      <c r="G195" s="607"/>
      <c r="H195" s="466">
        <v>0</v>
      </c>
      <c r="I195" s="477"/>
      <c r="J195" s="607"/>
      <c r="K195" s="1695">
        <f>SUM(E195,H195)</f>
        <v>0</v>
      </c>
      <c r="L195" s="646"/>
    </row>
    <row r="196" spans="1:14" ht="12.75" customHeight="1" thickBot="1" x14ac:dyDescent="0.25">
      <c r="A196" s="1678" t="s">
        <v>1567</v>
      </c>
      <c r="B196" s="1679" t="s">
        <v>915</v>
      </c>
      <c r="C196" s="607"/>
      <c r="D196" s="607"/>
      <c r="E196" s="1687">
        <f>SUM(E194,E195)</f>
        <v>0</v>
      </c>
      <c r="F196" s="607"/>
      <c r="G196" s="607"/>
      <c r="H196" s="1687">
        <f>SUM(H194,H195)</f>
        <v>0</v>
      </c>
      <c r="I196" s="477"/>
      <c r="J196" s="607"/>
      <c r="K196" s="1687">
        <f>SUM(K194,K195)</f>
        <v>0</v>
      </c>
      <c r="L196" s="1687">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1">
        <f>SUM(H199)</f>
        <v>0</v>
      </c>
      <c r="L199" s="466"/>
    </row>
    <row r="200" spans="1:14" x14ac:dyDescent="0.2">
      <c r="A200" s="1514" t="s">
        <v>90</v>
      </c>
      <c r="B200" s="605">
        <v>5120</v>
      </c>
      <c r="C200" s="607"/>
      <c r="D200" s="607"/>
      <c r="E200" s="607"/>
      <c r="F200" s="607"/>
      <c r="G200" s="607"/>
      <c r="H200" s="466">
        <v>0</v>
      </c>
      <c r="I200" s="607"/>
      <c r="J200" s="607"/>
      <c r="K200" s="1681">
        <f>SUM(H200)</f>
        <v>0</v>
      </c>
      <c r="L200" s="466"/>
    </row>
    <row r="201" spans="1:14" ht="12.75" customHeight="1" x14ac:dyDescent="0.2">
      <c r="A201" s="1514" t="s">
        <v>1232</v>
      </c>
      <c r="B201" s="619" t="s">
        <v>638</v>
      </c>
      <c r="C201" s="607"/>
      <c r="D201" s="607"/>
      <c r="E201" s="607"/>
      <c r="F201" s="607"/>
      <c r="G201" s="607"/>
      <c r="H201" s="466">
        <v>0</v>
      </c>
      <c r="I201" s="607"/>
      <c r="J201" s="607"/>
      <c r="K201" s="1681">
        <f>SUM(H201)</f>
        <v>0</v>
      </c>
      <c r="L201" s="466"/>
    </row>
    <row r="202" spans="1:14" x14ac:dyDescent="0.2">
      <c r="A202" s="1514" t="s">
        <v>91</v>
      </c>
      <c r="B202" s="605" t="s">
        <v>610</v>
      </c>
      <c r="C202" s="607"/>
      <c r="D202" s="607"/>
      <c r="E202" s="607"/>
      <c r="F202" s="607"/>
      <c r="G202" s="607"/>
      <c r="H202" s="466">
        <v>0</v>
      </c>
      <c r="I202" s="607"/>
      <c r="J202" s="607"/>
      <c r="K202" s="1681">
        <f>SUM(H202)</f>
        <v>0</v>
      </c>
      <c r="L202" s="466"/>
    </row>
    <row r="203" spans="1:14" x14ac:dyDescent="0.2">
      <c r="A203" s="1526" t="s">
        <v>640</v>
      </c>
      <c r="B203" s="605" t="s">
        <v>639</v>
      </c>
      <c r="C203" s="607"/>
      <c r="D203" s="607"/>
      <c r="E203" s="607"/>
      <c r="F203" s="607"/>
      <c r="G203" s="607"/>
      <c r="H203" s="466">
        <v>0</v>
      </c>
      <c r="I203" s="607"/>
      <c r="J203" s="607"/>
      <c r="K203" s="1681">
        <f>SUM(H203)</f>
        <v>0</v>
      </c>
      <c r="L203" s="471"/>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466">
        <v>0</v>
      </c>
      <c r="I205" s="607"/>
      <c r="J205" s="607"/>
      <c r="K205" s="1695">
        <f>SUM(H205)</f>
        <v>0</v>
      </c>
      <c r="L205" s="535"/>
    </row>
    <row r="206" spans="1:14" ht="30" customHeight="1" x14ac:dyDescent="0.2">
      <c r="A206" s="671" t="s">
        <v>1770</v>
      </c>
      <c r="B206" s="662" t="s">
        <v>31</v>
      </c>
      <c r="C206" s="607"/>
      <c r="D206" s="607"/>
      <c r="E206" s="607"/>
      <c r="F206" s="607"/>
      <c r="G206" s="607"/>
      <c r="H206" s="466">
        <v>0</v>
      </c>
      <c r="I206" s="607"/>
      <c r="J206" s="607"/>
      <c r="K206" s="1681">
        <f>SUM(H206)</f>
        <v>0</v>
      </c>
      <c r="L206" s="466"/>
    </row>
    <row r="207" spans="1:14" ht="15.75" customHeight="1" x14ac:dyDescent="0.2">
      <c r="A207" s="612" t="s">
        <v>790</v>
      </c>
      <c r="B207" s="662" t="s">
        <v>86</v>
      </c>
      <c r="C207" s="607"/>
      <c r="D207" s="607"/>
      <c r="E207" s="607"/>
      <c r="F207" s="607"/>
      <c r="G207" s="607"/>
      <c r="H207" s="466">
        <v>0</v>
      </c>
      <c r="I207" s="607"/>
      <c r="J207" s="607"/>
      <c r="K207" s="1681">
        <f>H207</f>
        <v>0</v>
      </c>
      <c r="L207" s="466"/>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2" t="s">
        <v>295</v>
      </c>
      <c r="B210" s="1703"/>
      <c r="C210" s="1680">
        <f>SUM(C184,C185)</f>
        <v>529351</v>
      </c>
      <c r="D210" s="1680">
        <f>SUM(D184,D185)</f>
        <v>10848</v>
      </c>
      <c r="E210" s="1680">
        <f>SUM(E184,E185,E196)</f>
        <v>80670</v>
      </c>
      <c r="F210" s="1680">
        <f>SUM(F184,F185)</f>
        <v>51409</v>
      </c>
      <c r="G210" s="1680">
        <f>SUM(G184,G185)</f>
        <v>0</v>
      </c>
      <c r="H210" s="1680">
        <f>SUM(H184,H185,H196,H208,H209)</f>
        <v>123235</v>
      </c>
      <c r="I210" s="1680">
        <f>SUM(I184,I185)</f>
        <v>0</v>
      </c>
      <c r="J210" s="1680">
        <f>SUM(J184,J185)</f>
        <v>0</v>
      </c>
      <c r="K210" s="1681">
        <f>SUM(K184,K185,K196,K208,K209)</f>
        <v>795513</v>
      </c>
      <c r="L210" s="1680">
        <f>SUM(L184,L185,L196,L208,L209)</f>
        <v>931745</v>
      </c>
    </row>
    <row r="211" spans="1:14" ht="13.5" thickTop="1" x14ac:dyDescent="0.2">
      <c r="A211" s="2190" t="s">
        <v>1053</v>
      </c>
      <c r="B211" s="2191"/>
      <c r="C211" s="609"/>
      <c r="D211" s="609"/>
      <c r="E211" s="609"/>
      <c r="F211" s="609"/>
      <c r="G211" s="609"/>
      <c r="H211" s="609"/>
      <c r="I211" s="607"/>
      <c r="J211" s="607"/>
      <c r="K211" s="1694">
        <f>'Revenues 9-14'!F275-'Expenditures 15-22'!K210</f>
        <v>-123594</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5" t="s">
        <v>1022</v>
      </c>
      <c r="B213" s="2186"/>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47244</v>
      </c>
      <c r="E215" s="607"/>
      <c r="F215" s="607"/>
      <c r="G215" s="607"/>
      <c r="H215" s="607"/>
      <c r="I215" s="607"/>
      <c r="J215" s="607"/>
      <c r="K215" s="1681">
        <f>D215</f>
        <v>47244</v>
      </c>
      <c r="L215" s="466">
        <v>52000</v>
      </c>
    </row>
    <row r="216" spans="1:14" x14ac:dyDescent="0.2">
      <c r="A216" s="1514" t="s">
        <v>165</v>
      </c>
      <c r="B216" s="605" t="s">
        <v>1024</v>
      </c>
      <c r="C216" s="607"/>
      <c r="D216" s="466">
        <v>0</v>
      </c>
      <c r="E216" s="607"/>
      <c r="F216" s="607"/>
      <c r="G216" s="607"/>
      <c r="H216" s="607"/>
      <c r="I216" s="607"/>
      <c r="J216" s="607"/>
      <c r="K216" s="1681">
        <f t="shared" ref="K216:K228" si="19">D216</f>
        <v>0</v>
      </c>
      <c r="L216" s="466"/>
    </row>
    <row r="217" spans="1:14" x14ac:dyDescent="0.2">
      <c r="A217" s="1514" t="s">
        <v>166</v>
      </c>
      <c r="B217" s="605">
        <v>1200</v>
      </c>
      <c r="C217" s="607"/>
      <c r="D217" s="466">
        <v>13170</v>
      </c>
      <c r="E217" s="607"/>
      <c r="F217" s="607"/>
      <c r="G217" s="607"/>
      <c r="H217" s="607"/>
      <c r="I217" s="607"/>
      <c r="J217" s="607"/>
      <c r="K217" s="1681">
        <f t="shared" si="19"/>
        <v>13170</v>
      </c>
      <c r="L217" s="466">
        <v>13500</v>
      </c>
    </row>
    <row r="218" spans="1:14" x14ac:dyDescent="0.2">
      <c r="A218" s="1514" t="s">
        <v>296</v>
      </c>
      <c r="B218" s="605" t="s">
        <v>1025</v>
      </c>
      <c r="C218" s="607"/>
      <c r="D218" s="466">
        <v>0</v>
      </c>
      <c r="E218" s="607"/>
      <c r="F218" s="607"/>
      <c r="G218" s="607"/>
      <c r="H218" s="607"/>
      <c r="I218" s="607"/>
      <c r="J218" s="607"/>
      <c r="K218" s="1681">
        <f t="shared" si="19"/>
        <v>0</v>
      </c>
      <c r="L218" s="466"/>
    </row>
    <row r="219" spans="1:14" x14ac:dyDescent="0.2">
      <c r="A219" s="1514" t="s">
        <v>297</v>
      </c>
      <c r="B219" s="605">
        <v>1250</v>
      </c>
      <c r="C219" s="607"/>
      <c r="D219" s="466">
        <v>1560</v>
      </c>
      <c r="E219" s="607"/>
      <c r="F219" s="607"/>
      <c r="G219" s="607"/>
      <c r="H219" s="607"/>
      <c r="I219" s="607"/>
      <c r="J219" s="607"/>
      <c r="K219" s="1681">
        <f t="shared" si="19"/>
        <v>1560</v>
      </c>
      <c r="L219" s="466">
        <v>17025</v>
      </c>
    </row>
    <row r="220" spans="1:14" x14ac:dyDescent="0.2">
      <c r="A220" s="1514" t="s">
        <v>298</v>
      </c>
      <c r="B220" s="605" t="s">
        <v>163</v>
      </c>
      <c r="C220" s="607"/>
      <c r="D220" s="466">
        <v>0</v>
      </c>
      <c r="E220" s="607"/>
      <c r="F220" s="607"/>
      <c r="G220" s="607"/>
      <c r="H220" s="607"/>
      <c r="I220" s="607"/>
      <c r="J220" s="607"/>
      <c r="K220" s="1681">
        <f t="shared" si="19"/>
        <v>0</v>
      </c>
      <c r="L220" s="466"/>
    </row>
    <row r="221" spans="1:14" x14ac:dyDescent="0.2">
      <c r="A221" s="1514" t="s">
        <v>1019</v>
      </c>
      <c r="B221" s="605">
        <v>1300</v>
      </c>
      <c r="C221" s="607"/>
      <c r="D221" s="466">
        <v>0</v>
      </c>
      <c r="E221" s="607"/>
      <c r="F221" s="607"/>
      <c r="G221" s="607"/>
      <c r="H221" s="607"/>
      <c r="I221" s="607"/>
      <c r="J221" s="607"/>
      <c r="K221" s="1681">
        <f t="shared" si="19"/>
        <v>0</v>
      </c>
      <c r="L221" s="466"/>
    </row>
    <row r="222" spans="1:14" x14ac:dyDescent="0.2">
      <c r="A222" s="1514" t="s">
        <v>747</v>
      </c>
      <c r="B222" s="605">
        <v>1400</v>
      </c>
      <c r="C222" s="607"/>
      <c r="D222" s="466">
        <v>0</v>
      </c>
      <c r="E222" s="607"/>
      <c r="F222" s="607"/>
      <c r="G222" s="607"/>
      <c r="H222" s="607"/>
      <c r="I222" s="607"/>
      <c r="J222" s="607"/>
      <c r="K222" s="1681">
        <f t="shared" si="19"/>
        <v>0</v>
      </c>
      <c r="L222" s="466"/>
    </row>
    <row r="223" spans="1:14" x14ac:dyDescent="0.2">
      <c r="A223" s="1514" t="s">
        <v>1020</v>
      </c>
      <c r="B223" s="605">
        <v>1500</v>
      </c>
      <c r="C223" s="607"/>
      <c r="D223" s="466">
        <v>4874</v>
      </c>
      <c r="E223" s="607"/>
      <c r="F223" s="607"/>
      <c r="G223" s="607"/>
      <c r="H223" s="607"/>
      <c r="I223" s="607"/>
      <c r="J223" s="607"/>
      <c r="K223" s="1681">
        <f t="shared" si="19"/>
        <v>4874</v>
      </c>
      <c r="L223" s="466">
        <v>5900</v>
      </c>
    </row>
    <row r="224" spans="1:14" x14ac:dyDescent="0.2">
      <c r="A224" s="1514" t="s">
        <v>1021</v>
      </c>
      <c r="B224" s="605">
        <v>1600</v>
      </c>
      <c r="C224" s="607"/>
      <c r="D224" s="466">
        <v>0</v>
      </c>
      <c r="E224" s="607"/>
      <c r="F224" s="607"/>
      <c r="G224" s="607"/>
      <c r="H224" s="607"/>
      <c r="I224" s="607"/>
      <c r="J224" s="607"/>
      <c r="K224" s="1681">
        <f t="shared" si="19"/>
        <v>0</v>
      </c>
      <c r="L224" s="466">
        <v>2500</v>
      </c>
    </row>
    <row r="225" spans="1:12" x14ac:dyDescent="0.2">
      <c r="A225" s="1514" t="s">
        <v>1044</v>
      </c>
      <c r="B225" s="605">
        <v>1650</v>
      </c>
      <c r="C225" s="607"/>
      <c r="D225" s="466">
        <v>0</v>
      </c>
      <c r="E225" s="607"/>
      <c r="F225" s="607"/>
      <c r="G225" s="607"/>
      <c r="H225" s="607"/>
      <c r="I225" s="607"/>
      <c r="J225" s="607"/>
      <c r="K225" s="1681">
        <f t="shared" si="19"/>
        <v>0</v>
      </c>
      <c r="L225" s="466"/>
    </row>
    <row r="226" spans="1:12" x14ac:dyDescent="0.2">
      <c r="A226" s="1514" t="s">
        <v>748</v>
      </c>
      <c r="B226" s="605" t="s">
        <v>164</v>
      </c>
      <c r="C226" s="607"/>
      <c r="D226" s="466">
        <v>0</v>
      </c>
      <c r="E226" s="607"/>
      <c r="F226" s="607"/>
      <c r="G226" s="607"/>
      <c r="H226" s="607"/>
      <c r="I226" s="607"/>
      <c r="J226" s="607"/>
      <c r="K226" s="1681">
        <f t="shared" si="19"/>
        <v>0</v>
      </c>
      <c r="L226" s="466"/>
    </row>
    <row r="227" spans="1:12" x14ac:dyDescent="0.2">
      <c r="A227" s="1514" t="s">
        <v>1148</v>
      </c>
      <c r="B227" s="605">
        <v>1800</v>
      </c>
      <c r="C227" s="607"/>
      <c r="D227" s="466">
        <v>3203</v>
      </c>
      <c r="E227" s="607"/>
      <c r="F227" s="607"/>
      <c r="G227" s="607"/>
      <c r="H227" s="607"/>
      <c r="I227" s="607"/>
      <c r="J227" s="607"/>
      <c r="K227" s="1681">
        <f t="shared" si="19"/>
        <v>3203</v>
      </c>
      <c r="L227" s="466">
        <v>4550</v>
      </c>
    </row>
    <row r="228" spans="1:12" x14ac:dyDescent="0.2">
      <c r="A228" s="1514" t="s">
        <v>1149</v>
      </c>
      <c r="B228" s="605">
        <v>1900</v>
      </c>
      <c r="C228" s="607"/>
      <c r="D228" s="466">
        <v>15782</v>
      </c>
      <c r="E228" s="607"/>
      <c r="F228" s="607"/>
      <c r="G228" s="607"/>
      <c r="H228" s="607"/>
      <c r="I228" s="607"/>
      <c r="J228" s="607"/>
      <c r="K228" s="1681">
        <f t="shared" si="19"/>
        <v>15782</v>
      </c>
      <c r="L228" s="466">
        <v>16800</v>
      </c>
    </row>
    <row r="229" spans="1:12" ht="12.75" customHeight="1" thickBot="1" x14ac:dyDescent="0.25">
      <c r="A229" s="1678" t="s">
        <v>739</v>
      </c>
      <c r="B229" s="1685" t="s">
        <v>591</v>
      </c>
      <c r="C229" s="607"/>
      <c r="D229" s="1680">
        <f>SUM(D215:D228)</f>
        <v>85833</v>
      </c>
      <c r="E229" s="607"/>
      <c r="F229" s="607"/>
      <c r="G229" s="607"/>
      <c r="H229" s="607"/>
      <c r="I229" s="607"/>
      <c r="J229" s="607"/>
      <c r="K229" s="1680">
        <f>SUM(K215:K228)</f>
        <v>85833</v>
      </c>
      <c r="L229" s="1680">
        <f>SUM(L215:L228)</f>
        <v>112275</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849</v>
      </c>
      <c r="E232" s="607"/>
      <c r="F232" s="607"/>
      <c r="G232" s="607"/>
      <c r="H232" s="607"/>
      <c r="I232" s="607"/>
      <c r="J232" s="607"/>
      <c r="K232" s="1681">
        <f t="shared" ref="K232:K237" si="20">D232</f>
        <v>849</v>
      </c>
      <c r="L232" s="466">
        <v>900</v>
      </c>
    </row>
    <row r="233" spans="1:12" x14ac:dyDescent="0.2">
      <c r="A233" s="1514" t="s">
        <v>1151</v>
      </c>
      <c r="B233" s="605">
        <v>2120</v>
      </c>
      <c r="C233" s="607"/>
      <c r="D233" s="466">
        <v>0</v>
      </c>
      <c r="E233" s="607"/>
      <c r="F233" s="607"/>
      <c r="G233" s="607"/>
      <c r="H233" s="607"/>
      <c r="I233" s="607"/>
      <c r="J233" s="607"/>
      <c r="K233" s="1681">
        <f t="shared" si="20"/>
        <v>0</v>
      </c>
      <c r="L233" s="466"/>
    </row>
    <row r="234" spans="1:12" x14ac:dyDescent="0.2">
      <c r="A234" s="1514" t="s">
        <v>207</v>
      </c>
      <c r="B234" s="605">
        <v>2130</v>
      </c>
      <c r="C234" s="607"/>
      <c r="D234" s="466">
        <v>9438</v>
      </c>
      <c r="E234" s="607"/>
      <c r="F234" s="607"/>
      <c r="G234" s="607"/>
      <c r="H234" s="607"/>
      <c r="I234" s="607"/>
      <c r="J234" s="607"/>
      <c r="K234" s="1681">
        <f t="shared" si="20"/>
        <v>9438</v>
      </c>
      <c r="L234" s="466">
        <v>11000</v>
      </c>
    </row>
    <row r="235" spans="1:12" x14ac:dyDescent="0.2">
      <c r="A235" s="1514" t="s">
        <v>208</v>
      </c>
      <c r="B235" s="605">
        <v>2140</v>
      </c>
      <c r="C235" s="607"/>
      <c r="D235" s="466">
        <v>0</v>
      </c>
      <c r="E235" s="607"/>
      <c r="F235" s="607"/>
      <c r="G235" s="607"/>
      <c r="H235" s="607"/>
      <c r="I235" s="607"/>
      <c r="J235" s="607"/>
      <c r="K235" s="1681">
        <f t="shared" si="20"/>
        <v>0</v>
      </c>
      <c r="L235" s="466"/>
    </row>
    <row r="236" spans="1:12" x14ac:dyDescent="0.2">
      <c r="A236" s="1514" t="s">
        <v>209</v>
      </c>
      <c r="B236" s="605">
        <v>2150</v>
      </c>
      <c r="C236" s="607"/>
      <c r="D236" s="466">
        <v>0</v>
      </c>
      <c r="E236" s="607"/>
      <c r="F236" s="607"/>
      <c r="G236" s="607"/>
      <c r="H236" s="607"/>
      <c r="I236" s="607"/>
      <c r="J236" s="607"/>
      <c r="K236" s="1681">
        <f t="shared" si="20"/>
        <v>0</v>
      </c>
      <c r="L236" s="466"/>
    </row>
    <row r="237" spans="1:12" x14ac:dyDescent="0.2">
      <c r="A237" s="1514" t="s">
        <v>167</v>
      </c>
      <c r="B237" s="605">
        <v>2190</v>
      </c>
      <c r="C237" s="607"/>
      <c r="D237" s="466">
        <v>0</v>
      </c>
      <c r="E237" s="607"/>
      <c r="F237" s="607"/>
      <c r="G237" s="607"/>
      <c r="H237" s="607"/>
      <c r="I237" s="607"/>
      <c r="J237" s="607"/>
      <c r="K237" s="1681">
        <f t="shared" si="20"/>
        <v>0</v>
      </c>
      <c r="L237" s="466"/>
    </row>
    <row r="238" spans="1:12" ht="12.75" customHeight="1" thickBot="1" x14ac:dyDescent="0.25">
      <c r="A238" s="1678" t="s">
        <v>581</v>
      </c>
      <c r="B238" s="1685" t="s">
        <v>740</v>
      </c>
      <c r="C238" s="607"/>
      <c r="D238" s="1680">
        <f>SUM(D232:D237)</f>
        <v>10287</v>
      </c>
      <c r="E238" s="607"/>
      <c r="F238" s="607"/>
      <c r="G238" s="607"/>
      <c r="H238" s="607"/>
      <c r="I238" s="607"/>
      <c r="J238" s="607"/>
      <c r="K238" s="1680">
        <f>SUM(K232:K237)</f>
        <v>10287</v>
      </c>
      <c r="L238" s="1680">
        <f>SUM(L232:L237)</f>
        <v>11900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0</v>
      </c>
      <c r="E240" s="607"/>
      <c r="F240" s="607"/>
      <c r="G240" s="607"/>
      <c r="H240" s="607"/>
      <c r="I240" s="607"/>
      <c r="J240" s="607"/>
      <c r="K240" s="1682">
        <f>D240</f>
        <v>0</v>
      </c>
      <c r="L240" s="481">
        <v>200</v>
      </c>
    </row>
    <row r="241" spans="1:12" x14ac:dyDescent="0.2">
      <c r="A241" s="1514" t="s">
        <v>869</v>
      </c>
      <c r="B241" s="605">
        <v>2220</v>
      </c>
      <c r="C241" s="607"/>
      <c r="D241" s="466">
        <v>4893</v>
      </c>
      <c r="E241" s="607"/>
      <c r="F241" s="607"/>
      <c r="G241" s="607"/>
      <c r="H241" s="607"/>
      <c r="I241" s="607"/>
      <c r="J241" s="607"/>
      <c r="K241" s="1682">
        <f>D241</f>
        <v>4893</v>
      </c>
      <c r="L241" s="466">
        <v>5700</v>
      </c>
    </row>
    <row r="242" spans="1:12" x14ac:dyDescent="0.2">
      <c r="A242" s="1514" t="s">
        <v>870</v>
      </c>
      <c r="B242" s="605">
        <v>2230</v>
      </c>
      <c r="C242" s="607"/>
      <c r="D242" s="466">
        <v>0</v>
      </c>
      <c r="E242" s="607"/>
      <c r="F242" s="607"/>
      <c r="G242" s="607"/>
      <c r="H242" s="607"/>
      <c r="I242" s="607"/>
      <c r="J242" s="607"/>
      <c r="K242" s="1682">
        <f>D242</f>
        <v>0</v>
      </c>
      <c r="L242" s="466"/>
    </row>
    <row r="243" spans="1:12" ht="12.75" customHeight="1" thickBot="1" x14ac:dyDescent="0.25">
      <c r="A243" s="1704" t="s">
        <v>582</v>
      </c>
      <c r="B243" s="1705">
        <v>2200</v>
      </c>
      <c r="C243" s="607"/>
      <c r="D243" s="1680">
        <f>SUM(D240:D242)</f>
        <v>4893</v>
      </c>
      <c r="E243" s="607"/>
      <c r="F243" s="607"/>
      <c r="G243" s="607"/>
      <c r="H243" s="607"/>
      <c r="I243" s="607"/>
      <c r="J243" s="607"/>
      <c r="K243" s="1680">
        <f>SUM(K240:K242)</f>
        <v>4893</v>
      </c>
      <c r="L243" s="1680">
        <f>SUM(L240:L242)</f>
        <v>5900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1391</v>
      </c>
      <c r="E245" s="607"/>
      <c r="F245" s="607"/>
      <c r="G245" s="607"/>
      <c r="H245" s="607"/>
      <c r="I245" s="607"/>
      <c r="J245" s="607"/>
      <c r="K245" s="1682">
        <f>D245</f>
        <v>1391</v>
      </c>
      <c r="L245" s="481">
        <v>1700</v>
      </c>
    </row>
    <row r="246" spans="1:12" x14ac:dyDescent="0.2">
      <c r="A246" s="1514" t="s">
        <v>872</v>
      </c>
      <c r="B246" s="605">
        <v>2320</v>
      </c>
      <c r="C246" s="607"/>
      <c r="D246" s="466">
        <v>2595</v>
      </c>
      <c r="E246" s="607"/>
      <c r="F246" s="607"/>
      <c r="G246" s="607"/>
      <c r="H246" s="607"/>
      <c r="I246" s="607"/>
      <c r="J246" s="607"/>
      <c r="K246" s="1682">
        <f t="shared" ref="K246:K256" si="21">D246</f>
        <v>2595</v>
      </c>
      <c r="L246" s="466">
        <v>3000</v>
      </c>
    </row>
    <row r="247" spans="1:12" x14ac:dyDescent="0.2">
      <c r="A247" s="1514" t="s">
        <v>873</v>
      </c>
      <c r="B247" s="605">
        <v>2330</v>
      </c>
      <c r="C247" s="607"/>
      <c r="D247" s="466">
        <v>0</v>
      </c>
      <c r="E247" s="607"/>
      <c r="F247" s="607"/>
      <c r="G247" s="607"/>
      <c r="H247" s="607"/>
      <c r="I247" s="607"/>
      <c r="J247" s="607"/>
      <c r="K247" s="1682">
        <f t="shared" si="21"/>
        <v>0</v>
      </c>
      <c r="L247" s="466"/>
    </row>
    <row r="248" spans="1:12" x14ac:dyDescent="0.2">
      <c r="A248" s="1515" t="s">
        <v>317</v>
      </c>
      <c r="B248" s="593" t="s">
        <v>299</v>
      </c>
      <c r="C248" s="607"/>
      <c r="D248" s="466">
        <v>0</v>
      </c>
      <c r="E248" s="607"/>
      <c r="F248" s="607"/>
      <c r="G248" s="607"/>
      <c r="H248" s="607"/>
      <c r="I248" s="607"/>
      <c r="J248" s="607"/>
      <c r="K248" s="1682">
        <f t="shared" si="21"/>
        <v>0</v>
      </c>
      <c r="L248" s="466"/>
    </row>
    <row r="249" spans="1:12" x14ac:dyDescent="0.2">
      <c r="A249" s="1516" t="s">
        <v>1908</v>
      </c>
      <c r="B249" s="673" t="s">
        <v>300</v>
      </c>
      <c r="C249" s="607"/>
      <c r="D249" s="466">
        <v>0</v>
      </c>
      <c r="E249" s="607"/>
      <c r="F249" s="607"/>
      <c r="G249" s="607"/>
      <c r="H249" s="607"/>
      <c r="I249" s="607"/>
      <c r="J249" s="607"/>
      <c r="K249" s="1682">
        <f t="shared" si="21"/>
        <v>0</v>
      </c>
      <c r="L249" s="466"/>
    </row>
    <row r="250" spans="1:12" x14ac:dyDescent="0.2">
      <c r="A250" s="1515" t="s">
        <v>1909</v>
      </c>
      <c r="B250" s="593" t="s">
        <v>301</v>
      </c>
      <c r="C250" s="607"/>
      <c r="D250" s="466">
        <v>0</v>
      </c>
      <c r="E250" s="607"/>
      <c r="F250" s="607"/>
      <c r="G250" s="607"/>
      <c r="H250" s="607"/>
      <c r="I250" s="607"/>
      <c r="J250" s="607"/>
      <c r="K250" s="1682">
        <f t="shared" si="21"/>
        <v>0</v>
      </c>
      <c r="L250" s="466"/>
    </row>
    <row r="251" spans="1:12" x14ac:dyDescent="0.2">
      <c r="A251" s="1515" t="s">
        <v>256</v>
      </c>
      <c r="B251" s="593" t="s">
        <v>302</v>
      </c>
      <c r="C251" s="607"/>
      <c r="D251" s="466">
        <v>0</v>
      </c>
      <c r="E251" s="607"/>
      <c r="F251" s="607"/>
      <c r="G251" s="607"/>
      <c r="H251" s="607"/>
      <c r="I251" s="607"/>
      <c r="J251" s="607"/>
      <c r="K251" s="1682">
        <f t="shared" si="21"/>
        <v>0</v>
      </c>
      <c r="L251" s="466"/>
    </row>
    <row r="252" spans="1:12" x14ac:dyDescent="0.2">
      <c r="A252" s="1515" t="s">
        <v>726</v>
      </c>
      <c r="B252" s="593" t="s">
        <v>303</v>
      </c>
      <c r="C252" s="607"/>
      <c r="D252" s="466">
        <v>0</v>
      </c>
      <c r="E252" s="607"/>
      <c r="F252" s="607"/>
      <c r="G252" s="607"/>
      <c r="H252" s="607"/>
      <c r="I252" s="607"/>
      <c r="J252" s="607"/>
      <c r="K252" s="1682">
        <f t="shared" si="21"/>
        <v>0</v>
      </c>
      <c r="L252" s="466"/>
    </row>
    <row r="253" spans="1:12" x14ac:dyDescent="0.2">
      <c r="A253" s="1515" t="s">
        <v>257</v>
      </c>
      <c r="B253" s="593" t="s">
        <v>304</v>
      </c>
      <c r="C253" s="607"/>
      <c r="D253" s="466">
        <v>0</v>
      </c>
      <c r="E253" s="607"/>
      <c r="F253" s="607"/>
      <c r="G253" s="607"/>
      <c r="H253" s="607"/>
      <c r="I253" s="607"/>
      <c r="J253" s="607"/>
      <c r="K253" s="1682">
        <f t="shared" si="21"/>
        <v>0</v>
      </c>
      <c r="L253" s="466"/>
    </row>
    <row r="254" spans="1:12" ht="22.5" x14ac:dyDescent="0.2">
      <c r="A254" s="1515" t="s">
        <v>1087</v>
      </c>
      <c r="B254" s="673" t="s">
        <v>305</v>
      </c>
      <c r="C254" s="607"/>
      <c r="D254" s="466">
        <v>0</v>
      </c>
      <c r="E254" s="607"/>
      <c r="F254" s="607"/>
      <c r="G254" s="607"/>
      <c r="H254" s="607"/>
      <c r="I254" s="607"/>
      <c r="J254" s="607"/>
      <c r="K254" s="1682">
        <f t="shared" si="21"/>
        <v>0</v>
      </c>
      <c r="L254" s="466"/>
    </row>
    <row r="255" spans="1:12" x14ac:dyDescent="0.2">
      <c r="A255" s="1515" t="s">
        <v>1088</v>
      </c>
      <c r="B255" s="593" t="s">
        <v>306</v>
      </c>
      <c r="C255" s="607"/>
      <c r="D255" s="466">
        <v>0</v>
      </c>
      <c r="E255" s="607"/>
      <c r="F255" s="607"/>
      <c r="G255" s="607"/>
      <c r="H255" s="607"/>
      <c r="I255" s="607"/>
      <c r="J255" s="607"/>
      <c r="K255" s="1682">
        <f t="shared" si="21"/>
        <v>0</v>
      </c>
      <c r="L255" s="466"/>
    </row>
    <row r="256" spans="1:12" x14ac:dyDescent="0.2">
      <c r="A256" s="1515" t="s">
        <v>1028</v>
      </c>
      <c r="B256" s="605" t="s">
        <v>307</v>
      </c>
      <c r="C256" s="607"/>
      <c r="D256" s="466">
        <v>0</v>
      </c>
      <c r="E256" s="607"/>
      <c r="F256" s="607"/>
      <c r="G256" s="607"/>
      <c r="H256" s="607"/>
      <c r="I256" s="607"/>
      <c r="J256" s="607"/>
      <c r="K256" s="1682">
        <f t="shared" si="21"/>
        <v>0</v>
      </c>
      <c r="L256" s="466"/>
    </row>
    <row r="257" spans="1:14" ht="12.75" customHeight="1" thickBot="1" x14ac:dyDescent="0.25">
      <c r="A257" s="1678" t="s">
        <v>741</v>
      </c>
      <c r="B257" s="1706">
        <v>2300</v>
      </c>
      <c r="C257" s="607"/>
      <c r="D257" s="1680">
        <f>SUM(D245:D256)</f>
        <v>3986</v>
      </c>
      <c r="E257" s="607"/>
      <c r="F257" s="607"/>
      <c r="G257" s="607"/>
      <c r="H257" s="607"/>
      <c r="I257" s="607"/>
      <c r="J257" s="607"/>
      <c r="K257" s="1680">
        <f>SUM(K245:K256)</f>
        <v>3986</v>
      </c>
      <c r="L257" s="1680">
        <f>SUM(L245:L256)</f>
        <v>4700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18823</v>
      </c>
      <c r="E259" s="607"/>
      <c r="F259" s="607"/>
      <c r="G259" s="607"/>
      <c r="H259" s="607"/>
      <c r="I259" s="607"/>
      <c r="J259" s="607"/>
      <c r="K259" s="1682">
        <f>D259</f>
        <v>18823</v>
      </c>
      <c r="L259" s="481">
        <v>20800</v>
      </c>
    </row>
    <row r="260" spans="1:14" s="588" customFormat="1" x14ac:dyDescent="0.2">
      <c r="A260" s="1532" t="s">
        <v>1907</v>
      </c>
      <c r="B260" s="619">
        <v>2490</v>
      </c>
      <c r="C260" s="607"/>
      <c r="D260" s="466">
        <v>0</v>
      </c>
      <c r="E260" s="607"/>
      <c r="F260" s="607"/>
      <c r="G260" s="607"/>
      <c r="H260" s="607"/>
      <c r="I260" s="607"/>
      <c r="J260" s="607"/>
      <c r="K260" s="1682">
        <f>D260</f>
        <v>0</v>
      </c>
      <c r="L260" s="466"/>
      <c r="M260" s="210"/>
      <c r="N260" s="210"/>
    </row>
    <row r="261" spans="1:14" ht="12.75" customHeight="1" thickBot="1" x14ac:dyDescent="0.25">
      <c r="A261" s="1702" t="s">
        <v>281</v>
      </c>
      <c r="B261" s="1707" t="s">
        <v>34</v>
      </c>
      <c r="C261" s="607"/>
      <c r="D261" s="1680">
        <f>SUM(D259:D260)</f>
        <v>18823</v>
      </c>
      <c r="E261" s="607"/>
      <c r="F261" s="607"/>
      <c r="G261" s="607"/>
      <c r="H261" s="607"/>
      <c r="I261" s="607"/>
      <c r="J261" s="607"/>
      <c r="K261" s="1680">
        <f>SUM(K259:K260)</f>
        <v>18823</v>
      </c>
      <c r="L261" s="1680">
        <f>SUM(L259:L260)</f>
        <v>20800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0</v>
      </c>
      <c r="E263" s="607"/>
      <c r="F263" s="607"/>
      <c r="G263" s="607"/>
      <c r="H263" s="607"/>
      <c r="I263" s="607"/>
      <c r="J263" s="607"/>
      <c r="K263" s="1682">
        <f>D263</f>
        <v>0</v>
      </c>
      <c r="L263" s="481"/>
    </row>
    <row r="264" spans="1:14" x14ac:dyDescent="0.2">
      <c r="A264" s="1514" t="s">
        <v>483</v>
      </c>
      <c r="B264" s="675">
        <v>2520</v>
      </c>
      <c r="C264" s="607"/>
      <c r="D264" s="466">
        <v>11585</v>
      </c>
      <c r="E264" s="607"/>
      <c r="F264" s="607"/>
      <c r="G264" s="607"/>
      <c r="H264" s="607"/>
      <c r="I264" s="607"/>
      <c r="J264" s="607"/>
      <c r="K264" s="1682">
        <f t="shared" ref="K264:K269" si="22">D264</f>
        <v>11585</v>
      </c>
      <c r="L264" s="466">
        <v>12500</v>
      </c>
    </row>
    <row r="265" spans="1:14" x14ac:dyDescent="0.2">
      <c r="A265" s="1514" t="s">
        <v>4</v>
      </c>
      <c r="B265" s="605">
        <v>2530</v>
      </c>
      <c r="C265" s="607"/>
      <c r="D265" s="466">
        <v>0</v>
      </c>
      <c r="E265" s="607"/>
      <c r="F265" s="607"/>
      <c r="G265" s="607"/>
      <c r="H265" s="607"/>
      <c r="I265" s="607"/>
      <c r="J265" s="607"/>
      <c r="K265" s="1682">
        <f t="shared" si="22"/>
        <v>0</v>
      </c>
      <c r="L265" s="466"/>
    </row>
    <row r="266" spans="1:14" x14ac:dyDescent="0.2">
      <c r="A266" s="1514" t="s">
        <v>206</v>
      </c>
      <c r="B266" s="605">
        <v>2540</v>
      </c>
      <c r="C266" s="607"/>
      <c r="D266" s="466">
        <v>42110</v>
      </c>
      <c r="E266" s="607"/>
      <c r="F266" s="607"/>
      <c r="G266" s="607"/>
      <c r="H266" s="607"/>
      <c r="I266" s="607"/>
      <c r="J266" s="607"/>
      <c r="K266" s="1682">
        <f t="shared" si="22"/>
        <v>42110</v>
      </c>
      <c r="L266" s="466">
        <v>50300</v>
      </c>
    </row>
    <row r="267" spans="1:14" x14ac:dyDescent="0.2">
      <c r="A267" s="1514" t="s">
        <v>1010</v>
      </c>
      <c r="B267" s="605">
        <v>2550</v>
      </c>
      <c r="C267" s="607"/>
      <c r="D267" s="466">
        <v>77122</v>
      </c>
      <c r="E267" s="607"/>
      <c r="F267" s="607"/>
      <c r="G267" s="607"/>
      <c r="H267" s="607"/>
      <c r="I267" s="607"/>
      <c r="J267" s="607"/>
      <c r="K267" s="1682">
        <f t="shared" si="22"/>
        <v>77122</v>
      </c>
      <c r="L267" s="466">
        <v>83500</v>
      </c>
    </row>
    <row r="268" spans="1:14" x14ac:dyDescent="0.2">
      <c r="A268" s="1514" t="s">
        <v>102</v>
      </c>
      <c r="B268" s="605">
        <v>2560</v>
      </c>
      <c r="C268" s="607"/>
      <c r="D268" s="466">
        <v>30825</v>
      </c>
      <c r="E268" s="607"/>
      <c r="F268" s="607"/>
      <c r="G268" s="607"/>
      <c r="H268" s="607"/>
      <c r="I268" s="607"/>
      <c r="J268" s="607"/>
      <c r="K268" s="1682">
        <f t="shared" si="22"/>
        <v>30825</v>
      </c>
      <c r="L268" s="466">
        <v>20472</v>
      </c>
    </row>
    <row r="269" spans="1:14" x14ac:dyDescent="0.2">
      <c r="A269" s="1514" t="s">
        <v>103</v>
      </c>
      <c r="B269" s="605">
        <v>2570</v>
      </c>
      <c r="C269" s="607"/>
      <c r="D269" s="466">
        <v>0</v>
      </c>
      <c r="E269" s="607"/>
      <c r="F269" s="607"/>
      <c r="G269" s="607"/>
      <c r="H269" s="607"/>
      <c r="I269" s="607"/>
      <c r="J269" s="607"/>
      <c r="K269" s="1682">
        <f t="shared" si="22"/>
        <v>0</v>
      </c>
      <c r="L269" s="466"/>
    </row>
    <row r="270" spans="1:14" ht="12.75" customHeight="1" thickBot="1" x14ac:dyDescent="0.25">
      <c r="A270" s="1678" t="s">
        <v>743</v>
      </c>
      <c r="B270" s="1685" t="s">
        <v>35</v>
      </c>
      <c r="C270" s="607"/>
      <c r="D270" s="1680">
        <f>SUM(D263:D269)</f>
        <v>161642</v>
      </c>
      <c r="E270" s="607"/>
      <c r="F270" s="607"/>
      <c r="G270" s="607"/>
      <c r="H270" s="607"/>
      <c r="I270" s="607"/>
      <c r="J270" s="607"/>
      <c r="K270" s="1680">
        <f>SUM(K263:K269)</f>
        <v>161642</v>
      </c>
      <c r="L270" s="1680">
        <f>SUM(L263:L269)</f>
        <v>166772</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2">
        <f>D272</f>
        <v>0</v>
      </c>
      <c r="L272" s="481"/>
    </row>
    <row r="273" spans="1:12" x14ac:dyDescent="0.2">
      <c r="A273" s="1514" t="s">
        <v>628</v>
      </c>
      <c r="B273" s="619">
        <v>2620</v>
      </c>
      <c r="C273" s="607"/>
      <c r="D273" s="466">
        <v>0</v>
      </c>
      <c r="E273" s="607"/>
      <c r="F273" s="607"/>
      <c r="G273" s="607"/>
      <c r="H273" s="607"/>
      <c r="I273" s="607"/>
      <c r="J273" s="607"/>
      <c r="K273" s="1682">
        <f>D273</f>
        <v>0</v>
      </c>
      <c r="L273" s="466"/>
    </row>
    <row r="274" spans="1:12" ht="12" customHeight="1" x14ac:dyDescent="0.2">
      <c r="A274" s="1514" t="s">
        <v>1121</v>
      </c>
      <c r="B274" s="605">
        <v>2630</v>
      </c>
      <c r="C274" s="607"/>
      <c r="D274" s="466">
        <v>0</v>
      </c>
      <c r="E274" s="607"/>
      <c r="F274" s="607"/>
      <c r="G274" s="607"/>
      <c r="H274" s="607"/>
      <c r="I274" s="607"/>
      <c r="J274" s="607"/>
      <c r="K274" s="1682">
        <f>D274</f>
        <v>0</v>
      </c>
      <c r="L274" s="466">
        <v>13600</v>
      </c>
    </row>
    <row r="275" spans="1:12" x14ac:dyDescent="0.2">
      <c r="A275" s="1514" t="s">
        <v>423</v>
      </c>
      <c r="B275" s="605">
        <v>2640</v>
      </c>
      <c r="C275" s="607"/>
      <c r="D275" s="466">
        <v>0</v>
      </c>
      <c r="E275" s="607"/>
      <c r="F275" s="607"/>
      <c r="G275" s="607"/>
      <c r="H275" s="607"/>
      <c r="I275" s="607"/>
      <c r="J275" s="607"/>
      <c r="K275" s="1682">
        <f>D275</f>
        <v>0</v>
      </c>
      <c r="L275" s="466"/>
    </row>
    <row r="276" spans="1:12" x14ac:dyDescent="0.2">
      <c r="A276" s="1514" t="s">
        <v>424</v>
      </c>
      <c r="B276" s="605">
        <v>2660</v>
      </c>
      <c r="C276" s="607"/>
      <c r="D276" s="466">
        <v>0</v>
      </c>
      <c r="E276" s="607"/>
      <c r="F276" s="607"/>
      <c r="G276" s="607"/>
      <c r="H276" s="607"/>
      <c r="I276" s="607"/>
      <c r="J276" s="607"/>
      <c r="K276" s="1682">
        <f>D276</f>
        <v>0</v>
      </c>
      <c r="L276" s="466"/>
    </row>
    <row r="277" spans="1:12" ht="12.75" customHeight="1" thickBot="1" x14ac:dyDescent="0.25">
      <c r="A277" s="1701" t="s">
        <v>37</v>
      </c>
      <c r="B277" s="1679" t="s">
        <v>36</v>
      </c>
      <c r="C277" s="607"/>
      <c r="D277" s="1680">
        <f>SUM(D272:D276)</f>
        <v>0</v>
      </c>
      <c r="E277" s="607"/>
      <c r="F277" s="607"/>
      <c r="G277" s="607"/>
      <c r="H277" s="607"/>
      <c r="I277" s="607"/>
      <c r="J277" s="607"/>
      <c r="K277" s="1680">
        <f>SUM(K272:K276)</f>
        <v>0</v>
      </c>
      <c r="L277" s="1680">
        <f>SUM(L272:L276)</f>
        <v>13600</v>
      </c>
    </row>
    <row r="278" spans="1:12" ht="13.5" customHeight="1" thickTop="1" x14ac:dyDescent="0.2">
      <c r="A278" s="1520" t="s">
        <v>1037</v>
      </c>
      <c r="B278" s="645" t="s">
        <v>595</v>
      </c>
      <c r="C278" s="607"/>
      <c r="D278" s="466">
        <v>0</v>
      </c>
      <c r="E278" s="607"/>
      <c r="F278" s="607"/>
      <c r="G278" s="607"/>
      <c r="H278" s="607"/>
      <c r="I278" s="607"/>
      <c r="J278" s="607"/>
      <c r="K278" s="1695">
        <f>D278</f>
        <v>0</v>
      </c>
      <c r="L278" s="646"/>
    </row>
    <row r="279" spans="1:12" ht="12.75" customHeight="1" thickBot="1" x14ac:dyDescent="0.25">
      <c r="A279" s="1708" t="s">
        <v>865</v>
      </c>
      <c r="B279" s="1691">
        <v>2000</v>
      </c>
      <c r="C279" s="607"/>
      <c r="D279" s="1687">
        <f>SUM(D238,D243,D257,D261,D270,D277,D278)</f>
        <v>199631</v>
      </c>
      <c r="E279" s="607"/>
      <c r="F279" s="607"/>
      <c r="G279" s="607"/>
      <c r="H279" s="607"/>
      <c r="I279" s="607"/>
      <c r="J279" s="607"/>
      <c r="K279" s="1687">
        <f>SUM(K238,K243,K257,K261,K270,K277,K278)</f>
        <v>199631</v>
      </c>
      <c r="L279" s="1687">
        <f>SUM(L238,L243,L257,L261,L270,L277,L278)</f>
        <v>223672</v>
      </c>
    </row>
    <row r="280" spans="1:12" ht="15.75" customHeight="1" thickTop="1" thickBot="1" x14ac:dyDescent="0.25">
      <c r="A280" s="1634" t="s">
        <v>930</v>
      </c>
      <c r="B280" s="1623">
        <v>3000</v>
      </c>
      <c r="C280" s="607"/>
      <c r="D280" s="466">
        <v>0</v>
      </c>
      <c r="E280" s="607"/>
      <c r="F280" s="607"/>
      <c r="G280" s="607"/>
      <c r="H280" s="607"/>
      <c r="I280" s="607"/>
      <c r="J280" s="607"/>
      <c r="K280" s="1689">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1" t="s">
        <v>517</v>
      </c>
      <c r="B282" s="680" t="s">
        <v>1957</v>
      </c>
      <c r="C282" s="607"/>
      <c r="D282" s="466" t="s">
        <v>1231</v>
      </c>
      <c r="E282" s="607"/>
      <c r="F282" s="607"/>
      <c r="G282" s="607"/>
      <c r="H282" s="607"/>
      <c r="I282" s="607"/>
      <c r="J282" s="607"/>
      <c r="K282" s="1681" t="str">
        <f>D282</f>
        <v xml:space="preserve"> </v>
      </c>
      <c r="L282" s="467"/>
    </row>
    <row r="283" spans="1:12" x14ac:dyDescent="0.2">
      <c r="A283" s="1514" t="s">
        <v>322</v>
      </c>
      <c r="B283" s="605">
        <v>4120</v>
      </c>
      <c r="C283" s="607"/>
      <c r="D283" s="466">
        <v>0</v>
      </c>
      <c r="E283" s="607"/>
      <c r="F283" s="607"/>
      <c r="G283" s="607"/>
      <c r="H283" s="607"/>
      <c r="I283" s="607"/>
      <c r="J283" s="607"/>
      <c r="K283" s="1681">
        <f>D283</f>
        <v>0</v>
      </c>
      <c r="L283" s="466"/>
    </row>
    <row r="284" spans="1:12" x14ac:dyDescent="0.2">
      <c r="A284" s="1514" t="s">
        <v>721</v>
      </c>
      <c r="B284" s="605">
        <v>4140</v>
      </c>
      <c r="C284" s="607"/>
      <c r="D284" s="466">
        <v>0</v>
      </c>
      <c r="E284" s="607"/>
      <c r="F284" s="607"/>
      <c r="G284" s="607"/>
      <c r="H284" s="607"/>
      <c r="I284" s="607"/>
      <c r="J284" s="607"/>
      <c r="K284" s="1681">
        <f>D284</f>
        <v>0</v>
      </c>
      <c r="L284" s="466"/>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1">
        <f>H288</f>
        <v>0</v>
      </c>
      <c r="L288" s="466"/>
    </row>
    <row r="289" spans="1:14" x14ac:dyDescent="0.2">
      <c r="A289" s="1514" t="s">
        <v>90</v>
      </c>
      <c r="B289" s="605">
        <v>5120</v>
      </c>
      <c r="C289" s="607"/>
      <c r="D289" s="607"/>
      <c r="E289" s="607"/>
      <c r="F289" s="607"/>
      <c r="G289" s="607"/>
      <c r="H289" s="466">
        <v>0</v>
      </c>
      <c r="I289" s="607"/>
      <c r="J289" s="607"/>
      <c r="K289" s="1681">
        <f>H289</f>
        <v>0</v>
      </c>
      <c r="L289" s="466"/>
    </row>
    <row r="290" spans="1:14" ht="12.75" customHeight="1" x14ac:dyDescent="0.2">
      <c r="A290" s="1514" t="s">
        <v>1232</v>
      </c>
      <c r="B290" s="619" t="s">
        <v>638</v>
      </c>
      <c r="C290" s="607"/>
      <c r="D290" s="607"/>
      <c r="E290" s="607"/>
      <c r="F290" s="607"/>
      <c r="G290" s="607"/>
      <c r="H290" s="466">
        <v>0</v>
      </c>
      <c r="I290" s="607"/>
      <c r="J290" s="607"/>
      <c r="K290" s="1681">
        <f>H290</f>
        <v>0</v>
      </c>
      <c r="L290" s="466"/>
    </row>
    <row r="291" spans="1:14" x14ac:dyDescent="0.2">
      <c r="A291" s="1514" t="s">
        <v>91</v>
      </c>
      <c r="B291" s="605" t="s">
        <v>610</v>
      </c>
      <c r="C291" s="607"/>
      <c r="D291" s="607"/>
      <c r="E291" s="607"/>
      <c r="F291" s="607"/>
      <c r="G291" s="607"/>
      <c r="H291" s="466">
        <v>0</v>
      </c>
      <c r="I291" s="607"/>
      <c r="J291" s="607"/>
      <c r="K291" s="1681">
        <f>H291</f>
        <v>0</v>
      </c>
      <c r="L291" s="466"/>
    </row>
    <row r="292" spans="1:14" x14ac:dyDescent="0.2">
      <c r="A292" s="1514" t="s">
        <v>786</v>
      </c>
      <c r="B292" s="605" t="s">
        <v>639</v>
      </c>
      <c r="C292" s="607"/>
      <c r="D292" s="607"/>
      <c r="E292" s="607"/>
      <c r="F292" s="607"/>
      <c r="G292" s="607"/>
      <c r="H292" s="466">
        <v>0</v>
      </c>
      <c r="I292" s="607"/>
      <c r="J292" s="607"/>
      <c r="K292" s="1681">
        <f>H292</f>
        <v>0</v>
      </c>
      <c r="L292" s="466"/>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81" t="s">
        <v>526</v>
      </c>
      <c r="B295" s="2182"/>
      <c r="C295" s="607"/>
      <c r="D295" s="1680">
        <f>SUM(D229,D279,D280,D285)</f>
        <v>285464</v>
      </c>
      <c r="E295" s="607"/>
      <c r="F295" s="607"/>
      <c r="G295" s="607"/>
      <c r="H295" s="1680">
        <f>H293</f>
        <v>0</v>
      </c>
      <c r="I295" s="607"/>
      <c r="J295" s="607"/>
      <c r="K295" s="1680">
        <f>SUM(K229,K279,K280,K285,K293,K294)</f>
        <v>285464</v>
      </c>
      <c r="L295" s="1680">
        <f>SUM(L229,L279,L280,L285,L293,L294)</f>
        <v>335947</v>
      </c>
    </row>
    <row r="296" spans="1:14" ht="13.5" thickTop="1" x14ac:dyDescent="0.2">
      <c r="A296" s="2190" t="s">
        <v>1053</v>
      </c>
      <c r="B296" s="2191"/>
      <c r="C296" s="607"/>
      <c r="D296" s="609"/>
      <c r="E296" s="607"/>
      <c r="F296" s="607"/>
      <c r="G296" s="607"/>
      <c r="H296" s="677"/>
      <c r="I296" s="607"/>
      <c r="J296" s="607"/>
      <c r="K296" s="1694">
        <f>'Revenues 9-14'!G275-'Expenditures 15-22'!K295</f>
        <v>104357</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3" t="s">
        <v>145</v>
      </c>
      <c r="B298" s="2167"/>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25826337</v>
      </c>
      <c r="H301" s="466">
        <v>0</v>
      </c>
      <c r="I301" s="466">
        <v>0</v>
      </c>
      <c r="J301" s="466">
        <v>0</v>
      </c>
      <c r="K301" s="1681">
        <f>SUM(C301:J301)</f>
        <v>25826337</v>
      </c>
      <c r="L301" s="467">
        <v>31492580</v>
      </c>
    </row>
    <row r="302" spans="1:14" ht="13.5" customHeight="1" x14ac:dyDescent="0.2">
      <c r="A302" s="1527" t="s">
        <v>1037</v>
      </c>
      <c r="B302" s="605" t="s">
        <v>595</v>
      </c>
      <c r="C302" s="466">
        <v>0</v>
      </c>
      <c r="D302" s="466">
        <v>0</v>
      </c>
      <c r="E302" s="466">
        <v>0</v>
      </c>
      <c r="F302" s="466">
        <v>0</v>
      </c>
      <c r="G302" s="466">
        <v>0</v>
      </c>
      <c r="H302" s="466">
        <v>0</v>
      </c>
      <c r="I302" s="466">
        <v>0</v>
      </c>
      <c r="J302" s="466">
        <v>0</v>
      </c>
      <c r="K302" s="1681">
        <f>SUM(C302:J302)</f>
        <v>0</v>
      </c>
      <c r="L302" s="466"/>
    </row>
    <row r="303" spans="1:14" ht="12.75" customHeight="1" thickBot="1" x14ac:dyDescent="0.25">
      <c r="A303" s="1678" t="s">
        <v>865</v>
      </c>
      <c r="B303" s="1679" t="s">
        <v>590</v>
      </c>
      <c r="C303" s="1687">
        <f>SUM(C301:C302)</f>
        <v>0</v>
      </c>
      <c r="D303" s="1687">
        <f t="shared" ref="D303:L303" si="23">SUM(D301:D302)</f>
        <v>0</v>
      </c>
      <c r="E303" s="1687">
        <f t="shared" si="23"/>
        <v>0</v>
      </c>
      <c r="F303" s="1687">
        <f t="shared" si="23"/>
        <v>0</v>
      </c>
      <c r="G303" s="1687">
        <f t="shared" si="23"/>
        <v>25826337</v>
      </c>
      <c r="H303" s="1687">
        <f t="shared" si="23"/>
        <v>0</v>
      </c>
      <c r="I303" s="1687">
        <f t="shared" si="23"/>
        <v>0</v>
      </c>
      <c r="J303" s="1687">
        <f t="shared" si="23"/>
        <v>0</v>
      </c>
      <c r="K303" s="1687">
        <f t="shared" si="23"/>
        <v>25826337</v>
      </c>
      <c r="L303" s="1687">
        <f t="shared" si="23"/>
        <v>31492580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1">
        <f>SUM(E306,H306)</f>
        <v>0</v>
      </c>
      <c r="L306" s="467"/>
    </row>
    <row r="307" spans="1:14" x14ac:dyDescent="0.2">
      <c r="A307" s="1514" t="s">
        <v>322</v>
      </c>
      <c r="B307" s="605">
        <v>4120</v>
      </c>
      <c r="C307" s="607"/>
      <c r="D307" s="607"/>
      <c r="E307" s="466">
        <v>0</v>
      </c>
      <c r="F307" s="607"/>
      <c r="G307" s="607"/>
      <c r="H307" s="466">
        <v>0</v>
      </c>
      <c r="I307" s="477"/>
      <c r="J307" s="607"/>
      <c r="K307" s="1681">
        <f>SUM(E307,H307)</f>
        <v>0</v>
      </c>
      <c r="L307" s="466"/>
    </row>
    <row r="308" spans="1:14" x14ac:dyDescent="0.2">
      <c r="A308" s="1514" t="s">
        <v>721</v>
      </c>
      <c r="B308" s="605">
        <v>4140</v>
      </c>
      <c r="C308" s="607"/>
      <c r="D308" s="607"/>
      <c r="E308" s="466">
        <v>0</v>
      </c>
      <c r="F308" s="607"/>
      <c r="G308" s="607"/>
      <c r="H308" s="466">
        <v>0</v>
      </c>
      <c r="I308" s="477"/>
      <c r="J308" s="607"/>
      <c r="K308" s="1681">
        <f>SUM(E308,H308)</f>
        <v>0</v>
      </c>
      <c r="L308" s="466"/>
    </row>
    <row r="309" spans="1:14" ht="12.75" customHeight="1" x14ac:dyDescent="0.2">
      <c r="A309" s="1518" t="s">
        <v>722</v>
      </c>
      <c r="B309" s="619">
        <v>4190</v>
      </c>
      <c r="C309" s="607"/>
      <c r="D309" s="607"/>
      <c r="E309" s="466">
        <v>0</v>
      </c>
      <c r="F309" s="607"/>
      <c r="G309" s="607"/>
      <c r="H309" s="466">
        <v>0</v>
      </c>
      <c r="I309" s="477"/>
      <c r="J309" s="607"/>
      <c r="K309" s="1681">
        <f>SUM(E309,H309)</f>
        <v>0</v>
      </c>
      <c r="L309" s="466"/>
    </row>
    <row r="310" spans="1:14" ht="12.75" customHeight="1" thickBot="1" x14ac:dyDescent="0.25">
      <c r="A310" s="1678" t="s">
        <v>1567</v>
      </c>
      <c r="B310" s="1685" t="s">
        <v>915</v>
      </c>
      <c r="C310" s="607"/>
      <c r="D310" s="607"/>
      <c r="E310" s="1680">
        <f>SUM(E306:E309)</f>
        <v>0</v>
      </c>
      <c r="F310" s="607"/>
      <c r="G310" s="607"/>
      <c r="H310" s="1680">
        <f>SUM(H306:H309)</f>
        <v>0</v>
      </c>
      <c r="I310" s="477"/>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8" t="s">
        <v>295</v>
      </c>
      <c r="B312" s="2179"/>
      <c r="C312" s="1680">
        <f>SUM(C303)</f>
        <v>0</v>
      </c>
      <c r="D312" s="1680">
        <f>SUM(D303)</f>
        <v>0</v>
      </c>
      <c r="E312" s="1680">
        <f>SUM(E303,E310)</f>
        <v>0</v>
      </c>
      <c r="F312" s="1680">
        <f>SUM(F303)</f>
        <v>0</v>
      </c>
      <c r="G312" s="1680">
        <f>SUM(G303)</f>
        <v>25826337</v>
      </c>
      <c r="H312" s="1680">
        <f>SUM(H303,H310)</f>
        <v>0</v>
      </c>
      <c r="I312" s="1680">
        <f>SUM(I303)</f>
        <v>0</v>
      </c>
      <c r="J312" s="1680">
        <f>SUM(J303)</f>
        <v>0</v>
      </c>
      <c r="K312" s="1680">
        <f>SUM(K303,K310,K311)</f>
        <v>25826337</v>
      </c>
      <c r="L312" s="1680">
        <f>SUM(L303,L310,L311)</f>
        <v>31492580</v>
      </c>
      <c r="M312" s="655"/>
      <c r="N312" s="655"/>
    </row>
    <row r="313" spans="1:14" ht="13.5" thickTop="1" x14ac:dyDescent="0.2">
      <c r="A313" s="2174" t="s">
        <v>1053</v>
      </c>
      <c r="B313" s="2175"/>
      <c r="C313" s="617"/>
      <c r="D313" s="617"/>
      <c r="E313" s="617"/>
      <c r="F313" s="617"/>
      <c r="G313" s="617"/>
      <c r="H313" s="617"/>
      <c r="I313" s="617"/>
      <c r="J313" s="617"/>
      <c r="K313" s="1695">
        <f>'Revenues 9-14'!H275-'Expenditures 15-22'!K312</f>
        <v>-25583732</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7" t="s">
        <v>151</v>
      </c>
      <c r="B315" s="2188"/>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9" t="s">
        <v>954</v>
      </c>
      <c r="B317" s="2188"/>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1">
        <f>SUM(C319:J319)</f>
        <v>0</v>
      </c>
      <c r="L319" s="467"/>
      <c r="M319" s="655"/>
      <c r="N319" s="655"/>
    </row>
    <row r="320" spans="1:14" s="664" customFormat="1" x14ac:dyDescent="0.2">
      <c r="A320" s="1533" t="s">
        <v>1908</v>
      </c>
      <c r="B320" s="688" t="s">
        <v>300</v>
      </c>
      <c r="C320" s="466">
        <v>0</v>
      </c>
      <c r="D320" s="466">
        <v>0</v>
      </c>
      <c r="E320" s="466">
        <v>72317</v>
      </c>
      <c r="F320" s="466">
        <v>0</v>
      </c>
      <c r="G320" s="466">
        <v>0</v>
      </c>
      <c r="H320" s="466">
        <v>0</v>
      </c>
      <c r="I320" s="466">
        <v>0</v>
      </c>
      <c r="J320" s="466">
        <v>0</v>
      </c>
      <c r="K320" s="1681">
        <f t="shared" ref="K320:K327" si="24">SUM(C320:J320)</f>
        <v>72317</v>
      </c>
      <c r="L320" s="467">
        <v>70700</v>
      </c>
      <c r="M320" s="655"/>
      <c r="N320" s="655"/>
    </row>
    <row r="321" spans="1:14" s="664" customFormat="1" x14ac:dyDescent="0.2">
      <c r="A321" s="1529" t="s">
        <v>318</v>
      </c>
      <c r="B321" s="687" t="s">
        <v>301</v>
      </c>
      <c r="C321" s="466">
        <v>0</v>
      </c>
      <c r="D321" s="466">
        <v>25000</v>
      </c>
      <c r="E321" s="466">
        <v>0</v>
      </c>
      <c r="F321" s="466">
        <v>0</v>
      </c>
      <c r="G321" s="466">
        <v>0</v>
      </c>
      <c r="H321" s="466">
        <v>0</v>
      </c>
      <c r="I321" s="466">
        <v>0</v>
      </c>
      <c r="J321" s="466">
        <v>0</v>
      </c>
      <c r="K321" s="1681">
        <f t="shared" si="24"/>
        <v>25000</v>
      </c>
      <c r="L321" s="467">
        <v>35000</v>
      </c>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81">
        <f t="shared" si="24"/>
        <v>0</v>
      </c>
      <c r="L322" s="467"/>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81">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1">
        <f t="shared" si="24"/>
        <v>0</v>
      </c>
      <c r="L324" s="467"/>
      <c r="M324" s="655"/>
      <c r="N324" s="655"/>
    </row>
    <row r="325" spans="1:14" s="664" customFormat="1" ht="22.5" x14ac:dyDescent="0.2">
      <c r="A325" s="1529" t="s">
        <v>1087</v>
      </c>
      <c r="B325" s="688" t="s">
        <v>305</v>
      </c>
      <c r="C325" s="466">
        <v>0</v>
      </c>
      <c r="D325" s="466">
        <v>0</v>
      </c>
      <c r="E325" s="466">
        <v>0</v>
      </c>
      <c r="F325" s="466">
        <v>0</v>
      </c>
      <c r="G325" s="466">
        <v>0</v>
      </c>
      <c r="H325" s="466">
        <v>0</v>
      </c>
      <c r="I325" s="466">
        <v>0</v>
      </c>
      <c r="J325" s="466">
        <v>0</v>
      </c>
      <c r="K325" s="1681">
        <f t="shared" si="24"/>
        <v>0</v>
      </c>
      <c r="L325" s="467"/>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1">
        <f t="shared" si="24"/>
        <v>0</v>
      </c>
      <c r="L326" s="467"/>
      <c r="M326" s="655"/>
      <c r="N326" s="655"/>
    </row>
    <row r="327" spans="1:14" s="664" customFormat="1" x14ac:dyDescent="0.2">
      <c r="A327" s="1529" t="s">
        <v>1028</v>
      </c>
      <c r="B327" s="687" t="s">
        <v>307</v>
      </c>
      <c r="C327" s="466">
        <v>0</v>
      </c>
      <c r="D327" s="466">
        <v>0</v>
      </c>
      <c r="E327" s="466">
        <v>25425</v>
      </c>
      <c r="F327" s="466">
        <v>0</v>
      </c>
      <c r="G327" s="466">
        <v>0</v>
      </c>
      <c r="H327" s="466">
        <v>0</v>
      </c>
      <c r="I327" s="466">
        <v>0</v>
      </c>
      <c r="J327" s="466">
        <v>0</v>
      </c>
      <c r="K327" s="1681">
        <f t="shared" si="24"/>
        <v>25425</v>
      </c>
      <c r="L327" s="467">
        <v>100000</v>
      </c>
      <c r="M327" s="655"/>
      <c r="N327" s="655"/>
    </row>
    <row r="328" spans="1:14" s="664" customFormat="1" x14ac:dyDescent="0.2">
      <c r="A328" s="1530" t="s">
        <v>492</v>
      </c>
      <c r="B328" s="680" t="s">
        <v>1194</v>
      </c>
      <c r="C328" s="466">
        <v>0</v>
      </c>
      <c r="D328" s="466">
        <v>0</v>
      </c>
      <c r="E328" s="466">
        <v>0</v>
      </c>
      <c r="F328" s="466">
        <v>0</v>
      </c>
      <c r="G328" s="466">
        <v>0</v>
      </c>
      <c r="H328" s="466">
        <v>0</v>
      </c>
      <c r="I328" s="466">
        <v>0</v>
      </c>
      <c r="J328" s="466">
        <v>0</v>
      </c>
      <c r="K328" s="1709">
        <f>SUM(C328:J328)</f>
        <v>0</v>
      </c>
      <c r="L328" s="474"/>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9">
        <f>SUM(C329:J329)</f>
        <v>0</v>
      </c>
      <c r="L329" s="474"/>
      <c r="M329" s="655"/>
      <c r="N329" s="655"/>
    </row>
    <row r="330" spans="1:14" s="664" customFormat="1" ht="12.75" customHeight="1" thickBot="1" x14ac:dyDescent="0.25">
      <c r="A330" s="1710" t="s">
        <v>741</v>
      </c>
      <c r="B330" s="1679" t="s">
        <v>590</v>
      </c>
      <c r="C330" s="1680">
        <f>SUM(C319:C329)</f>
        <v>0</v>
      </c>
      <c r="D330" s="1680">
        <f t="shared" ref="D330:J330" si="25">SUM(D319:D329)</f>
        <v>25000</v>
      </c>
      <c r="E330" s="1680">
        <f t="shared" si="25"/>
        <v>97742</v>
      </c>
      <c r="F330" s="1680">
        <f t="shared" si="25"/>
        <v>0</v>
      </c>
      <c r="G330" s="1680">
        <f t="shared" si="25"/>
        <v>0</v>
      </c>
      <c r="H330" s="1680">
        <f t="shared" si="25"/>
        <v>0</v>
      </c>
      <c r="I330" s="1680">
        <f t="shared" si="25"/>
        <v>0</v>
      </c>
      <c r="J330" s="1680">
        <f t="shared" si="25"/>
        <v>0</v>
      </c>
      <c r="K330" s="1680">
        <f>SUM(K319:K329)</f>
        <v>122742</v>
      </c>
      <c r="L330" s="1680">
        <f>SUM(L319:L329)</f>
        <v>205700</v>
      </c>
      <c r="M330" s="655"/>
      <c r="N330" s="655"/>
    </row>
    <row r="331" spans="1:14" s="664" customFormat="1" ht="12.75" customHeight="1" thickTop="1" x14ac:dyDescent="0.2">
      <c r="A331" s="1842" t="s">
        <v>1963</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1957</v>
      </c>
      <c r="C332" s="1844"/>
      <c r="D332" s="1844"/>
      <c r="E332" s="1844"/>
      <c r="F332" s="1844"/>
      <c r="G332" s="1844"/>
      <c r="H332" s="466">
        <v>0</v>
      </c>
      <c r="I332" s="1844"/>
      <c r="J332" s="1844"/>
      <c r="K332" s="1681">
        <f>H332</f>
        <v>0</v>
      </c>
      <c r="L332" s="467"/>
      <c r="M332" s="655"/>
      <c r="N332" s="655"/>
    </row>
    <row r="333" spans="1:14" s="664" customFormat="1" ht="12.75" customHeight="1" x14ac:dyDescent="0.2">
      <c r="A333" s="1843" t="s">
        <v>322</v>
      </c>
      <c r="B333" s="1838" t="s">
        <v>1959</v>
      </c>
      <c r="C333" s="1844"/>
      <c r="D333" s="1844"/>
      <c r="E333" s="1844"/>
      <c r="F333" s="1844"/>
      <c r="G333" s="1844"/>
      <c r="H333" s="466">
        <v>0</v>
      </c>
      <c r="I333" s="1844"/>
      <c r="J333" s="1844"/>
      <c r="K333" s="1681">
        <f>H333</f>
        <v>0</v>
      </c>
      <c r="L333" s="467"/>
      <c r="M333" s="655"/>
      <c r="N333" s="655"/>
    </row>
    <row r="334" spans="1:14" s="664" customFormat="1" ht="12.75" customHeight="1" thickBot="1" x14ac:dyDescent="0.25">
      <c r="A334" s="1843" t="s">
        <v>1964</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1">
        <f>H337</f>
        <v>0</v>
      </c>
      <c r="L337" s="478"/>
    </row>
    <row r="338" spans="1:14" ht="12.75" customHeight="1" x14ac:dyDescent="0.2">
      <c r="A338" s="1528" t="s">
        <v>1232</v>
      </c>
      <c r="B338" s="680" t="s">
        <v>638</v>
      </c>
      <c r="C338" s="628"/>
      <c r="D338" s="628"/>
      <c r="E338" s="628"/>
      <c r="F338" s="628"/>
      <c r="G338" s="628"/>
      <c r="H338" s="466">
        <v>0</v>
      </c>
      <c r="I338" s="628"/>
      <c r="J338" s="628"/>
      <c r="K338" s="1681">
        <f>H338</f>
        <v>0</v>
      </c>
      <c r="L338" s="478"/>
    </row>
    <row r="339" spans="1:14" x14ac:dyDescent="0.2">
      <c r="A339" s="1514" t="s">
        <v>957</v>
      </c>
      <c r="B339" s="619">
        <v>5150</v>
      </c>
      <c r="C339" s="628"/>
      <c r="D339" s="628"/>
      <c r="E339" s="628"/>
      <c r="F339" s="628"/>
      <c r="G339" s="628"/>
      <c r="H339" s="466">
        <v>0</v>
      </c>
      <c r="I339" s="628"/>
      <c r="J339" s="628"/>
      <c r="K339" s="1681">
        <f>H339</f>
        <v>0</v>
      </c>
      <c r="L339" s="467"/>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6" t="s">
        <v>526</v>
      </c>
      <c r="B342" s="1711"/>
      <c r="C342" s="1680">
        <f>SUM(C330)</f>
        <v>0</v>
      </c>
      <c r="D342" s="1680">
        <f>SUM(D330)</f>
        <v>25000</v>
      </c>
      <c r="E342" s="1680">
        <f>SUM(E330)</f>
        <v>97742</v>
      </c>
      <c r="F342" s="1680">
        <f>SUM(F330)</f>
        <v>0</v>
      </c>
      <c r="G342" s="1680">
        <f>SUM(G330)</f>
        <v>0</v>
      </c>
      <c r="H342" s="1680">
        <f>SUM(H330,H334,H340)</f>
        <v>0</v>
      </c>
      <c r="I342" s="1680">
        <f>SUM(I330)</f>
        <v>0</v>
      </c>
      <c r="J342" s="1680">
        <f>SUM(J330)</f>
        <v>0</v>
      </c>
      <c r="K342" s="1680">
        <f>SUM(K330,K334,K340)</f>
        <v>122742</v>
      </c>
      <c r="L342" s="1687">
        <f>SUM(L330,L340,L341)</f>
        <v>205700</v>
      </c>
    </row>
    <row r="343" spans="1:14" ht="12.75" customHeight="1" thickTop="1" x14ac:dyDescent="0.2">
      <c r="A343" s="2176" t="s">
        <v>1053</v>
      </c>
      <c r="B343" s="2177"/>
      <c r="C343" s="607"/>
      <c r="D343" s="607"/>
      <c r="E343" s="607"/>
      <c r="F343" s="607"/>
      <c r="G343" s="607"/>
      <c r="H343" s="607"/>
      <c r="I343" s="607"/>
      <c r="J343" s="607"/>
      <c r="K343" s="1694">
        <f>'Revenues 9-14'!J275-'Expenditures 15-22'!K342</f>
        <v>34720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6" t="s">
        <v>1023</v>
      </c>
      <c r="B345" s="2167"/>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81">
        <f>SUM(C348:J348)</f>
        <v>0</v>
      </c>
      <c r="L348" s="466">
        <v>62690</v>
      </c>
    </row>
    <row r="349" spans="1:14" x14ac:dyDescent="0.2">
      <c r="A349" s="1514" t="s">
        <v>206</v>
      </c>
      <c r="B349" s="605">
        <v>2540</v>
      </c>
      <c r="C349" s="466">
        <v>0</v>
      </c>
      <c r="D349" s="466">
        <v>0</v>
      </c>
      <c r="E349" s="466">
        <v>77675</v>
      </c>
      <c r="F349" s="466">
        <v>28635</v>
      </c>
      <c r="G349" s="466">
        <v>0</v>
      </c>
      <c r="H349" s="466">
        <v>0</v>
      </c>
      <c r="I349" s="466">
        <v>0</v>
      </c>
      <c r="J349" s="466">
        <v>0</v>
      </c>
      <c r="K349" s="1681">
        <f>SUM(C349:J349)</f>
        <v>106310</v>
      </c>
      <c r="L349" s="466">
        <v>55000</v>
      </c>
    </row>
    <row r="350" spans="1:14" ht="12.75" customHeight="1" thickBot="1" x14ac:dyDescent="0.25">
      <c r="A350" s="1678" t="s">
        <v>743</v>
      </c>
      <c r="B350" s="1679" t="s">
        <v>35</v>
      </c>
      <c r="C350" s="1680">
        <f>SUM(C348:C349)</f>
        <v>0</v>
      </c>
      <c r="D350" s="1680">
        <f t="shared" ref="D350:L350" si="26">SUM(D348:D349)</f>
        <v>0</v>
      </c>
      <c r="E350" s="1680">
        <f t="shared" si="26"/>
        <v>77675</v>
      </c>
      <c r="F350" s="1680">
        <f t="shared" si="26"/>
        <v>28635</v>
      </c>
      <c r="G350" s="1680">
        <f t="shared" si="26"/>
        <v>0</v>
      </c>
      <c r="H350" s="1680">
        <f t="shared" si="26"/>
        <v>0</v>
      </c>
      <c r="I350" s="1680">
        <f t="shared" si="26"/>
        <v>0</v>
      </c>
      <c r="J350" s="1680">
        <f t="shared" si="26"/>
        <v>0</v>
      </c>
      <c r="K350" s="1680">
        <f t="shared" si="26"/>
        <v>106310</v>
      </c>
      <c r="L350" s="1680">
        <f t="shared" si="26"/>
        <v>117690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8" t="s">
        <v>645</v>
      </c>
      <c r="B352" s="1685" t="s">
        <v>590</v>
      </c>
      <c r="C352" s="1680">
        <f>SUM(C350:C351)</f>
        <v>0</v>
      </c>
      <c r="D352" s="1680">
        <f t="shared" ref="D352:L352" si="27">SUM(D350:D351)</f>
        <v>0</v>
      </c>
      <c r="E352" s="1680">
        <f t="shared" si="27"/>
        <v>77675</v>
      </c>
      <c r="F352" s="1680">
        <f t="shared" si="27"/>
        <v>28635</v>
      </c>
      <c r="G352" s="1680">
        <f t="shared" si="27"/>
        <v>0</v>
      </c>
      <c r="H352" s="1680">
        <f t="shared" si="27"/>
        <v>0</v>
      </c>
      <c r="I352" s="1680">
        <f t="shared" si="27"/>
        <v>0</v>
      </c>
      <c r="J352" s="1680">
        <f t="shared" si="27"/>
        <v>0</v>
      </c>
      <c r="K352" s="1680">
        <f t="shared" si="27"/>
        <v>106310</v>
      </c>
      <c r="L352" s="1680">
        <f t="shared" si="27"/>
        <v>117690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1965</v>
      </c>
      <c r="B354" s="673" t="s">
        <v>1957</v>
      </c>
      <c r="C354" s="607"/>
      <c r="D354" s="607"/>
      <c r="E354" s="607"/>
      <c r="F354" s="607"/>
      <c r="G354" s="607"/>
      <c r="H354" s="466">
        <v>0</v>
      </c>
      <c r="I354" s="691"/>
      <c r="J354" s="607"/>
      <c r="K354" s="1709">
        <f>H354</f>
        <v>0</v>
      </c>
      <c r="L354" s="471"/>
    </row>
    <row r="355" spans="1:14" ht="12.75" customHeight="1" x14ac:dyDescent="0.2">
      <c r="A355" s="1523" t="s">
        <v>1966</v>
      </c>
      <c r="B355" s="680" t="s">
        <v>1959</v>
      </c>
      <c r="C355" s="607"/>
      <c r="D355" s="607"/>
      <c r="E355" s="607"/>
      <c r="F355" s="607"/>
      <c r="G355" s="607"/>
      <c r="H355" s="466">
        <v>0</v>
      </c>
      <c r="I355" s="691"/>
      <c r="J355" s="607"/>
      <c r="K355" s="1753">
        <f>H355</f>
        <v>0</v>
      </c>
      <c r="L355" s="467"/>
    </row>
    <row r="356" spans="1:14" ht="12.75" customHeight="1" x14ac:dyDescent="0.2">
      <c r="A356" s="1845" t="s">
        <v>722</v>
      </c>
      <c r="B356" s="673" t="s">
        <v>579</v>
      </c>
      <c r="C356" s="607"/>
      <c r="D356" s="607"/>
      <c r="E356" s="607"/>
      <c r="F356" s="607"/>
      <c r="G356" s="607"/>
      <c r="H356" s="466">
        <v>0</v>
      </c>
      <c r="I356" s="691"/>
      <c r="J356" s="607"/>
      <c r="K356" s="1750">
        <f>H356</f>
        <v>0</v>
      </c>
      <c r="L356" s="479"/>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1">
        <f>SUM(C360:J360)</f>
        <v>0</v>
      </c>
      <c r="L360" s="466"/>
    </row>
    <row r="361" spans="1:14" ht="12.75" customHeight="1" x14ac:dyDescent="0.2">
      <c r="A361" s="1515" t="s">
        <v>640</v>
      </c>
      <c r="B361" s="593" t="s">
        <v>639</v>
      </c>
      <c r="C361" s="607"/>
      <c r="D361" s="607"/>
      <c r="E361" s="607"/>
      <c r="F361" s="607"/>
      <c r="G361" s="607"/>
      <c r="H361" s="466">
        <v>0</v>
      </c>
      <c r="I361" s="607"/>
      <c r="J361" s="607"/>
      <c r="K361" s="1681">
        <f>SUM(C361:J361)</f>
        <v>0</v>
      </c>
      <c r="L361" s="466"/>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66">
        <v>0</v>
      </c>
      <c r="I363" s="628"/>
      <c r="J363" s="628"/>
      <c r="K363" s="1709">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1">
        <f>SUM(C364:J364)</f>
        <v>0</v>
      </c>
      <c r="L364" s="696"/>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2" t="s">
        <v>526</v>
      </c>
      <c r="B367" s="1714"/>
      <c r="C367" s="1680">
        <f t="shared" ref="C367:L367" si="28">SUM(C352,C357,C365,C366)</f>
        <v>0</v>
      </c>
      <c r="D367" s="1680">
        <f t="shared" si="28"/>
        <v>0</v>
      </c>
      <c r="E367" s="1680">
        <f t="shared" si="28"/>
        <v>77675</v>
      </c>
      <c r="F367" s="1680">
        <f t="shared" si="28"/>
        <v>28635</v>
      </c>
      <c r="G367" s="1680">
        <f t="shared" si="28"/>
        <v>0</v>
      </c>
      <c r="H367" s="1680">
        <f t="shared" si="28"/>
        <v>0</v>
      </c>
      <c r="I367" s="1680">
        <f t="shared" si="28"/>
        <v>0</v>
      </c>
      <c r="J367" s="1680">
        <f t="shared" si="28"/>
        <v>0</v>
      </c>
      <c r="K367" s="1680">
        <f t="shared" si="28"/>
        <v>106310</v>
      </c>
      <c r="L367" s="1680">
        <f t="shared" si="28"/>
        <v>117690</v>
      </c>
    </row>
    <row r="368" spans="1:14" ht="13.5" thickTop="1" x14ac:dyDescent="0.2">
      <c r="A368" s="2190" t="s">
        <v>1053</v>
      </c>
      <c r="B368" s="2191"/>
      <c r="C368" s="644"/>
      <c r="D368" s="644"/>
      <c r="E368" s="617"/>
      <c r="F368" s="617"/>
      <c r="G368" s="617"/>
      <c r="H368" s="617"/>
      <c r="I368" s="617"/>
      <c r="J368" s="614"/>
      <c r="K368" s="1681">
        <f>'Revenues 9-14'!K275-'Expenditures 15-22'!K367</f>
        <v>25662</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87" sqref="D87"/>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192" t="s">
        <v>1905</v>
      </c>
      <c r="B2" s="1538" t="s">
        <v>2037</v>
      </c>
      <c r="C2" s="703" t="s">
        <v>1910</v>
      </c>
      <c r="D2" s="703" t="s">
        <v>1911</v>
      </c>
      <c r="E2" s="703" t="s">
        <v>1912</v>
      </c>
      <c r="F2" s="703" t="s">
        <v>1913</v>
      </c>
    </row>
    <row r="3" spans="1:6" ht="12" customHeight="1" x14ac:dyDescent="0.2">
      <c r="A3" s="2193"/>
      <c r="B3" s="1535"/>
      <c r="C3" s="1536"/>
      <c r="D3" s="1537" t="s">
        <v>274</v>
      </c>
      <c r="E3" s="1536"/>
      <c r="F3" s="1537" t="s">
        <v>275</v>
      </c>
    </row>
    <row r="4" spans="1:6" ht="13.7" customHeight="1" x14ac:dyDescent="0.2">
      <c r="A4" s="704" t="s">
        <v>1217</v>
      </c>
      <c r="B4" s="1759">
        <f>'Revenues 9-14'!C5</f>
        <v>5449788</v>
      </c>
      <c r="C4" s="1534">
        <v>2924900</v>
      </c>
      <c r="D4" s="1762">
        <f>B4-C4</f>
        <v>2524888</v>
      </c>
      <c r="E4" s="1534">
        <v>6127737</v>
      </c>
      <c r="F4" s="1762">
        <f>E4-C4</f>
        <v>3202837</v>
      </c>
    </row>
    <row r="5" spans="1:6" ht="13.7" customHeight="1" x14ac:dyDescent="0.2">
      <c r="A5" s="704" t="s">
        <v>925</v>
      </c>
      <c r="B5" s="1760">
        <f>'Revenues 9-14'!D5</f>
        <v>687219</v>
      </c>
      <c r="C5" s="577">
        <v>368825</v>
      </c>
      <c r="D5" s="1763">
        <f t="shared" ref="D5:D18" si="0">B5-C5</f>
        <v>318394</v>
      </c>
      <c r="E5" s="577">
        <v>772699</v>
      </c>
      <c r="F5" s="1763">
        <f>E5-C5</f>
        <v>403874</v>
      </c>
    </row>
    <row r="6" spans="1:6" ht="13.7" customHeight="1" x14ac:dyDescent="0.2">
      <c r="A6" s="704" t="s">
        <v>431</v>
      </c>
      <c r="B6" s="1760">
        <f>'Revenues 9-14'!E5</f>
        <v>62266</v>
      </c>
      <c r="C6" s="577">
        <v>28319</v>
      </c>
      <c r="D6" s="1763">
        <f t="shared" si="0"/>
        <v>33947</v>
      </c>
      <c r="E6" s="577">
        <v>59328</v>
      </c>
      <c r="F6" s="1763">
        <f t="shared" ref="F6:F18" si="1">E6-C6</f>
        <v>31009</v>
      </c>
    </row>
    <row r="7" spans="1:6" ht="13.7" customHeight="1" x14ac:dyDescent="0.2">
      <c r="A7" s="704" t="s">
        <v>157</v>
      </c>
      <c r="B7" s="1760">
        <f>'Revenues 9-14'!F5</f>
        <v>166615</v>
      </c>
      <c r="C7" s="577">
        <v>13336</v>
      </c>
      <c r="D7" s="1763">
        <f t="shared" si="0"/>
        <v>153279</v>
      </c>
      <c r="E7" s="577">
        <v>27936</v>
      </c>
      <c r="F7" s="1763">
        <f t="shared" si="1"/>
        <v>14600</v>
      </c>
    </row>
    <row r="8" spans="1:6" ht="13.7" customHeight="1" x14ac:dyDescent="0.2">
      <c r="A8" s="704" t="s">
        <v>1241</v>
      </c>
      <c r="B8" s="1760">
        <f>'Revenues 9-14'!G5</f>
        <v>153693</v>
      </c>
      <c r="C8" s="577">
        <v>79456</v>
      </c>
      <c r="D8" s="1763">
        <f t="shared" si="0"/>
        <v>74237</v>
      </c>
      <c r="E8" s="577">
        <v>166463</v>
      </c>
      <c r="F8" s="1763">
        <f t="shared" si="1"/>
        <v>87007</v>
      </c>
    </row>
    <row r="9" spans="1:6" ht="13.7" customHeight="1" x14ac:dyDescent="0.2">
      <c r="A9" s="704" t="s">
        <v>428</v>
      </c>
      <c r="B9" s="1760">
        <f>'Revenues 9-14'!H5</f>
        <v>0</v>
      </c>
      <c r="C9" s="577"/>
      <c r="D9" s="1763">
        <f t="shared" si="0"/>
        <v>0</v>
      </c>
      <c r="E9" s="577"/>
      <c r="F9" s="1763">
        <f t="shared" si="1"/>
        <v>0</v>
      </c>
    </row>
    <row r="10" spans="1:6" ht="13.7" customHeight="1" x14ac:dyDescent="0.2">
      <c r="A10" s="704" t="s">
        <v>427</v>
      </c>
      <c r="B10" s="1760">
        <f>'Revenues 9-14'!I5</f>
        <v>108180</v>
      </c>
      <c r="C10" s="577">
        <v>55672</v>
      </c>
      <c r="D10" s="1763">
        <f t="shared" si="0"/>
        <v>52508</v>
      </c>
      <c r="E10" s="577">
        <v>116639</v>
      </c>
      <c r="F10" s="1763">
        <f t="shared" si="1"/>
        <v>60967</v>
      </c>
    </row>
    <row r="11" spans="1:6" x14ac:dyDescent="0.2">
      <c r="A11" s="704" t="s">
        <v>429</v>
      </c>
      <c r="B11" s="1760">
        <f>'Revenues 9-14'!J5</f>
        <v>148337</v>
      </c>
      <c r="C11" s="577">
        <v>13336</v>
      </c>
      <c r="D11" s="1763">
        <f t="shared" si="0"/>
        <v>135001</v>
      </c>
      <c r="E11" s="577">
        <v>27936</v>
      </c>
      <c r="F11" s="1763">
        <f t="shared" si="1"/>
        <v>14600</v>
      </c>
    </row>
    <row r="12" spans="1:6" ht="13.7" customHeight="1" x14ac:dyDescent="0.2">
      <c r="A12" s="704" t="s">
        <v>159</v>
      </c>
      <c r="B12" s="1760">
        <f>'Revenues 9-14'!K5</f>
        <v>131972</v>
      </c>
      <c r="C12" s="577">
        <v>67909</v>
      </c>
      <c r="D12" s="1763">
        <f t="shared" si="0"/>
        <v>64063</v>
      </c>
      <c r="E12" s="577">
        <v>142271</v>
      </c>
      <c r="F12" s="1763">
        <f t="shared" si="1"/>
        <v>74362</v>
      </c>
    </row>
    <row r="13" spans="1:6" ht="13.7" customHeight="1" x14ac:dyDescent="0.2">
      <c r="A13" s="704" t="s">
        <v>993</v>
      </c>
      <c r="B13" s="1760">
        <f>SUM('Revenues 9-14'!C6:D6)</f>
        <v>131972</v>
      </c>
      <c r="C13" s="577">
        <v>67909</v>
      </c>
      <c r="D13" s="1763">
        <f t="shared" si="0"/>
        <v>64063</v>
      </c>
      <c r="E13" s="577">
        <v>142271</v>
      </c>
      <c r="F13" s="1763">
        <f t="shared" si="1"/>
        <v>74362</v>
      </c>
    </row>
    <row r="14" spans="1:6" ht="13.7" customHeight="1" x14ac:dyDescent="0.2">
      <c r="A14" s="704" t="s">
        <v>430</v>
      </c>
      <c r="B14" s="1760">
        <f>SUM('Revenues 9-14'!C7:D7,'Revenues 9-14'!F7:H7)</f>
        <v>54371</v>
      </c>
      <c r="C14" s="577">
        <v>28043</v>
      </c>
      <c r="D14" s="1763">
        <f t="shared" si="0"/>
        <v>26328</v>
      </c>
      <c r="E14" s="577">
        <v>58751</v>
      </c>
      <c r="F14" s="1763">
        <f t="shared" si="1"/>
        <v>30708</v>
      </c>
    </row>
    <row r="15" spans="1:6" ht="13.7" customHeight="1" x14ac:dyDescent="0.2">
      <c r="A15" s="704" t="s">
        <v>1220</v>
      </c>
      <c r="B15" s="1760">
        <f>'Revenues 9-14'!E9</f>
        <v>0</v>
      </c>
      <c r="C15" s="577"/>
      <c r="D15" s="1763">
        <f t="shared" si="0"/>
        <v>0</v>
      </c>
      <c r="E15" s="577"/>
      <c r="F15" s="1763">
        <f t="shared" si="1"/>
        <v>0</v>
      </c>
    </row>
    <row r="16" spans="1:6" ht="13.7" customHeight="1" x14ac:dyDescent="0.2">
      <c r="A16" s="704" t="s">
        <v>1221</v>
      </c>
      <c r="B16" s="1760">
        <f>'Revenues 9-14'!G8</f>
        <v>153693</v>
      </c>
      <c r="C16" s="577">
        <v>79456</v>
      </c>
      <c r="D16" s="1763">
        <f t="shared" si="0"/>
        <v>74237</v>
      </c>
      <c r="E16" s="577">
        <v>166463</v>
      </c>
      <c r="F16" s="1763">
        <f t="shared" si="1"/>
        <v>87007</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7248106</v>
      </c>
      <c r="C19" s="1761">
        <f>SUM(C4:C18)</f>
        <v>3727161</v>
      </c>
      <c r="D19" s="1761">
        <f>SUM(D4:D18)</f>
        <v>3520945</v>
      </c>
      <c r="E19" s="1761">
        <f>SUM(E4:E18)</f>
        <v>7808494</v>
      </c>
      <c r="F19" s="1761">
        <f>SUM(F4:F18)</f>
        <v>4081333</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Normal="100" workbookViewId="0">
      <selection activeCell="D87" sqref="D87"/>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650</v>
      </c>
      <c r="B1" s="2199"/>
      <c r="C1" s="710"/>
    </row>
    <row r="2" spans="1:7" ht="33.75" x14ac:dyDescent="0.2">
      <c r="A2" s="2207" t="s">
        <v>1905</v>
      </c>
      <c r="B2" s="2208"/>
      <c r="C2" s="1897" t="s">
        <v>2038</v>
      </c>
      <c r="D2" s="712" t="s">
        <v>2045</v>
      </c>
      <c r="E2" s="712" t="s">
        <v>2046</v>
      </c>
      <c r="F2" s="1897" t="s">
        <v>2039</v>
      </c>
    </row>
    <row r="3" spans="1:7" ht="15.75" customHeight="1" x14ac:dyDescent="0.2">
      <c r="A3" s="2211" t="s">
        <v>1176</v>
      </c>
      <c r="B3" s="2212"/>
      <c r="C3" s="2200"/>
      <c r="D3" s="2201"/>
      <c r="E3" s="2201"/>
      <c r="F3" s="2202"/>
    </row>
    <row r="4" spans="1:7" ht="12.75" customHeight="1" thickBot="1" x14ac:dyDescent="0.25">
      <c r="A4" s="2209" t="s">
        <v>651</v>
      </c>
      <c r="B4" s="2210"/>
      <c r="C4" s="574"/>
      <c r="D4" s="574"/>
      <c r="E4" s="574"/>
      <c r="F4" s="1765">
        <f>SUM(C4+D4)-E4</f>
        <v>0</v>
      </c>
    </row>
    <row r="5" spans="1:7" ht="15.75" customHeight="1" thickTop="1" x14ac:dyDescent="0.2">
      <c r="A5" s="2194" t="s">
        <v>1172</v>
      </c>
      <c r="B5" s="2195"/>
      <c r="C5" s="2203"/>
      <c r="D5" s="2204"/>
      <c r="E5" s="2204"/>
      <c r="F5" s="2205"/>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196" t="s">
        <v>652</v>
      </c>
      <c r="B15" s="2197"/>
      <c r="C15" s="1765">
        <f>SUM(C6:C14)</f>
        <v>0</v>
      </c>
      <c r="D15" s="1765">
        <f>SUM(D6:D14)</f>
        <v>0</v>
      </c>
      <c r="E15" s="1765">
        <f>SUM(E6:E14)</f>
        <v>0</v>
      </c>
      <c r="F15" s="1765">
        <f>SUM(F6:F14)</f>
        <v>0</v>
      </c>
      <c r="G15" s="550"/>
    </row>
    <row r="16" spans="1:7" s="202" customFormat="1" ht="15.75" customHeight="1" thickTop="1" x14ac:dyDescent="0.2">
      <c r="A16" s="2206" t="s">
        <v>1173</v>
      </c>
      <c r="B16" s="2195"/>
      <c r="C16" s="2203"/>
      <c r="D16" s="2204"/>
      <c r="E16" s="2204"/>
      <c r="F16" s="2205"/>
    </row>
    <row r="17" spans="1:11" ht="12.75" customHeight="1" thickBot="1" x14ac:dyDescent="0.25">
      <c r="A17" s="2219" t="s">
        <v>66</v>
      </c>
      <c r="B17" s="2220"/>
      <c r="C17" s="715"/>
      <c r="D17" s="577"/>
      <c r="E17" s="715"/>
      <c r="F17" s="1765">
        <f>SUM(C17+D17)-E17</f>
        <v>0</v>
      </c>
    </row>
    <row r="18" spans="1:11" ht="12.75" customHeight="1" thickTop="1" thickBot="1" x14ac:dyDescent="0.25">
      <c r="A18" s="2219" t="s">
        <v>6</v>
      </c>
      <c r="B18" s="2220"/>
      <c r="C18" s="715"/>
      <c r="D18" s="577"/>
      <c r="E18" s="715"/>
      <c r="F18" s="1765">
        <f>SUM(C18+D18)-E18</f>
        <v>0</v>
      </c>
    </row>
    <row r="19" spans="1:11" ht="12.75" customHeight="1" thickTop="1" thickBot="1" x14ac:dyDescent="0.25">
      <c r="A19" s="2219" t="s">
        <v>406</v>
      </c>
      <c r="B19" s="2220"/>
      <c r="C19" s="715"/>
      <c r="D19" s="577"/>
      <c r="E19" s="715"/>
      <c r="F19" s="1765">
        <f>SUM(C19+D19)-E19</f>
        <v>0</v>
      </c>
    </row>
    <row r="20" spans="1:11" ht="12.75" customHeight="1" thickTop="1" thickBot="1" x14ac:dyDescent="0.25">
      <c r="A20" s="2219" t="s">
        <v>468</v>
      </c>
      <c r="B20" s="2220"/>
      <c r="C20" s="715"/>
      <c r="D20" s="577"/>
      <c r="E20" s="715"/>
      <c r="F20" s="1765">
        <f>SUM(C20+D20)-E20</f>
        <v>0</v>
      </c>
    </row>
    <row r="21" spans="1:11" ht="14.25" thickTop="1" thickBot="1" x14ac:dyDescent="0.25">
      <c r="A21" s="2196" t="s">
        <v>653</v>
      </c>
      <c r="B21" s="2197"/>
      <c r="C21" s="1765">
        <f>SUM(C17:C20)</f>
        <v>0</v>
      </c>
      <c r="D21" s="1765">
        <f>SUM(D17:D20)</f>
        <v>0</v>
      </c>
      <c r="E21" s="1765">
        <f>SUM(E17:E20)</f>
        <v>0</v>
      </c>
      <c r="F21" s="1765">
        <f>SUM(F17:F20)</f>
        <v>0</v>
      </c>
      <c r="G21" s="550"/>
    </row>
    <row r="22" spans="1:11" ht="15.75" customHeight="1" thickTop="1" x14ac:dyDescent="0.2">
      <c r="A22" s="2221" t="s">
        <v>1174</v>
      </c>
      <c r="B22" s="2195"/>
      <c r="C22" s="2203"/>
      <c r="D22" s="2204"/>
      <c r="E22" s="2204"/>
      <c r="F22" s="2205"/>
    </row>
    <row r="23" spans="1:11" ht="13.5" thickBot="1" x14ac:dyDescent="0.25">
      <c r="A23" s="2209" t="s">
        <v>654</v>
      </c>
      <c r="B23" s="2210"/>
      <c r="C23" s="574"/>
      <c r="D23" s="574"/>
      <c r="E23" s="574"/>
      <c r="F23" s="1765">
        <f>SUM(C23+D23)-E23</f>
        <v>0</v>
      </c>
      <c r="G23" s="550"/>
    </row>
    <row r="24" spans="1:11" ht="15.75" customHeight="1" thickTop="1" x14ac:dyDescent="0.2">
      <c r="A24" s="2221" t="s">
        <v>1175</v>
      </c>
      <c r="B24" s="2195"/>
      <c r="C24" s="2203"/>
      <c r="D24" s="2204"/>
      <c r="E24" s="2204"/>
      <c r="F24" s="2205"/>
    </row>
    <row r="25" spans="1:11" ht="13.5" thickBot="1" x14ac:dyDescent="0.25">
      <c r="A25" s="2209" t="s">
        <v>655</v>
      </c>
      <c r="B25" s="2210"/>
      <c r="C25" s="574"/>
      <c r="D25" s="574"/>
      <c r="E25" s="574"/>
      <c r="F25" s="1765">
        <f>SUM(C25+D25)-E25</f>
        <v>0</v>
      </c>
      <c r="G25" s="550"/>
    </row>
    <row r="26" spans="1:11" ht="15.75" customHeight="1" thickTop="1" x14ac:dyDescent="0.2">
      <c r="A26" s="2194" t="s">
        <v>678</v>
      </c>
      <c r="B26" s="2195"/>
      <c r="C26" s="716"/>
      <c r="D26" s="716"/>
      <c r="E26" s="716"/>
      <c r="F26" s="717"/>
    </row>
    <row r="27" spans="1:11" ht="13.5" thickBot="1" x14ac:dyDescent="0.25">
      <c r="A27" s="2196" t="s">
        <v>1130</v>
      </c>
      <c r="B27" s="2197"/>
      <c r="C27" s="577"/>
      <c r="D27" s="577"/>
      <c r="E27" s="577"/>
      <c r="F27" s="1765">
        <f>SUM(C27+D27)-E27</f>
        <v>0</v>
      </c>
      <c r="G27" s="550"/>
    </row>
    <row r="28" spans="1:11" ht="7.5" customHeight="1" thickTop="1" x14ac:dyDescent="0.2">
      <c r="A28" s="584"/>
    </row>
    <row r="29" spans="1:11" ht="23.25" customHeight="1" x14ac:dyDescent="0.2">
      <c r="A29" s="2222" t="s">
        <v>603</v>
      </c>
      <c r="B29" s="2199"/>
      <c r="C29" s="718"/>
      <c r="D29" s="718"/>
      <c r="E29" s="718"/>
      <c r="F29" s="718"/>
      <c r="G29" s="718"/>
      <c r="H29" s="718"/>
      <c r="I29" s="718"/>
      <c r="J29" s="718"/>
    </row>
    <row r="30" spans="1:11" ht="33.75" x14ac:dyDescent="0.2">
      <c r="A30" s="1539" t="s">
        <v>1131</v>
      </c>
      <c r="B30" s="719" t="s">
        <v>1186</v>
      </c>
      <c r="C30" s="1898" t="s">
        <v>604</v>
      </c>
      <c r="D30" s="1898" t="s">
        <v>1772</v>
      </c>
      <c r="E30" s="1898" t="s">
        <v>2040</v>
      </c>
      <c r="F30" s="1898" t="s">
        <v>2041</v>
      </c>
      <c r="G30" s="1898" t="s">
        <v>2044</v>
      </c>
      <c r="H30" s="1898" t="s">
        <v>2042</v>
      </c>
      <c r="I30" s="1898" t="s">
        <v>2043</v>
      </c>
      <c r="J30" s="1899" t="s">
        <v>2</v>
      </c>
      <c r="K30" s="720"/>
    </row>
    <row r="31" spans="1:11" ht="12" customHeight="1" x14ac:dyDescent="0.2">
      <c r="A31" s="721" t="s">
        <v>2094</v>
      </c>
      <c r="B31" s="722">
        <v>37653</v>
      </c>
      <c r="C31" s="723">
        <v>695000</v>
      </c>
      <c r="D31" s="724">
        <v>6</v>
      </c>
      <c r="E31" s="723">
        <v>305000</v>
      </c>
      <c r="F31" s="723"/>
      <c r="G31" s="723"/>
      <c r="H31" s="723">
        <v>45000</v>
      </c>
      <c r="I31" s="1766">
        <f>((E31+F31)-H31)+G31</f>
        <v>260000</v>
      </c>
      <c r="J31" s="723">
        <v>259771</v>
      </c>
      <c r="K31" s="725"/>
    </row>
    <row r="32" spans="1:11" ht="12" customHeight="1" x14ac:dyDescent="0.2">
      <c r="A32" s="721" t="s">
        <v>2095</v>
      </c>
      <c r="B32" s="722">
        <v>42734</v>
      </c>
      <c r="C32" s="723">
        <v>9260000</v>
      </c>
      <c r="D32" s="724">
        <v>7</v>
      </c>
      <c r="E32" s="723">
        <v>9260000</v>
      </c>
      <c r="F32" s="723"/>
      <c r="G32" s="723"/>
      <c r="H32" s="723"/>
      <c r="I32" s="1766">
        <f>((E32+F32)-H32)+G32</f>
        <v>9260000</v>
      </c>
      <c r="J32" s="723">
        <v>9251834</v>
      </c>
      <c r="K32" s="725"/>
    </row>
    <row r="33" spans="1:11" ht="12" customHeight="1" x14ac:dyDescent="0.2">
      <c r="A33" s="721" t="s">
        <v>2095</v>
      </c>
      <c r="B33" s="722">
        <v>42766</v>
      </c>
      <c r="C33" s="723">
        <v>15730000</v>
      </c>
      <c r="D33" s="724">
        <v>7</v>
      </c>
      <c r="E33" s="723">
        <v>15730000</v>
      </c>
      <c r="F33" s="723"/>
      <c r="G33" s="723"/>
      <c r="H33" s="723">
        <v>255000</v>
      </c>
      <c r="I33" s="1766">
        <f t="shared" ref="I33:I48" si="1">((E33+F33)-H33)+G33</f>
        <v>15475000</v>
      </c>
      <c r="J33" s="723">
        <v>15461353</v>
      </c>
      <c r="K33" s="725"/>
    </row>
    <row r="34" spans="1:11" ht="12" customHeight="1" x14ac:dyDescent="0.2">
      <c r="A34" s="721" t="s">
        <v>2095</v>
      </c>
      <c r="B34" s="722">
        <v>42914</v>
      </c>
      <c r="C34" s="727">
        <v>10000000</v>
      </c>
      <c r="D34" s="724">
        <v>7</v>
      </c>
      <c r="E34" s="727">
        <v>10000000</v>
      </c>
      <c r="F34" s="723"/>
      <c r="G34" s="723"/>
      <c r="H34" s="723">
        <v>370000</v>
      </c>
      <c r="I34" s="1766">
        <f t="shared" si="1"/>
        <v>9630000</v>
      </c>
      <c r="J34" s="723">
        <v>9621507</v>
      </c>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7"/>
      <c r="D37" s="729"/>
      <c r="E37" s="467"/>
      <c r="F37" s="467"/>
      <c r="G37" s="467"/>
      <c r="H37" s="467"/>
      <c r="I37" s="1766">
        <f t="shared" si="1"/>
        <v>0</v>
      </c>
      <c r="J37" s="467"/>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35685000</v>
      </c>
      <c r="D49" s="734"/>
      <c r="E49" s="1766">
        <f t="shared" ref="E49:J49" si="2">SUM(E31:E48)</f>
        <v>35295000</v>
      </c>
      <c r="F49" s="1766">
        <f t="shared" si="2"/>
        <v>0</v>
      </c>
      <c r="G49" s="1766">
        <f t="shared" si="2"/>
        <v>0</v>
      </c>
      <c r="H49" s="1766">
        <f t="shared" si="2"/>
        <v>670000</v>
      </c>
      <c r="I49" s="1766">
        <f t="shared" si="2"/>
        <v>34625000</v>
      </c>
      <c r="J49" s="1766">
        <f t="shared" si="2"/>
        <v>34594465</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213" t="s">
        <v>605</v>
      </c>
      <c r="C52" s="2214"/>
      <c r="D52" s="2214"/>
      <c r="E52" s="738" t="s">
        <v>900</v>
      </c>
      <c r="F52" s="2215" t="s">
        <v>2096</v>
      </c>
      <c r="G52" s="2216"/>
      <c r="H52" s="725"/>
      <c r="I52" s="725"/>
      <c r="J52" s="735"/>
    </row>
    <row r="53" spans="1:11" ht="11.25" customHeight="1" x14ac:dyDescent="0.2">
      <c r="A53" s="739" t="s">
        <v>969</v>
      </c>
      <c r="B53" s="740" t="s">
        <v>1008</v>
      </c>
      <c r="C53" s="735"/>
      <c r="D53" s="726"/>
      <c r="E53" s="738" t="s">
        <v>518</v>
      </c>
      <c r="F53" s="2217"/>
      <c r="G53" s="2218"/>
      <c r="H53" s="725"/>
      <c r="I53" s="725"/>
      <c r="J53" s="735"/>
    </row>
    <row r="54" spans="1:11" ht="11.25" customHeight="1" x14ac:dyDescent="0.2">
      <c r="A54" s="741" t="s">
        <v>970</v>
      </c>
      <c r="B54" s="736" t="s">
        <v>1009</v>
      </c>
      <c r="C54" s="735"/>
      <c r="D54" s="726"/>
      <c r="E54" s="738" t="s">
        <v>519</v>
      </c>
      <c r="F54" s="2217"/>
      <c r="G54" s="221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87" sqref="D8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911</v>
      </c>
      <c r="B1" s="2248"/>
      <c r="C1" s="2248"/>
      <c r="D1" s="2248"/>
      <c r="E1" s="2248"/>
      <c r="F1" s="2248"/>
      <c r="G1" s="2249"/>
      <c r="H1" s="1540"/>
      <c r="I1" s="749"/>
      <c r="J1" s="433"/>
    </row>
    <row r="2" spans="1:11" ht="26.25" x14ac:dyDescent="0.2">
      <c r="A2" s="2226" t="s">
        <v>1776</v>
      </c>
      <c r="B2" s="2227"/>
      <c r="C2" s="2227"/>
      <c r="D2" s="2227"/>
      <c r="E2" s="2228"/>
      <c r="F2" s="750" t="s">
        <v>960</v>
      </c>
      <c r="G2" s="751" t="s">
        <v>1773</v>
      </c>
      <c r="H2" s="751" t="s">
        <v>430</v>
      </c>
      <c r="I2" s="751" t="s">
        <v>1220</v>
      </c>
      <c r="J2" s="751" t="s">
        <v>1919</v>
      </c>
      <c r="K2" s="751" t="s">
        <v>140</v>
      </c>
    </row>
    <row r="3" spans="1:11" x14ac:dyDescent="0.2">
      <c r="A3" s="2229" t="s">
        <v>1698</v>
      </c>
      <c r="B3" s="2230"/>
      <c r="C3" s="2230"/>
      <c r="D3" s="2230"/>
      <c r="E3" s="2231"/>
      <c r="F3" s="752"/>
      <c r="G3" s="753"/>
      <c r="H3" s="753"/>
      <c r="I3" s="753"/>
      <c r="J3" s="754"/>
      <c r="K3" s="754"/>
    </row>
    <row r="4" spans="1:11" x14ac:dyDescent="0.2">
      <c r="A4" s="2232" t="s">
        <v>387</v>
      </c>
      <c r="B4" s="2233"/>
      <c r="C4" s="2233"/>
      <c r="D4" s="2233"/>
      <c r="E4" s="2214"/>
      <c r="F4" s="755"/>
      <c r="G4" s="756"/>
      <c r="H4" s="757"/>
      <c r="I4" s="756"/>
      <c r="J4" s="758"/>
      <c r="K4" s="758"/>
    </row>
    <row r="5" spans="1:11" x14ac:dyDescent="0.2">
      <c r="A5" s="2250" t="s">
        <v>1129</v>
      </c>
      <c r="B5" s="2223"/>
      <c r="C5" s="2223"/>
      <c r="D5" s="2223"/>
      <c r="E5" s="2251"/>
      <c r="F5" s="759" t="s">
        <v>903</v>
      </c>
      <c r="G5" s="760"/>
      <c r="H5" s="753">
        <v>54371</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50" t="s">
        <v>1920</v>
      </c>
      <c r="B10" s="2223"/>
      <c r="C10" s="2223"/>
      <c r="D10" s="2223"/>
      <c r="E10" s="2252"/>
      <c r="F10" s="772" t="s">
        <v>917</v>
      </c>
      <c r="G10" s="771"/>
      <c r="H10" s="773"/>
      <c r="I10" s="753"/>
      <c r="J10" s="754"/>
      <c r="K10" s="754"/>
    </row>
    <row r="11" spans="1:11" x14ac:dyDescent="0.2">
      <c r="A11" s="2250" t="s">
        <v>162</v>
      </c>
      <c r="B11" s="2223"/>
      <c r="C11" s="2223"/>
      <c r="D11" s="2223"/>
      <c r="E11" s="2251"/>
      <c r="F11" s="759" t="s">
        <v>907</v>
      </c>
      <c r="G11" s="760"/>
      <c r="H11" s="753"/>
      <c r="I11" s="753"/>
      <c r="J11" s="754"/>
      <c r="K11" s="762"/>
    </row>
    <row r="12" spans="1:11" ht="13.5" thickBot="1" x14ac:dyDescent="0.25">
      <c r="A12" s="2240" t="s">
        <v>961</v>
      </c>
      <c r="B12" s="2241"/>
      <c r="C12" s="2241"/>
      <c r="D12" s="2241"/>
      <c r="E12" s="2242"/>
      <c r="F12" s="1767"/>
      <c r="G12" s="1768">
        <f>SUM(G5:G11)</f>
        <v>0</v>
      </c>
      <c r="H12" s="1768">
        <f>SUM(H5:H11)</f>
        <v>54371</v>
      </c>
      <c r="I12" s="1768">
        <f>SUM(I5:I11)</f>
        <v>0</v>
      </c>
      <c r="J12" s="1768">
        <f>SUM(J5:J11)</f>
        <v>0</v>
      </c>
      <c r="K12" s="1768">
        <f>SUM(K5:K11)</f>
        <v>0</v>
      </c>
    </row>
    <row r="13" spans="1:11" ht="13.5" thickTop="1" x14ac:dyDescent="0.2">
      <c r="A13" s="2234" t="s">
        <v>388</v>
      </c>
      <c r="B13" s="2235"/>
      <c r="C13" s="2235"/>
      <c r="D13" s="2235"/>
      <c r="E13" s="2236"/>
      <c r="F13" s="774"/>
      <c r="G13" s="775"/>
      <c r="H13" s="776"/>
      <c r="I13" s="777"/>
      <c r="J13" s="777"/>
      <c r="K13" s="777"/>
    </row>
    <row r="14" spans="1:11" x14ac:dyDescent="0.2">
      <c r="A14" s="2256" t="s">
        <v>476</v>
      </c>
      <c r="B14" s="2256"/>
      <c r="C14" s="2256"/>
      <c r="D14" s="2256"/>
      <c r="E14" s="2257"/>
      <c r="F14" s="778" t="s">
        <v>909</v>
      </c>
      <c r="G14" s="771"/>
      <c r="H14" s="753">
        <v>54371</v>
      </c>
      <c r="I14" s="760"/>
      <c r="J14" s="762"/>
      <c r="K14" s="754"/>
    </row>
    <row r="15" spans="1:11" x14ac:dyDescent="0.2">
      <c r="A15" s="2223" t="s">
        <v>4</v>
      </c>
      <c r="B15" s="2223"/>
      <c r="C15" s="2223"/>
      <c r="D15" s="2223"/>
      <c r="E15" s="2251"/>
      <c r="F15" s="778" t="s">
        <v>910</v>
      </c>
      <c r="G15" s="760"/>
      <c r="H15" s="753"/>
      <c r="I15" s="753"/>
      <c r="J15" s="754"/>
      <c r="K15" s="754"/>
    </row>
    <row r="16" spans="1:11" x14ac:dyDescent="0.2">
      <c r="A16" s="2223" t="s">
        <v>316</v>
      </c>
      <c r="B16" s="2223"/>
      <c r="C16" s="2223"/>
      <c r="D16" s="2223"/>
      <c r="E16" s="2251"/>
      <c r="F16" s="778" t="s">
        <v>980</v>
      </c>
      <c r="G16" s="761"/>
      <c r="H16" s="756"/>
      <c r="I16" s="756"/>
      <c r="J16" s="758"/>
      <c r="K16" s="758"/>
    </row>
    <row r="17" spans="1:11" x14ac:dyDescent="0.2">
      <c r="A17" s="2245" t="s">
        <v>992</v>
      </c>
      <c r="B17" s="2245"/>
      <c r="C17" s="2245"/>
      <c r="D17" s="2245"/>
      <c r="E17" s="2246"/>
      <c r="F17" s="779"/>
      <c r="G17" s="780"/>
      <c r="H17" s="781"/>
      <c r="I17" s="781"/>
      <c r="J17" s="782"/>
      <c r="K17" s="783"/>
    </row>
    <row r="18" spans="1:11" x14ac:dyDescent="0.2">
      <c r="A18" s="2237" t="s">
        <v>386</v>
      </c>
      <c r="B18" s="2238"/>
      <c r="C18" s="2238"/>
      <c r="D18" s="2238"/>
      <c r="E18" s="2239"/>
      <c r="F18" s="778" t="s">
        <v>989</v>
      </c>
      <c r="G18" s="771"/>
      <c r="H18" s="771"/>
      <c r="I18" s="771"/>
      <c r="J18" s="754"/>
      <c r="K18" s="784"/>
    </row>
    <row r="19" spans="1:11" ht="21.75" customHeight="1" x14ac:dyDescent="0.2">
      <c r="A19" s="2258" t="s">
        <v>1916</v>
      </c>
      <c r="B19" s="2258"/>
      <c r="C19" s="2258"/>
      <c r="D19" s="2258"/>
      <c r="E19" s="2259"/>
      <c r="F19" s="778" t="s">
        <v>990</v>
      </c>
      <c r="G19" s="771"/>
      <c r="H19" s="771"/>
      <c r="I19" s="771"/>
      <c r="J19" s="754"/>
      <c r="K19" s="784"/>
    </row>
    <row r="20" spans="1:11" x14ac:dyDescent="0.2">
      <c r="A20" s="2237" t="s">
        <v>1921</v>
      </c>
      <c r="B20" s="2238"/>
      <c r="C20" s="2238"/>
      <c r="D20" s="2238"/>
      <c r="E20" s="2239"/>
      <c r="F20" s="778" t="s">
        <v>991</v>
      </c>
      <c r="G20" s="771"/>
      <c r="H20" s="771"/>
      <c r="I20" s="771"/>
      <c r="J20" s="754"/>
      <c r="K20" s="784"/>
    </row>
    <row r="21" spans="1:11" ht="13.5" thickBot="1" x14ac:dyDescent="0.25">
      <c r="A21" s="2243" t="s">
        <v>659</v>
      </c>
      <c r="B21" s="2243"/>
      <c r="C21" s="2243"/>
      <c r="D21" s="2243"/>
      <c r="E21" s="2243"/>
      <c r="F21" s="1769"/>
      <c r="G21" s="781"/>
      <c r="H21" s="785"/>
      <c r="I21" s="785"/>
      <c r="J21" s="1770">
        <f>SUM(J18:J20)</f>
        <v>0</v>
      </c>
      <c r="K21" s="782"/>
    </row>
    <row r="22" spans="1:11" ht="13.5" thickTop="1" x14ac:dyDescent="0.2">
      <c r="A22" s="2223" t="s">
        <v>1922</v>
      </c>
      <c r="B22" s="2223"/>
      <c r="C22" s="2223"/>
      <c r="D22" s="2223"/>
      <c r="E22" s="2251"/>
      <c r="F22" s="778" t="s">
        <v>917</v>
      </c>
      <c r="G22" s="771"/>
      <c r="H22" s="753"/>
      <c r="I22" s="753"/>
      <c r="J22" s="786"/>
      <c r="K22" s="754"/>
    </row>
    <row r="23" spans="1:11" ht="13.5" thickBot="1" x14ac:dyDescent="0.25">
      <c r="A23" s="2244" t="s">
        <v>962</v>
      </c>
      <c r="B23" s="2243"/>
      <c r="C23" s="2243"/>
      <c r="D23" s="2243"/>
      <c r="E23" s="2243"/>
      <c r="F23" s="1771"/>
      <c r="G23" s="1768">
        <f>SUM(G14:G16,G21,G22)</f>
        <v>0</v>
      </c>
      <c r="H23" s="1768">
        <f>SUM(H14:H16,H21,H22)</f>
        <v>54371</v>
      </c>
      <c r="I23" s="1768">
        <f>SUM(I14:I16,I21,I22)</f>
        <v>0</v>
      </c>
      <c r="J23" s="1768">
        <f>SUM(J14:J16,J21,J22)</f>
        <v>0</v>
      </c>
      <c r="K23" s="1768">
        <f>SUM(K14:K16,K21,K22)</f>
        <v>0</v>
      </c>
    </row>
    <row r="24" spans="1:11" ht="14.25" thickTop="1" thickBot="1" x14ac:dyDescent="0.25">
      <c r="A24" s="2244" t="s">
        <v>2026</v>
      </c>
      <c r="B24" s="2243"/>
      <c r="C24" s="2243"/>
      <c r="D24" s="2243"/>
      <c r="E24" s="2243"/>
      <c r="F24" s="1772"/>
      <c r="G24" s="1773">
        <f>SUM(G3,G12)-G23</f>
        <v>0</v>
      </c>
      <c r="H24" s="1773">
        <f>SUM(H3,H12)-H23</f>
        <v>0</v>
      </c>
      <c r="I24" s="1773">
        <f>SUM(I3,I12)-I23</f>
        <v>0</v>
      </c>
      <c r="J24" s="1773">
        <f>SUM(J3,J12)-J23</f>
        <v>0</v>
      </c>
      <c r="K24" s="1773">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0</v>
      </c>
    </row>
    <row r="27" spans="1:11" ht="5.25" customHeight="1" thickTop="1" x14ac:dyDescent="0.2">
      <c r="I27" s="202"/>
      <c r="J27" s="202"/>
    </row>
    <row r="28" spans="1:11" ht="29.25" customHeight="1" x14ac:dyDescent="0.2">
      <c r="A28" s="1893" t="s">
        <v>2036</v>
      </c>
      <c r="B28" s="1894"/>
      <c r="C28" s="1894"/>
      <c r="D28" s="1894"/>
      <c r="E28" s="1895"/>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3"/>
      <c r="I31" s="2254"/>
      <c r="J31" s="2254"/>
      <c r="K31" s="2254"/>
    </row>
    <row r="32" spans="1:11" x14ac:dyDescent="0.2">
      <c r="A32" s="798"/>
      <c r="B32" s="237"/>
      <c r="C32" s="237"/>
      <c r="D32" s="237"/>
      <c r="E32" s="794"/>
      <c r="F32" s="800" t="s">
        <v>561</v>
      </c>
      <c r="G32" s="753"/>
      <c r="H32" s="2255"/>
      <c r="I32" s="2254"/>
      <c r="J32" s="2254"/>
      <c r="K32" s="2254"/>
    </row>
    <row r="33" spans="1:11" ht="1.5" customHeight="1" x14ac:dyDescent="0.2">
      <c r="A33" s="801" t="s">
        <v>1231</v>
      </c>
      <c r="B33" s="364"/>
      <c r="C33" s="364"/>
      <c r="D33" s="364"/>
      <c r="E33" s="364"/>
      <c r="F33" s="364"/>
      <c r="G33" s="802"/>
      <c r="H33" s="2255"/>
      <c r="I33" s="2254"/>
      <c r="J33" s="2254"/>
      <c r="K33" s="2254"/>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3" t="s">
        <v>562</v>
      </c>
      <c r="B41" s="2224"/>
      <c r="C41" s="2224"/>
      <c r="D41" s="2224"/>
      <c r="E41" s="2224"/>
      <c r="F41" s="2225"/>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7" sqref="D87"/>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2035</v>
      </c>
      <c r="B1" s="2263"/>
      <c r="C1" s="2264"/>
      <c r="D1" s="815"/>
      <c r="E1" s="816"/>
      <c r="F1" s="816"/>
      <c r="G1" s="817"/>
      <c r="H1" s="818"/>
      <c r="I1" s="819"/>
      <c r="J1" s="2260"/>
      <c r="K1" s="2261"/>
      <c r="L1" s="2261"/>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825000</v>
      </c>
      <c r="D5" s="830"/>
      <c r="E5" s="830"/>
      <c r="F5" s="1770">
        <f>(C5+D5)-E5</f>
        <v>825000</v>
      </c>
      <c r="G5" s="826"/>
      <c r="H5" s="831"/>
      <c r="I5" s="831"/>
      <c r="J5" s="831"/>
      <c r="K5" s="782"/>
      <c r="L5" s="1779">
        <f>F5-K5</f>
        <v>825000</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5310580</v>
      </c>
      <c r="D8" s="833"/>
      <c r="E8" s="833"/>
      <c r="F8" s="1770">
        <f>(C8+D8)-E8</f>
        <v>5310580</v>
      </c>
      <c r="G8" s="832">
        <v>50</v>
      </c>
      <c r="H8" s="754">
        <v>531060</v>
      </c>
      <c r="I8" s="754">
        <v>106212</v>
      </c>
      <c r="J8" s="754"/>
      <c r="K8" s="1779">
        <f>(H8+I8)-J8</f>
        <v>637272</v>
      </c>
      <c r="L8" s="1779">
        <f>F8-K8</f>
        <v>4673308</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v>148140</v>
      </c>
      <c r="D10" s="835"/>
      <c r="E10" s="835"/>
      <c r="F10" s="1774">
        <f>(C10+D10)-E10</f>
        <v>148140</v>
      </c>
      <c r="G10" s="832">
        <v>20</v>
      </c>
      <c r="H10" s="836">
        <v>37035</v>
      </c>
      <c r="I10" s="836">
        <v>7407</v>
      </c>
      <c r="J10" s="836"/>
      <c r="K10" s="1779">
        <f>(H10+I10)-J10</f>
        <v>44442</v>
      </c>
      <c r="L10" s="1779">
        <f>F10-K10</f>
        <v>103698</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2983925</v>
      </c>
      <c r="D12" s="833"/>
      <c r="E12" s="833"/>
      <c r="F12" s="1770">
        <f>(C12+D12)-E12</f>
        <v>2983925</v>
      </c>
      <c r="G12" s="832">
        <v>10</v>
      </c>
      <c r="H12" s="754">
        <v>1422007</v>
      </c>
      <c r="I12" s="754">
        <v>298393</v>
      </c>
      <c r="J12" s="754"/>
      <c r="K12" s="1779">
        <f>(H12+I12)-J12</f>
        <v>1720400</v>
      </c>
      <c r="L12" s="1779">
        <f>F12-K12</f>
        <v>1263525</v>
      </c>
    </row>
    <row r="13" spans="1:14" ht="14.25" thickTop="1" thickBot="1" x14ac:dyDescent="0.25">
      <c r="A13" s="837" t="s">
        <v>1184</v>
      </c>
      <c r="B13" s="829">
        <v>252</v>
      </c>
      <c r="C13" s="833">
        <v>263450</v>
      </c>
      <c r="D13" s="833">
        <v>153303</v>
      </c>
      <c r="E13" s="833"/>
      <c r="F13" s="1770">
        <f>(C13+D13)-E13</f>
        <v>416753</v>
      </c>
      <c r="G13" s="832">
        <v>5</v>
      </c>
      <c r="H13" s="754">
        <v>139195</v>
      </c>
      <c r="I13" s="754">
        <v>41675</v>
      </c>
      <c r="J13" s="754"/>
      <c r="K13" s="1779">
        <f>(H13+I13)-J13</f>
        <v>180870</v>
      </c>
      <c r="L13" s="1779">
        <f>F13-K13</f>
        <v>235883</v>
      </c>
    </row>
    <row r="14" spans="1:14" ht="14.25" thickTop="1" thickBot="1" x14ac:dyDescent="0.25">
      <c r="A14" s="837" t="s">
        <v>1185</v>
      </c>
      <c r="B14" s="829">
        <v>253</v>
      </c>
      <c r="C14" s="754">
        <v>0</v>
      </c>
      <c r="D14" s="754"/>
      <c r="E14" s="754"/>
      <c r="F14" s="1770">
        <f>(C14+D14)-E14</f>
        <v>0</v>
      </c>
      <c r="G14" s="832">
        <v>3</v>
      </c>
      <c r="H14" s="754"/>
      <c r="I14" s="754"/>
      <c r="J14" s="754"/>
      <c r="K14" s="1779">
        <f>(H14+I14)-J14</f>
        <v>0</v>
      </c>
      <c r="L14" s="1779">
        <f>F14-K14</f>
        <v>0</v>
      </c>
    </row>
    <row r="15" spans="1:14" ht="15" customHeight="1" thickTop="1" thickBot="1" x14ac:dyDescent="0.25">
      <c r="A15" s="1641" t="s">
        <v>549</v>
      </c>
      <c r="B15" s="1640">
        <v>260</v>
      </c>
      <c r="C15" s="833">
        <v>2572792</v>
      </c>
      <c r="D15" s="833">
        <v>25826337</v>
      </c>
      <c r="E15" s="833"/>
      <c r="F15" s="1770">
        <f>(C15+D15)-E15</f>
        <v>28399129</v>
      </c>
      <c r="G15" s="838" t="s">
        <v>917</v>
      </c>
      <c r="H15" s="770"/>
      <c r="I15" s="770"/>
      <c r="J15" s="770"/>
      <c r="K15" s="770"/>
      <c r="L15" s="1779">
        <f>F15-K15</f>
        <v>28399129</v>
      </c>
    </row>
    <row r="16" spans="1:14" ht="15" customHeight="1" thickTop="1" thickBot="1" x14ac:dyDescent="0.25">
      <c r="A16" s="1775" t="s">
        <v>664</v>
      </c>
      <c r="B16" s="1776">
        <v>200</v>
      </c>
      <c r="C16" s="1770">
        <f>SUM(C3,C5:C6,C8:C10,C12:C15)</f>
        <v>12103887</v>
      </c>
      <c r="D16" s="1770">
        <f>SUM(D3,D5:D6,D8:D10,D12:D15)</f>
        <v>25979640</v>
      </c>
      <c r="E16" s="1770">
        <f>SUM(E3,E5:E6,E8:E10,E12:E15)</f>
        <v>0</v>
      </c>
      <c r="F16" s="1770">
        <f>SUM(F3,F5:F6,F8:F10,F12:F15)</f>
        <v>38083527</v>
      </c>
      <c r="G16" s="832"/>
      <c r="H16" s="1770">
        <f>SUM(H3,H6,H8:H10,H12:H14,)</f>
        <v>2129297</v>
      </c>
      <c r="I16" s="1770">
        <f>SUM(I3,I6,I8:I10,I12:I14,)</f>
        <v>453687</v>
      </c>
      <c r="J16" s="1770">
        <f>SUM(J3,J6,J8:J10,J12:J14,)</f>
        <v>0</v>
      </c>
      <c r="K16" s="1770">
        <f>(H16+I16)-J16</f>
        <v>2582984</v>
      </c>
      <c r="L16" s="1770">
        <f>F16-K16</f>
        <v>35500543</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0</v>
      </c>
      <c r="G17" s="826">
        <v>10</v>
      </c>
      <c r="H17" s="758"/>
      <c r="I17" s="1779">
        <f>F17/G17</f>
        <v>0</v>
      </c>
      <c r="J17" s="758"/>
      <c r="K17" s="784"/>
      <c r="L17" s="784"/>
    </row>
    <row r="18" spans="1:12" ht="14.25" thickTop="1" thickBot="1" x14ac:dyDescent="0.25">
      <c r="A18" s="1777" t="s">
        <v>706</v>
      </c>
      <c r="B18" s="1778"/>
      <c r="C18" s="760"/>
      <c r="D18" s="760"/>
      <c r="E18" s="760"/>
      <c r="F18" s="839"/>
      <c r="G18" s="840"/>
      <c r="H18" s="762"/>
      <c r="I18" s="1770">
        <f>SUM(I16,I17)</f>
        <v>453687</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D87" sqref="D87"/>
      <selection pane="bottomLeft" activeCell="D87" sqref="D87"/>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8" t="s">
        <v>1699</v>
      </c>
      <c r="B1" s="2269"/>
      <c r="C1" s="2269"/>
      <c r="D1" s="2269"/>
      <c r="E1" s="2269"/>
      <c r="F1" s="2270"/>
      <c r="G1" s="844"/>
    </row>
    <row r="2" spans="1:7" ht="15" customHeight="1" thickBot="1" x14ac:dyDescent="0.25">
      <c r="A2" s="2271" t="s">
        <v>498</v>
      </c>
      <c r="B2" s="2272"/>
      <c r="C2" s="2272"/>
      <c r="D2" s="2272"/>
      <c r="E2" s="2272"/>
      <c r="F2" s="2273"/>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2">
        <f>'Expenditures 15-22'!K114</f>
        <v>6694719</v>
      </c>
      <c r="G8" s="854"/>
    </row>
    <row r="9" spans="1:7" x14ac:dyDescent="0.2">
      <c r="A9" s="858" t="s">
        <v>480</v>
      </c>
      <c r="B9" s="859" t="s">
        <v>1989</v>
      </c>
      <c r="C9" s="860"/>
      <c r="D9" s="858" t="s">
        <v>522</v>
      </c>
      <c r="E9" s="857"/>
      <c r="F9" s="1923">
        <f>'Expenditures 15-22'!K151</f>
        <v>860067</v>
      </c>
      <c r="G9" s="861"/>
    </row>
    <row r="10" spans="1:7" x14ac:dyDescent="0.2">
      <c r="A10" s="858" t="s">
        <v>520</v>
      </c>
      <c r="B10" s="859" t="s">
        <v>1990</v>
      </c>
      <c r="C10" s="860"/>
      <c r="D10" s="858" t="s">
        <v>522</v>
      </c>
      <c r="E10" s="857"/>
      <c r="F10" s="1923">
        <f>'Expenditures 15-22'!K174</f>
        <v>2348705</v>
      </c>
      <c r="G10" s="861"/>
    </row>
    <row r="11" spans="1:7" x14ac:dyDescent="0.2">
      <c r="A11" s="858" t="s">
        <v>481</v>
      </c>
      <c r="B11" s="859" t="s">
        <v>1991</v>
      </c>
      <c r="C11" s="860"/>
      <c r="D11" s="858" t="s">
        <v>522</v>
      </c>
      <c r="E11" s="857"/>
      <c r="F11" s="1923">
        <f>'Expenditures 15-22'!K210</f>
        <v>795513</v>
      </c>
      <c r="G11" s="861"/>
    </row>
    <row r="12" spans="1:7" x14ac:dyDescent="0.2">
      <c r="A12" s="858" t="s">
        <v>482</v>
      </c>
      <c r="B12" s="859" t="s">
        <v>1992</v>
      </c>
      <c r="C12" s="860"/>
      <c r="D12" s="858" t="s">
        <v>522</v>
      </c>
      <c r="E12" s="857"/>
      <c r="F12" s="1923">
        <f>'Expenditures 15-22'!K295</f>
        <v>285464</v>
      </c>
      <c r="G12" s="861"/>
    </row>
    <row r="13" spans="1:7" x14ac:dyDescent="0.2">
      <c r="A13" s="858" t="s">
        <v>108</v>
      </c>
      <c r="B13" s="859" t="s">
        <v>1993</v>
      </c>
      <c r="C13" s="860"/>
      <c r="D13" s="858" t="s">
        <v>522</v>
      </c>
      <c r="E13" s="857"/>
      <c r="F13" s="1923">
        <f>'Expenditures 15-22'!K342</f>
        <v>122742</v>
      </c>
      <c r="G13" s="862"/>
    </row>
    <row r="14" spans="1:7" ht="12" customHeight="1" thickBot="1" x14ac:dyDescent="0.25">
      <c r="A14" s="1780"/>
      <c r="B14" s="1781"/>
      <c r="C14" s="1782"/>
      <c r="D14" s="1783" t="s">
        <v>522</v>
      </c>
      <c r="E14" s="1784" t="s">
        <v>1015</v>
      </c>
      <c r="F14" s="1785">
        <f>SUM(F8:F13)</f>
        <v>11107210</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4">
        <f>'Revenues 9-14'!F43</f>
        <v>106</v>
      </c>
      <c r="G18" s="854"/>
    </row>
    <row r="19" spans="1:7" x14ac:dyDescent="0.2">
      <c r="A19" s="858" t="s">
        <v>481</v>
      </c>
      <c r="B19" s="859" t="s">
        <v>1069</v>
      </c>
      <c r="C19" s="866">
        <f>'Revenues 9-14'!B47</f>
        <v>1421</v>
      </c>
      <c r="D19" s="867" t="str">
        <f>'Revenues 9-14'!A47</f>
        <v>Summer Sch - Transp. Fees from Pupils or Parents (In State)</v>
      </c>
      <c r="E19" s="868"/>
      <c r="F19" s="1925">
        <f>'Revenues 9-14'!F47</f>
        <v>0</v>
      </c>
      <c r="G19" s="854"/>
    </row>
    <row r="20" spans="1:7" x14ac:dyDescent="0.2">
      <c r="A20" s="858" t="s">
        <v>481</v>
      </c>
      <c r="B20" s="859" t="s">
        <v>1070</v>
      </c>
      <c r="C20" s="864">
        <f>'Revenues 9-14'!B48</f>
        <v>1422</v>
      </c>
      <c r="D20" s="865" t="str">
        <f>'Revenues 9-14'!A48</f>
        <v>Summer Sch - Transp. Fees from Other Districts (In State)</v>
      </c>
      <c r="E20" s="857"/>
      <c r="F20" s="1926">
        <f>'Revenues 9-14'!F48</f>
        <v>0</v>
      </c>
      <c r="G20" s="854"/>
    </row>
    <row r="21" spans="1:7" x14ac:dyDescent="0.2">
      <c r="A21" s="858" t="s">
        <v>481</v>
      </c>
      <c r="B21" s="859" t="s">
        <v>1071</v>
      </c>
      <c r="C21" s="866">
        <f>'Revenues 9-14'!B49</f>
        <v>1423</v>
      </c>
      <c r="D21" s="865" t="str">
        <f>'Revenues 9-14'!A49</f>
        <v>Summer Sch - Transp. Fees from Other Sources (In State)</v>
      </c>
      <c r="E21" s="857"/>
      <c r="F21" s="1927">
        <f>'Revenues 9-14'!F49</f>
        <v>0</v>
      </c>
      <c r="G21" s="854"/>
    </row>
    <row r="22" spans="1:7" x14ac:dyDescent="0.2">
      <c r="A22" s="858" t="s">
        <v>481</v>
      </c>
      <c r="B22" s="859" t="s">
        <v>1072</v>
      </c>
      <c r="C22" s="866">
        <f>'Revenues 9-14'!B50</f>
        <v>1424</v>
      </c>
      <c r="D22" s="865" t="str">
        <f>'Revenues 9-14'!A50</f>
        <v>Summer Sch - Transp. Fees from Other Sources (Out of State)</v>
      </c>
      <c r="E22" s="857"/>
      <c r="F22" s="1927">
        <f>'Revenues 9-14'!F50</f>
        <v>0</v>
      </c>
      <c r="G22" s="854"/>
    </row>
    <row r="23" spans="1:7" x14ac:dyDescent="0.2">
      <c r="A23" s="858" t="s">
        <v>481</v>
      </c>
      <c r="B23" s="859" t="s">
        <v>1073</v>
      </c>
      <c r="C23" s="864">
        <f>'Revenues 9-14'!B52</f>
        <v>1432</v>
      </c>
      <c r="D23" s="865" t="str">
        <f>'Revenues 9-14'!A52</f>
        <v>CTE - Transp Fees from Other Districts (In State)</v>
      </c>
      <c r="E23" s="857"/>
      <c r="F23" s="1927">
        <f>'Revenues 9-14'!F52</f>
        <v>0</v>
      </c>
      <c r="G23" s="854"/>
    </row>
    <row r="24" spans="1:7" x14ac:dyDescent="0.2">
      <c r="A24" s="858" t="s">
        <v>481</v>
      </c>
      <c r="B24" s="859" t="s">
        <v>1074</v>
      </c>
      <c r="C24" s="864">
        <f>'Revenues 9-14'!B56</f>
        <v>1442</v>
      </c>
      <c r="D24" s="865" t="str">
        <f>'Revenues 9-14'!A56</f>
        <v>Special Ed - Transp Fees from Other Districts (In State)</v>
      </c>
      <c r="E24" s="857"/>
      <c r="F24" s="1927">
        <f>'Revenues 9-14'!F56</f>
        <v>34401</v>
      </c>
      <c r="G24" s="854"/>
    </row>
    <row r="25" spans="1:7" x14ac:dyDescent="0.2">
      <c r="A25" s="858" t="s">
        <v>481</v>
      </c>
      <c r="B25" s="859" t="s">
        <v>1075</v>
      </c>
      <c r="C25" s="864">
        <f>'Revenues 9-14'!B59</f>
        <v>1451</v>
      </c>
      <c r="D25" s="865" t="str">
        <f>'Revenues 9-14'!A59</f>
        <v>Adult - Transp Fees from Pupils or Parents (In State)</v>
      </c>
      <c r="E25" s="857"/>
      <c r="F25" s="1927">
        <f>'Revenues 9-14'!F59</f>
        <v>0</v>
      </c>
      <c r="G25" s="854"/>
    </row>
    <row r="26" spans="1:7" x14ac:dyDescent="0.2">
      <c r="A26" s="858" t="s">
        <v>481</v>
      </c>
      <c r="B26" s="859" t="s">
        <v>1076</v>
      </c>
      <c r="C26" s="864">
        <f>'Revenues 9-14'!B60</f>
        <v>1452</v>
      </c>
      <c r="D26" s="865" t="str">
        <f>'Revenues 9-14'!A60</f>
        <v>Adult - Transp Fees from Other Districts (In State)</v>
      </c>
      <c r="E26" s="857"/>
      <c r="F26" s="1927">
        <f>'Revenues 9-14'!F60</f>
        <v>0</v>
      </c>
      <c r="G26" s="854"/>
    </row>
    <row r="27" spans="1:7" x14ac:dyDescent="0.2">
      <c r="A27" s="858" t="s">
        <v>481</v>
      </c>
      <c r="B27" s="859" t="s">
        <v>1077</v>
      </c>
      <c r="C27" s="864">
        <f>'Revenues 9-14'!B61</f>
        <v>1453</v>
      </c>
      <c r="D27" s="865" t="str">
        <f>'Revenues 9-14'!A61</f>
        <v>Adult - Transp Fees from Other Sources (In State)</v>
      </c>
      <c r="E27" s="857"/>
      <c r="F27" s="1927">
        <f>'Revenues 9-14'!F61</f>
        <v>0</v>
      </c>
      <c r="G27" s="854"/>
    </row>
    <row r="28" spans="1:7" x14ac:dyDescent="0.2">
      <c r="A28" s="858" t="s">
        <v>481</v>
      </c>
      <c r="B28" s="859" t="s">
        <v>1078</v>
      </c>
      <c r="C28" s="864">
        <f>'Revenues 9-14'!B62</f>
        <v>1454</v>
      </c>
      <c r="D28" s="865" t="str">
        <f>'Revenues 9-14'!A62</f>
        <v>Adult - Transp Fees from Other Sources (Out of State)</v>
      </c>
      <c r="E28" s="857"/>
      <c r="F28" s="1927">
        <f>'Revenues 9-14'!F62</f>
        <v>0</v>
      </c>
      <c r="G28" s="854"/>
    </row>
    <row r="29" spans="1:7" x14ac:dyDescent="0.2">
      <c r="A29" s="858" t="s">
        <v>1159</v>
      </c>
      <c r="B29" s="859" t="s">
        <v>1683</v>
      </c>
      <c r="C29" s="869">
        <f>'Revenues 9-14'!B148</f>
        <v>3410</v>
      </c>
      <c r="D29" s="870" t="str">
        <f>'Revenues 9-14'!A148</f>
        <v>Adult Ed (from ICCB)</v>
      </c>
      <c r="E29" s="857"/>
      <c r="F29" s="1927">
        <f>SUM('Revenues 9-14'!D148,F149)</f>
        <v>0</v>
      </c>
      <c r="G29" s="854"/>
    </row>
    <row r="30" spans="1:7" x14ac:dyDescent="0.2">
      <c r="A30" s="858" t="s">
        <v>1159</v>
      </c>
      <c r="B30" s="859" t="s">
        <v>861</v>
      </c>
      <c r="C30" s="869">
        <f>'Revenues 9-14'!B149</f>
        <v>3499</v>
      </c>
      <c r="D30" s="870" t="str">
        <f>'Revenues 9-14'!A149</f>
        <v>Adult Ed - Other (Describe &amp; Itemize)</v>
      </c>
      <c r="E30" s="857"/>
      <c r="F30" s="192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7">
        <f>SUM('Revenues 9-14'!D219,'Revenues 9-14'!F219)</f>
        <v>0</v>
      </c>
      <c r="G32" s="854"/>
    </row>
    <row r="33" spans="1:7" x14ac:dyDescent="0.2">
      <c r="A33" s="858" t="s">
        <v>480</v>
      </c>
      <c r="B33" s="859" t="s">
        <v>801</v>
      </c>
      <c r="C33" s="864">
        <f>'Revenues 9-14'!B229</f>
        <v>4810</v>
      </c>
      <c r="D33" s="872" t="str">
        <f>'Revenues 9-14'!A229</f>
        <v>Federal - Adult Education</v>
      </c>
      <c r="E33" s="857"/>
      <c r="F33" s="1927">
        <f>'Revenues 9-14'!D229</f>
        <v>0</v>
      </c>
      <c r="G33" s="854"/>
    </row>
    <row r="34" spans="1:7" x14ac:dyDescent="0.2">
      <c r="A34" s="858" t="s">
        <v>479</v>
      </c>
      <c r="B34" s="858" t="s">
        <v>1545</v>
      </c>
      <c r="C34" s="875" t="str">
        <f>'Expenditures 15-22'!B7</f>
        <v>1125</v>
      </c>
      <c r="D34" s="876" t="str">
        <f>'Expenditures 15-22'!A7</f>
        <v>Pre-K Programs</v>
      </c>
      <c r="E34" s="857"/>
      <c r="F34" s="1927">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7">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7">
        <f>'Expenditures 15-22'!K20</f>
        <v>0</v>
      </c>
      <c r="G39" s="854"/>
    </row>
    <row r="40" spans="1:7" x14ac:dyDescent="0.2">
      <c r="A40" s="858" t="s">
        <v>479</v>
      </c>
      <c r="B40" s="858" t="s">
        <v>120</v>
      </c>
      <c r="C40" s="875" t="str">
        <f>'Expenditures 15-22'!B21</f>
        <v>1911</v>
      </c>
      <c r="D40" s="877" t="str">
        <f>'Expenditures 15-22'!A21</f>
        <v>Regular K-12 Programs - Private Tuition</v>
      </c>
      <c r="E40" s="857"/>
      <c r="F40" s="1927">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7">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7">
        <f>'Expenditures 15-22'!K26</f>
        <v>0</v>
      </c>
      <c r="G45" s="854"/>
    </row>
    <row r="46" spans="1:7" x14ac:dyDescent="0.2">
      <c r="A46" s="858" t="s">
        <v>479</v>
      </c>
      <c r="B46" s="858" t="s">
        <v>126</v>
      </c>
      <c r="C46" s="875" t="str">
        <f>'Expenditures 15-22'!B27</f>
        <v>1917</v>
      </c>
      <c r="D46" s="877" t="str">
        <f>'Expenditures 15-22'!A27</f>
        <v>CTE Programs - Private Tuition</v>
      </c>
      <c r="E46" s="857"/>
      <c r="F46" s="192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7">
        <f>'Expenditures 15-22'!K29</f>
        <v>0</v>
      </c>
      <c r="G48" s="854"/>
    </row>
    <row r="49" spans="1:7" x14ac:dyDescent="0.2">
      <c r="A49" s="858" t="s">
        <v>479</v>
      </c>
      <c r="B49" s="858" t="s">
        <v>129</v>
      </c>
      <c r="C49" s="875" t="str">
        <f>'Expenditures 15-22'!B30</f>
        <v>1920</v>
      </c>
      <c r="D49" s="877" t="str">
        <f>'Expenditures 15-22'!A30</f>
        <v>Gifted Programs - Private Tuition</v>
      </c>
      <c r="E49" s="857"/>
      <c r="F49" s="1927">
        <f>'Expenditures 15-22'!K30</f>
        <v>0</v>
      </c>
      <c r="G49" s="854"/>
    </row>
    <row r="50" spans="1:7" x14ac:dyDescent="0.2">
      <c r="A50" s="858" t="s">
        <v>479</v>
      </c>
      <c r="B50" s="858" t="s">
        <v>130</v>
      </c>
      <c r="C50" s="875" t="str">
        <f>'Expenditures 15-22'!B31</f>
        <v>1921</v>
      </c>
      <c r="D50" s="877" t="str">
        <f>'Expenditures 15-22'!A31</f>
        <v>Bilingual Programs - Private Tuition</v>
      </c>
      <c r="E50" s="857"/>
      <c r="F50" s="192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7">
        <f>'Expenditures 15-22'!K32</f>
        <v>0</v>
      </c>
      <c r="G51" s="854"/>
    </row>
    <row r="52" spans="1:7" x14ac:dyDescent="0.2">
      <c r="A52" s="858" t="s">
        <v>479</v>
      </c>
      <c r="B52" s="858" t="s">
        <v>1550</v>
      </c>
      <c r="C52" s="878" t="str">
        <f>'Expenditures 15-22'!B75</f>
        <v>3000</v>
      </c>
      <c r="D52" s="877" t="s">
        <v>469</v>
      </c>
      <c r="E52" s="857"/>
      <c r="F52" s="1927">
        <f>'Expenditures 15-22'!K75-SUM('Expenditures 15-22'!G75,'Expenditures 15-22'!I75)</f>
        <v>3611</v>
      </c>
      <c r="G52" s="854"/>
    </row>
    <row r="53" spans="1:7" x14ac:dyDescent="0.2">
      <c r="A53" s="858" t="s">
        <v>479</v>
      </c>
      <c r="B53" s="858" t="s">
        <v>1551</v>
      </c>
      <c r="C53" s="878">
        <f>'Expenditures 15-22'!B102</f>
        <v>4000</v>
      </c>
      <c r="D53" s="877" t="str">
        <f>'Expenditures 15-22'!A102</f>
        <v>Total Payments to Other Govt Units</v>
      </c>
      <c r="E53" s="857"/>
      <c r="F53" s="1927">
        <f>'Expenditures 15-22'!K102</f>
        <v>793456</v>
      </c>
      <c r="G53" s="854"/>
    </row>
    <row r="54" spans="1:7" x14ac:dyDescent="0.2">
      <c r="A54" s="858" t="s">
        <v>479</v>
      </c>
      <c r="B54" s="858" t="s">
        <v>1552</v>
      </c>
      <c r="C54" s="878" t="s">
        <v>1039</v>
      </c>
      <c r="D54" s="874" t="s">
        <v>1157</v>
      </c>
      <c r="E54" s="857"/>
      <c r="F54" s="1927">
        <f>'Expenditures 15-22'!G114</f>
        <v>144803</v>
      </c>
      <c r="G54" s="854"/>
    </row>
    <row r="55" spans="1:7" x14ac:dyDescent="0.2">
      <c r="A55" s="858" t="s">
        <v>479</v>
      </c>
      <c r="B55" s="858" t="s">
        <v>1553</v>
      </c>
      <c r="C55" s="878" t="s">
        <v>1039</v>
      </c>
      <c r="D55" s="874" t="s">
        <v>309</v>
      </c>
      <c r="E55" s="857"/>
      <c r="F55" s="1927">
        <f>'Expenditures 15-22'!I114</f>
        <v>0</v>
      </c>
      <c r="G55" s="854"/>
    </row>
    <row r="56" spans="1:7" x14ac:dyDescent="0.2">
      <c r="A56" s="858" t="s">
        <v>480</v>
      </c>
      <c r="B56" s="858" t="s">
        <v>1554</v>
      </c>
      <c r="C56" s="875" t="str">
        <f>'Expenditures 15-22'!B130</f>
        <v>3000</v>
      </c>
      <c r="D56" s="881" t="s">
        <v>469</v>
      </c>
      <c r="E56" s="857"/>
      <c r="F56" s="1927">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7">
        <f>'Expenditures 15-22'!K139</f>
        <v>0</v>
      </c>
      <c r="G57" s="854"/>
    </row>
    <row r="58" spans="1:7" x14ac:dyDescent="0.2">
      <c r="A58" s="858" t="s">
        <v>480</v>
      </c>
      <c r="B58" s="858" t="s">
        <v>1995</v>
      </c>
      <c r="C58" s="875" t="s">
        <v>1039</v>
      </c>
      <c r="D58" s="874" t="s">
        <v>1157</v>
      </c>
      <c r="E58" s="857"/>
      <c r="F58" s="1929">
        <f>'Expenditures 15-22'!G151</f>
        <v>36000</v>
      </c>
      <c r="G58" s="854"/>
    </row>
    <row r="59" spans="1:7" x14ac:dyDescent="0.2">
      <c r="A59" s="882" t="s">
        <v>480</v>
      </c>
      <c r="B59" s="845" t="s">
        <v>1996</v>
      </c>
      <c r="C59" s="883" t="s">
        <v>1039</v>
      </c>
      <c r="D59" s="845" t="s">
        <v>309</v>
      </c>
      <c r="F59" s="1930">
        <f>'Expenditures 15-22'!I151</f>
        <v>0</v>
      </c>
      <c r="G59" s="854"/>
    </row>
    <row r="60" spans="1:7" x14ac:dyDescent="0.2">
      <c r="A60" s="882" t="s">
        <v>520</v>
      </c>
      <c r="B60" s="845" t="s">
        <v>1997</v>
      </c>
      <c r="C60" s="883">
        <v>4000</v>
      </c>
      <c r="D60" s="845" t="s">
        <v>330</v>
      </c>
      <c r="F60" s="1928">
        <f>'Expenditures 15-22'!K160</f>
        <v>0</v>
      </c>
      <c r="G60" s="854"/>
    </row>
    <row r="61" spans="1:7" x14ac:dyDescent="0.2">
      <c r="A61" s="884" t="s">
        <v>520</v>
      </c>
      <c r="B61" s="884" t="s">
        <v>1998</v>
      </c>
      <c r="C61" s="885" t="str">
        <f>'Expenditures 15-22'!B170</f>
        <v>5300</v>
      </c>
      <c r="D61" s="886" t="s">
        <v>329</v>
      </c>
      <c r="E61" s="868"/>
      <c r="F61" s="1927">
        <f>'Expenditures 15-22'!K170</f>
        <v>670000</v>
      </c>
      <c r="G61" s="854"/>
    </row>
    <row r="62" spans="1:7" x14ac:dyDescent="0.2">
      <c r="A62" s="858" t="s">
        <v>481</v>
      </c>
      <c r="B62" s="858" t="s">
        <v>1999</v>
      </c>
      <c r="C62" s="875">
        <f>'Expenditures 15-22'!B185</f>
        <v>3000</v>
      </c>
      <c r="D62" s="865" t="s">
        <v>469</v>
      </c>
      <c r="E62" s="857"/>
      <c r="F62" s="1927">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7">
        <f>'Expenditures 15-22'!K196</f>
        <v>0</v>
      </c>
      <c r="G63" s="854"/>
    </row>
    <row r="64" spans="1:7" x14ac:dyDescent="0.2">
      <c r="A64" s="884" t="s">
        <v>481</v>
      </c>
      <c r="B64" s="884" t="s">
        <v>2001</v>
      </c>
      <c r="C64" s="885" t="str">
        <f>'Expenditures 15-22'!B206</f>
        <v>5300</v>
      </c>
      <c r="D64" s="881" t="s">
        <v>329</v>
      </c>
      <c r="E64" s="857"/>
      <c r="F64" s="1927">
        <f>'Expenditures 15-22'!K206</f>
        <v>0</v>
      </c>
      <c r="G64" s="854"/>
    </row>
    <row r="65" spans="1:8" x14ac:dyDescent="0.2">
      <c r="A65" s="858" t="s">
        <v>481</v>
      </c>
      <c r="B65" s="858" t="s">
        <v>2002</v>
      </c>
      <c r="C65" s="875" t="s">
        <v>1039</v>
      </c>
      <c r="D65" s="874" t="s">
        <v>1157</v>
      </c>
      <c r="E65" s="857"/>
      <c r="F65" s="1927">
        <f>'Expenditures 15-22'!G210</f>
        <v>0</v>
      </c>
      <c r="G65" s="854"/>
    </row>
    <row r="66" spans="1:8" x14ac:dyDescent="0.2">
      <c r="A66" s="858" t="s">
        <v>481</v>
      </c>
      <c r="B66" s="858" t="s">
        <v>2003</v>
      </c>
      <c r="C66" s="875" t="s">
        <v>1039</v>
      </c>
      <c r="D66" s="874" t="s">
        <v>309</v>
      </c>
      <c r="E66" s="857"/>
      <c r="F66" s="1927">
        <f>'Expenditures 15-22'!I210</f>
        <v>0</v>
      </c>
      <c r="G66" s="854"/>
    </row>
    <row r="67" spans="1:8" x14ac:dyDescent="0.2">
      <c r="A67" s="858" t="s">
        <v>482</v>
      </c>
      <c r="B67" s="858" t="s">
        <v>2004</v>
      </c>
      <c r="C67" s="875" t="str">
        <f>'Expenditures 15-22'!B216</f>
        <v>1125</v>
      </c>
      <c r="D67" s="881" t="str">
        <f>'Expenditures 15-22'!A216</f>
        <v>Pre-K Programs</v>
      </c>
      <c r="E67" s="857"/>
      <c r="F67" s="1927">
        <f>'Expenditures 15-22'!K216</f>
        <v>0</v>
      </c>
      <c r="G67" s="854"/>
    </row>
    <row r="68" spans="1:8" x14ac:dyDescent="0.2">
      <c r="A68" s="858" t="s">
        <v>482</v>
      </c>
      <c r="B68" s="858" t="s">
        <v>1555</v>
      </c>
      <c r="C68" s="875" t="str">
        <f>'Expenditures 15-22'!B218</f>
        <v>1225</v>
      </c>
      <c r="D68" s="881" t="str">
        <f>'Expenditures 15-22'!A218</f>
        <v>Special Education Programs - Pre-K</v>
      </c>
      <c r="E68" s="857"/>
      <c r="F68" s="1927">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7">
        <f>'Expenditures 15-22'!K220</f>
        <v>0</v>
      </c>
      <c r="G69" s="854"/>
    </row>
    <row r="70" spans="1:8" x14ac:dyDescent="0.2">
      <c r="A70" s="858" t="s">
        <v>482</v>
      </c>
      <c r="B70" s="858" t="s">
        <v>2006</v>
      </c>
      <c r="C70" s="875">
        <f>'Expenditures 15-22'!B221</f>
        <v>1300</v>
      </c>
      <c r="D70" s="876" t="str">
        <f>'Expenditures 15-22'!A221</f>
        <v>Adult/Continuing Education Programs</v>
      </c>
      <c r="E70" s="857"/>
      <c r="F70" s="1927">
        <f>'Expenditures 15-22'!K221</f>
        <v>0</v>
      </c>
      <c r="G70" s="854"/>
    </row>
    <row r="71" spans="1:8" x14ac:dyDescent="0.2">
      <c r="A71" s="858" t="s">
        <v>482</v>
      </c>
      <c r="B71" s="858" t="s">
        <v>2007</v>
      </c>
      <c r="C71" s="875">
        <f>'Expenditures 15-22'!B224</f>
        <v>1600</v>
      </c>
      <c r="D71" s="876" t="str">
        <f>'Expenditures 15-22'!A224</f>
        <v>Summer School Programs</v>
      </c>
      <c r="E71" s="857"/>
      <c r="F71" s="1927">
        <f>'Expenditures 15-22'!K224</f>
        <v>0</v>
      </c>
      <c r="G71" s="854"/>
    </row>
    <row r="72" spans="1:8" x14ac:dyDescent="0.2">
      <c r="A72" s="858" t="s">
        <v>482</v>
      </c>
      <c r="B72" s="858" t="s">
        <v>2008</v>
      </c>
      <c r="C72" s="875">
        <f>'Expenditures 15-22'!B280</f>
        <v>3000</v>
      </c>
      <c r="D72" s="865" t="s">
        <v>469</v>
      </c>
      <c r="E72" s="857"/>
      <c r="F72" s="1927">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7">
        <f>'Expenditures 15-22'!K285</f>
        <v>0</v>
      </c>
      <c r="G73" s="854"/>
    </row>
    <row r="74" spans="1:8" x14ac:dyDescent="0.2">
      <c r="A74" s="858" t="s">
        <v>456</v>
      </c>
      <c r="B74" s="858" t="s">
        <v>2010</v>
      </c>
      <c r="C74" s="875" t="s">
        <v>915</v>
      </c>
      <c r="D74" s="876" t="s">
        <v>1567</v>
      </c>
      <c r="E74" s="857"/>
      <c r="F74" s="1931">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2011</v>
      </c>
      <c r="E76" s="1784" t="s">
        <v>1015</v>
      </c>
      <c r="F76" s="1788">
        <f>SUM(F18:F74)</f>
        <v>1682377</v>
      </c>
      <c r="G76" s="854"/>
    </row>
    <row r="77" spans="1:8" s="882" customFormat="1" ht="12" customHeight="1" thickTop="1" thickBot="1" x14ac:dyDescent="0.25">
      <c r="A77" s="1789"/>
      <c r="B77" s="1786"/>
      <c r="C77" s="1782"/>
      <c r="D77" s="1787" t="s">
        <v>2012</v>
      </c>
      <c r="E77" s="1784"/>
      <c r="F77" s="1790">
        <f>(F14-F76)</f>
        <v>9424833</v>
      </c>
      <c r="G77" s="858"/>
    </row>
    <row r="78" spans="1:8" s="882" customFormat="1" ht="12" customHeight="1" thickTop="1" x14ac:dyDescent="0.2">
      <c r="A78" s="1791"/>
      <c r="B78" s="1786"/>
      <c r="C78" s="1782"/>
      <c r="D78" s="1787" t="s">
        <v>2059</v>
      </c>
      <c r="E78" s="1784"/>
      <c r="F78" s="887">
        <v>423.86</v>
      </c>
      <c r="G78" s="888"/>
      <c r="H78" s="858"/>
    </row>
    <row r="79" spans="1:8" s="882" customFormat="1" ht="12" customHeight="1" thickBot="1" x14ac:dyDescent="0.25">
      <c r="A79" s="1792"/>
      <c r="B79" s="1786"/>
      <c r="C79" s="1782"/>
      <c r="D79" s="1787" t="s">
        <v>2013</v>
      </c>
      <c r="E79" s="1784" t="s">
        <v>1015</v>
      </c>
      <c r="F79" s="1793">
        <f>IF(F78&gt;0,F77/F78," Complete Line 78")</f>
        <v>22235.721700561506</v>
      </c>
      <c r="G79" s="858"/>
    </row>
    <row r="80" spans="1:8" s="882" customFormat="1" ht="8.25" customHeight="1" thickTop="1" x14ac:dyDescent="0.2">
      <c r="A80" s="889"/>
      <c r="B80" s="858"/>
      <c r="C80" s="860"/>
      <c r="D80" s="890"/>
      <c r="E80" s="857"/>
      <c r="F80" s="891"/>
      <c r="G80" s="858"/>
    </row>
    <row r="81" spans="1:7" s="882" customFormat="1" ht="12" thickBot="1" x14ac:dyDescent="0.25">
      <c r="A81" s="2265" t="s">
        <v>1167</v>
      </c>
      <c r="B81" s="2266"/>
      <c r="C81" s="2266"/>
      <c r="D81" s="2266"/>
      <c r="E81" s="2266"/>
      <c r="F81" s="2267"/>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1">
        <f>'Revenues 9-14'!F42</f>
        <v>0</v>
      </c>
      <c r="G84" s="901"/>
    </row>
    <row r="85" spans="1:7" x14ac:dyDescent="0.2">
      <c r="A85" s="897" t="s">
        <v>481</v>
      </c>
      <c r="B85" s="897" t="s">
        <v>192</v>
      </c>
      <c r="C85" s="902">
        <f>'Revenues 9-14'!B44</f>
        <v>1413</v>
      </c>
      <c r="D85" s="900" t="str">
        <f>'Revenues 9-14'!A44</f>
        <v>Regular - Transp Fees from Other Sources (In State)</v>
      </c>
      <c r="E85" s="895"/>
      <c r="F85" s="1799">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752</v>
      </c>
      <c r="G94" s="901"/>
    </row>
    <row r="95" spans="1:7" x14ac:dyDescent="0.2">
      <c r="A95" s="897" t="s">
        <v>142</v>
      </c>
      <c r="B95" s="897" t="s">
        <v>177</v>
      </c>
      <c r="C95" s="899">
        <v>1700</v>
      </c>
      <c r="D95" s="907" t="str">
        <f>'Revenues 9-14'!A82</f>
        <v>Total District/School Activity Income</v>
      </c>
      <c r="E95" s="895"/>
      <c r="F95" s="1799">
        <f>SUM('Revenues 9-14'!C82,'Revenues 9-14'!D82)</f>
        <v>3437</v>
      </c>
      <c r="G95" s="901"/>
    </row>
    <row r="96" spans="1:7" x14ac:dyDescent="0.2">
      <c r="A96" s="897" t="s">
        <v>479</v>
      </c>
      <c r="B96" s="897" t="s">
        <v>178</v>
      </c>
      <c r="C96" s="899">
        <f>'Revenues 9-14'!B84</f>
        <v>1811</v>
      </c>
      <c r="D96" s="900" t="str">
        <f>'Revenues 9-14'!A84</f>
        <v>Rentals - Regular Textbooks</v>
      </c>
      <c r="E96" s="895"/>
      <c r="F96" s="1799">
        <f>'Revenues 9-14'!C84</f>
        <v>0</v>
      </c>
      <c r="G96" s="901"/>
    </row>
    <row r="97" spans="1:7" x14ac:dyDescent="0.2">
      <c r="A97" s="897" t="s">
        <v>479</v>
      </c>
      <c r="B97" s="897" t="s">
        <v>179</v>
      </c>
      <c r="C97" s="899">
        <f>'Revenues 9-14'!B87</f>
        <v>1819</v>
      </c>
      <c r="D97" s="900" t="str">
        <f>'Revenues 9-14'!A87</f>
        <v>Rentals - Other (Describe &amp; Itemize)</v>
      </c>
      <c r="E97" s="895"/>
      <c r="F97" s="1799">
        <f>'Revenues 9-14'!C87</f>
        <v>0</v>
      </c>
      <c r="G97" s="901"/>
    </row>
    <row r="98" spans="1:7" x14ac:dyDescent="0.2">
      <c r="A98" s="897" t="s">
        <v>479</v>
      </c>
      <c r="B98" s="897" t="s">
        <v>180</v>
      </c>
      <c r="C98" s="899">
        <f>'Revenues 9-14'!B88</f>
        <v>1821</v>
      </c>
      <c r="D98" s="900" t="str">
        <f>'Revenues 9-14'!A88</f>
        <v>Sales - Regular Textbooks</v>
      </c>
      <c r="E98" s="895"/>
      <c r="F98" s="1799">
        <f>'Revenues 9-14'!C88</f>
        <v>195</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0</v>
      </c>
      <c r="G100" s="901"/>
    </row>
    <row r="101" spans="1:7" x14ac:dyDescent="0.2">
      <c r="A101" s="897" t="s">
        <v>142</v>
      </c>
      <c r="B101" s="897" t="s">
        <v>183</v>
      </c>
      <c r="C101" s="899">
        <f>'Revenues 9-14'!B95</f>
        <v>1910</v>
      </c>
      <c r="D101" s="900" t="str">
        <f>'Revenues 9-14'!A95</f>
        <v>Rentals</v>
      </c>
      <c r="E101" s="895"/>
      <c r="F101" s="1799">
        <f>SUM('Revenues 9-14'!C95:D95)</f>
        <v>0</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9">
        <f>('Revenues 9-14'!C106)</f>
        <v>0</v>
      </c>
      <c r="G104" s="901"/>
    </row>
    <row r="105" spans="1:7" x14ac:dyDescent="0.2">
      <c r="A105" s="897" t="s">
        <v>524</v>
      </c>
      <c r="B105" s="897" t="s">
        <v>842</v>
      </c>
      <c r="C105" s="902">
        <v>3100</v>
      </c>
      <c r="D105" s="908" t="str">
        <f>'Revenues 9-14'!A131</f>
        <v>Total Special Education</v>
      </c>
      <c r="E105" s="895"/>
      <c r="F105" s="1799">
        <f>SUM('Revenues 9-14'!C131:D131,'Revenues 9-14'!F131)</f>
        <v>53880</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0</v>
      </c>
      <c r="G106" s="901"/>
    </row>
    <row r="107" spans="1:7" x14ac:dyDescent="0.2">
      <c r="A107" s="910" t="s">
        <v>685</v>
      </c>
      <c r="B107" s="897" t="s">
        <v>843</v>
      </c>
      <c r="C107" s="909">
        <v>3300</v>
      </c>
      <c r="D107" s="900" t="str">
        <f>'Revenues 9-14'!A144</f>
        <v>Total Bilingual Ed</v>
      </c>
      <c r="E107" s="895"/>
      <c r="F107" s="1799">
        <f>SUM('Revenues 9-14'!C144,'Revenues 9-14'!G144)</f>
        <v>22702</v>
      </c>
      <c r="G107" s="901"/>
    </row>
    <row r="108" spans="1:7" x14ac:dyDescent="0.2">
      <c r="A108" s="897" t="s">
        <v>479</v>
      </c>
      <c r="B108" s="897" t="s">
        <v>844</v>
      </c>
      <c r="C108" s="909">
        <f>'Revenues 9-14'!B145</f>
        <v>3360</v>
      </c>
      <c r="D108" s="900" t="str">
        <f>'Revenues 9-14'!A145</f>
        <v>State Free Lunch &amp; Breakfast</v>
      </c>
      <c r="E108" s="895"/>
      <c r="F108" s="1799">
        <f>'Revenues 9-14'!C145</f>
        <v>5059</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0</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470445</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2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1">
        <f>SUM('Revenues 9-14'!C166:G166)</f>
        <v>0</v>
      </c>
      <c r="G122" s="901"/>
    </row>
    <row r="123" spans="1:7" x14ac:dyDescent="0.2">
      <c r="A123" s="912" t="s">
        <v>525</v>
      </c>
      <c r="B123" s="912" t="s">
        <v>853</v>
      </c>
      <c r="C123" s="913">
        <f>'Revenues 9-14'!B167</f>
        <v>3815</v>
      </c>
      <c r="D123" s="914" t="str">
        <f>'Revenues 9-14'!A167</f>
        <v>State Charter Schools</v>
      </c>
      <c r="E123" s="895"/>
      <c r="F123" s="192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59223</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0</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319495</v>
      </c>
      <c r="G129" s="919"/>
    </row>
    <row r="130" spans="1:7" x14ac:dyDescent="0.2">
      <c r="A130" s="916" t="s">
        <v>689</v>
      </c>
      <c r="B130" s="916" t="s">
        <v>804</v>
      </c>
      <c r="C130" s="921">
        <v>4300</v>
      </c>
      <c r="D130" s="922" t="str">
        <f>'Revenues 9-14'!A211</f>
        <v>Total Title I</v>
      </c>
      <c r="E130" s="895"/>
      <c r="F130" s="1799">
        <f>SUM('Revenues 9-14'!C211,'Revenues 9-14'!D211,'Revenues 9-14'!F211,'Revenues 9-14'!G211)</f>
        <v>218279</v>
      </c>
      <c r="G130" s="919"/>
    </row>
    <row r="131" spans="1:7" x14ac:dyDescent="0.2">
      <c r="A131" s="916" t="s">
        <v>689</v>
      </c>
      <c r="B131" s="916" t="s">
        <v>805</v>
      </c>
      <c r="C131" s="921">
        <v>4400</v>
      </c>
      <c r="D131" s="922" t="str">
        <f>'Revenues 9-14'!A216</f>
        <v>Total Title IV</v>
      </c>
      <c r="E131" s="895"/>
      <c r="F131" s="1799">
        <f>SUM('Revenues 9-14'!C216,'Revenues 9-14'!D216,'Revenues 9-14'!F216,'Revenues 9-14'!G216)</f>
        <v>10000</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79310</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59</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2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0</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1">
        <f>SUM('Revenues 9-14'!C268,'Revenues 9-14'!D268,'Revenues 9-14'!F268,'Revenues 9-14'!G268)</f>
        <v>26808</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18597</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0</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0</v>
      </c>
      <c r="G174" s="916"/>
    </row>
    <row r="175" spans="1:7" x14ac:dyDescent="0.2">
      <c r="A175" s="1932" t="s">
        <v>5</v>
      </c>
      <c r="B175" s="1933" t="s">
        <v>2058</v>
      </c>
      <c r="C175" s="1934">
        <v>3100</v>
      </c>
      <c r="D175" s="1935" t="s">
        <v>2061</v>
      </c>
      <c r="E175" s="895"/>
      <c r="F175" s="1919"/>
      <c r="G175" s="916"/>
    </row>
    <row r="176" spans="1:7" x14ac:dyDescent="0.2">
      <c r="A176" s="1932" t="s">
        <v>685</v>
      </c>
      <c r="B176" s="1933" t="s">
        <v>2058</v>
      </c>
      <c r="C176" s="1934">
        <v>3300</v>
      </c>
      <c r="D176" s="1935" t="s">
        <v>2062</v>
      </c>
      <c r="E176" s="895"/>
      <c r="F176" s="1919"/>
      <c r="G176" s="916"/>
    </row>
    <row r="177" spans="1:7" ht="6" customHeight="1" x14ac:dyDescent="0.2">
      <c r="A177" s="916"/>
      <c r="B177" s="916"/>
      <c r="C177" s="938"/>
      <c r="D177" s="916"/>
      <c r="E177" s="895"/>
      <c r="F177" s="939"/>
      <c r="G177" s="936"/>
    </row>
    <row r="178" spans="1:7" x14ac:dyDescent="0.2">
      <c r="A178" s="1780"/>
      <c r="B178" s="1794"/>
      <c r="C178" s="1795"/>
      <c r="D178" s="1796" t="s">
        <v>2014</v>
      </c>
      <c r="E178" s="1797" t="s">
        <v>1015</v>
      </c>
      <c r="F178" s="1798">
        <f>SUM(F84:F136,F161:F176)</f>
        <v>1288241</v>
      </c>
    </row>
    <row r="179" spans="1:7" ht="12" customHeight="1" x14ac:dyDescent="0.2">
      <c r="A179" s="1780"/>
      <c r="B179" s="1794"/>
      <c r="C179" s="1795"/>
      <c r="D179" s="1796" t="s">
        <v>2015</v>
      </c>
      <c r="E179" s="1797"/>
      <c r="F179" s="1799">
        <f>'PCTC-OEPP 27-28'!F77-F178</f>
        <v>8136592</v>
      </c>
    </row>
    <row r="180" spans="1:7" ht="12" customHeight="1" x14ac:dyDescent="0.2">
      <c r="A180" s="1780"/>
      <c r="B180" s="1794"/>
      <c r="C180" s="1795"/>
      <c r="D180" s="1796" t="s">
        <v>1924</v>
      </c>
      <c r="E180" s="1797"/>
      <c r="F180" s="1799">
        <f>'Cap Outlay Deprec 26'!I18</f>
        <v>453687</v>
      </c>
    </row>
    <row r="181" spans="1:7" ht="12" customHeight="1" x14ac:dyDescent="0.2">
      <c r="A181" s="1780"/>
      <c r="B181" s="1794"/>
      <c r="C181" s="1795"/>
      <c r="D181" s="1796" t="s">
        <v>2016</v>
      </c>
      <c r="E181" s="1797"/>
      <c r="F181" s="1799">
        <f>F179+F180</f>
        <v>8590279</v>
      </c>
    </row>
    <row r="182" spans="1:7" ht="12" customHeight="1" x14ac:dyDescent="0.2">
      <c r="A182" s="1780"/>
      <c r="B182" s="1800"/>
      <c r="C182" s="1795"/>
      <c r="D182" s="1796" t="str">
        <f>D78</f>
        <v>9 Month ADA from District Average Daily Attendance/Prior General State Aid Inquiry 2017-2018</v>
      </c>
      <c r="E182" s="1797"/>
      <c r="F182" s="1801">
        <f>'PCTC-OEPP 27-28'!F78</f>
        <v>423.86</v>
      </c>
      <c r="G182" s="919"/>
    </row>
    <row r="183" spans="1:7" ht="12" customHeight="1" thickBot="1" x14ac:dyDescent="0.25">
      <c r="A183" s="1780"/>
      <c r="B183" s="1800"/>
      <c r="C183" s="1795"/>
      <c r="D183" s="1796" t="s">
        <v>2017</v>
      </c>
      <c r="E183" s="1797" t="s">
        <v>1626</v>
      </c>
      <c r="F183" s="1802">
        <f>F181/F182</f>
        <v>20266.783843721983</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8"/>
      <c r="D188" s="919"/>
      <c r="E188" s="938"/>
      <c r="F188" s="919"/>
      <c r="G188" s="919"/>
    </row>
    <row r="189" spans="1:7" x14ac:dyDescent="0.2">
      <c r="A189" s="1940" t="s">
        <v>2064</v>
      </c>
      <c r="B189" s="1941"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D87" sqref="D87"/>
      <selection pane="bottomLeft" activeCell="A144" sqref="A144"/>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1940</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279" t="s">
        <v>1925</v>
      </c>
      <c r="B4" s="2280"/>
      <c r="C4" s="2280"/>
      <c r="D4" s="2280"/>
      <c r="E4" s="2280"/>
      <c r="F4" s="2280"/>
      <c r="G4" s="2281"/>
    </row>
    <row r="5" spans="1:7" x14ac:dyDescent="0.25">
      <c r="A5" s="2282"/>
      <c r="B5" s="2283"/>
      <c r="C5" s="2283"/>
      <c r="D5" s="2283"/>
      <c r="E5" s="2283"/>
      <c r="F5" s="2283"/>
      <c r="G5" s="2284"/>
    </row>
    <row r="6" spans="1:7" ht="18.75" x14ac:dyDescent="0.25">
      <c r="A6" s="1544" t="s">
        <v>1926</v>
      </c>
      <c r="B6" s="1545"/>
      <c r="C6" s="1545"/>
      <c r="D6" s="1545"/>
      <c r="E6" s="1545"/>
      <c r="F6" s="1545"/>
      <c r="G6" s="1546"/>
    </row>
    <row r="7" spans="1:7" ht="30.75" customHeight="1" x14ac:dyDescent="0.25">
      <c r="A7" s="2285" t="s">
        <v>2075</v>
      </c>
      <c r="B7" s="2286"/>
      <c r="C7" s="2286"/>
      <c r="D7" s="2286"/>
      <c r="E7" s="2286"/>
      <c r="F7" s="2286"/>
      <c r="G7" s="2287"/>
    </row>
    <row r="8" spans="1:7" ht="15.75" customHeight="1" x14ac:dyDescent="0.25">
      <c r="A8" s="2288" t="s">
        <v>2024</v>
      </c>
      <c r="B8" s="2289"/>
      <c r="C8" s="2289"/>
      <c r="D8" s="2289"/>
      <c r="E8" s="2289"/>
      <c r="F8" s="2289"/>
      <c r="G8" s="2290"/>
    </row>
    <row r="9" spans="1:7" ht="35.25" customHeight="1" x14ac:dyDescent="0.25">
      <c r="A9" s="2285" t="s">
        <v>2023</v>
      </c>
      <c r="B9" s="2286"/>
      <c r="C9" s="2286"/>
      <c r="D9" s="2286"/>
      <c r="E9" s="2286"/>
      <c r="F9" s="2286"/>
      <c r="G9" s="2287"/>
    </row>
    <row r="10" spans="1:7" ht="15" customHeight="1" x14ac:dyDescent="0.25">
      <c r="A10" s="1547" t="s">
        <v>1927</v>
      </c>
      <c r="B10" s="1548"/>
      <c r="C10" s="1548"/>
      <c r="D10" s="1548"/>
      <c r="E10" s="1548"/>
      <c r="F10" s="1548"/>
      <c r="G10" s="1549"/>
    </row>
    <row r="11" spans="1:7" ht="17.25" customHeight="1" x14ac:dyDescent="0.25">
      <c r="A11" s="2285" t="s">
        <v>1941</v>
      </c>
      <c r="B11" s="2286"/>
      <c r="C11" s="2286"/>
      <c r="D11" s="2286"/>
      <c r="E11" s="2286"/>
      <c r="F11" s="2286"/>
      <c r="G11" s="2287"/>
    </row>
    <row r="12" spans="1:7" ht="15" customHeight="1" x14ac:dyDescent="0.25">
      <c r="A12" s="1547" t="s">
        <v>1932</v>
      </c>
      <c r="B12" s="1548"/>
      <c r="C12" s="1548"/>
      <c r="D12" s="1548"/>
      <c r="E12" s="1548"/>
      <c r="F12" s="1548"/>
      <c r="G12" s="1549"/>
    </row>
    <row r="13" spans="1:7" ht="32.25" customHeight="1" x14ac:dyDescent="0.25">
      <c r="A13" s="2276" t="s">
        <v>1933</v>
      </c>
      <c r="B13" s="2277"/>
      <c r="C13" s="2277"/>
      <c r="D13" s="2277"/>
      <c r="E13" s="2277"/>
      <c r="F13" s="2277"/>
      <c r="G13" s="2278"/>
    </row>
    <row r="14" spans="1:7" x14ac:dyDescent="0.25">
      <c r="A14" s="1671" t="s">
        <v>1942</v>
      </c>
      <c r="B14" s="1672"/>
      <c r="C14" s="1672"/>
      <c r="D14" s="1672"/>
      <c r="E14" s="1672"/>
      <c r="F14" s="1672"/>
      <c r="G14" s="1673"/>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7" t="s">
        <v>2103</v>
      </c>
      <c r="B17" s="1945" t="s">
        <v>2102</v>
      </c>
      <c r="C17" s="1946" t="s">
        <v>2101</v>
      </c>
      <c r="D17" s="1855">
        <v>652790</v>
      </c>
      <c r="E17" s="1550">
        <f t="shared" ref="E17:E141" si="1">IF(D17&lt;=25000,D17,IF(D17&gt;25000,25000,0))</f>
        <v>25000</v>
      </c>
      <c r="F17" s="1803">
        <f t="shared" si="0"/>
        <v>0</v>
      </c>
      <c r="G17" s="1804">
        <f>IF(F17=0,0,D17-F17)</f>
        <v>0</v>
      </c>
      <c r="H17" s="1657"/>
    </row>
    <row r="18" spans="1:8" ht="126" hidden="1" customHeight="1" x14ac:dyDescent="0.25">
      <c r="A18" s="1663"/>
      <c r="B18" s="1856"/>
      <c r="C18" s="1666"/>
      <c r="D18" s="1855"/>
      <c r="E18" s="1550">
        <f t="shared" ref="E18:E140" si="2">IF(D18&lt;=25000,D18,IF(D18&gt;25000,25000,0))</f>
        <v>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4">IF(F18=0,0,D18-F18)</f>
        <v>0</v>
      </c>
    </row>
    <row r="19" spans="1:8" hidden="1" x14ac:dyDescent="0.25">
      <c r="A19" s="1663"/>
      <c r="B19" s="1857"/>
      <c r="C19" s="1666"/>
      <c r="D19" s="1855"/>
      <c r="E19" s="1550">
        <f t="shared" si="2"/>
        <v>0</v>
      </c>
      <c r="F19" s="1803">
        <f t="shared" si="3"/>
        <v>0</v>
      </c>
      <c r="G19" s="1804">
        <f t="shared" si="4"/>
        <v>0</v>
      </c>
    </row>
    <row r="20" spans="1:8" hidden="1" x14ac:dyDescent="0.25">
      <c r="A20" s="1663"/>
      <c r="B20" s="1856"/>
      <c r="C20" s="1666"/>
      <c r="D20" s="1855"/>
      <c r="E20" s="1550">
        <f t="shared" si="2"/>
        <v>0</v>
      </c>
      <c r="F20" s="1803">
        <f t="shared" si="3"/>
        <v>0</v>
      </c>
      <c r="G20" s="1804">
        <f t="shared" si="4"/>
        <v>0</v>
      </c>
    </row>
    <row r="21" spans="1:8" hidden="1" x14ac:dyDescent="0.25">
      <c r="A21" s="1663"/>
      <c r="B21" s="1856"/>
      <c r="C21" s="1666"/>
      <c r="D21" s="1855"/>
      <c r="E21" s="1550">
        <f t="shared" si="2"/>
        <v>0</v>
      </c>
      <c r="F21" s="1803">
        <f t="shared" si="3"/>
        <v>0</v>
      </c>
      <c r="G21" s="1804">
        <f t="shared" si="4"/>
        <v>0</v>
      </c>
    </row>
    <row r="22" spans="1:8" hidden="1" x14ac:dyDescent="0.25">
      <c r="A22" s="1663"/>
      <c r="B22" s="1856"/>
      <c r="C22" s="1666"/>
      <c r="D22" s="1855"/>
      <c r="E22" s="1550">
        <f t="shared" si="2"/>
        <v>0</v>
      </c>
      <c r="F22" s="1803">
        <f t="shared" si="3"/>
        <v>0</v>
      </c>
      <c r="G22" s="1804">
        <f t="shared" si="4"/>
        <v>0</v>
      </c>
    </row>
    <row r="23" spans="1:8" hidden="1" x14ac:dyDescent="0.25">
      <c r="A23" s="1663"/>
      <c r="B23" s="1856"/>
      <c r="C23" s="1666"/>
      <c r="D23" s="1855"/>
      <c r="E23" s="1550">
        <f t="shared" si="2"/>
        <v>0</v>
      </c>
      <c r="F23" s="1803">
        <f t="shared" si="3"/>
        <v>0</v>
      </c>
      <c r="G23" s="1804">
        <f t="shared" si="4"/>
        <v>0</v>
      </c>
    </row>
    <row r="24" spans="1:8" hidden="1" x14ac:dyDescent="0.25">
      <c r="A24" s="1663"/>
      <c r="B24" s="1857"/>
      <c r="C24" s="1666"/>
      <c r="D24" s="1855"/>
      <c r="E24" s="1550">
        <f t="shared" si="2"/>
        <v>0</v>
      </c>
      <c r="F24" s="1803">
        <f t="shared" si="3"/>
        <v>0</v>
      </c>
      <c r="G24" s="1804">
        <f t="shared" si="4"/>
        <v>0</v>
      </c>
    </row>
    <row r="25" spans="1:8" hidden="1" x14ac:dyDescent="0.25">
      <c r="A25" s="1663"/>
      <c r="B25" s="1856"/>
      <c r="C25" s="1666"/>
      <c r="D25" s="1855"/>
      <c r="E25" s="1550">
        <f t="shared" si="2"/>
        <v>0</v>
      </c>
      <c r="F25" s="1803">
        <f t="shared" si="3"/>
        <v>0</v>
      </c>
      <c r="G25" s="1804">
        <f t="shared" si="4"/>
        <v>0</v>
      </c>
    </row>
    <row r="26" spans="1:8" hidden="1" x14ac:dyDescent="0.25">
      <c r="A26" s="1663"/>
      <c r="B26" s="1857"/>
      <c r="C26" s="1664"/>
      <c r="D26" s="1855"/>
      <c r="E26" s="1550">
        <f t="shared" si="2"/>
        <v>0</v>
      </c>
      <c r="F26" s="1803">
        <f t="shared" si="3"/>
        <v>0</v>
      </c>
      <c r="G26" s="1804">
        <f t="shared" si="4"/>
        <v>0</v>
      </c>
    </row>
    <row r="27" spans="1:8" hidden="1" x14ac:dyDescent="0.25">
      <c r="A27" s="1663"/>
      <c r="B27" s="1857"/>
      <c r="C27" s="1664"/>
      <c r="D27" s="1855"/>
      <c r="E27" s="1550">
        <f t="shared" si="2"/>
        <v>0</v>
      </c>
      <c r="F27" s="1803">
        <f t="shared" si="3"/>
        <v>0</v>
      </c>
      <c r="G27" s="1804">
        <f t="shared" si="4"/>
        <v>0</v>
      </c>
    </row>
    <row r="28" spans="1:8" hidden="1" x14ac:dyDescent="0.25">
      <c r="A28" s="1663"/>
      <c r="B28" s="1857"/>
      <c r="C28" s="1664"/>
      <c r="D28" s="1855"/>
      <c r="E28" s="1550">
        <f t="shared" si="2"/>
        <v>0</v>
      </c>
      <c r="F28" s="1803">
        <f t="shared" si="3"/>
        <v>0</v>
      </c>
      <c r="G28" s="1804">
        <f t="shared" si="4"/>
        <v>0</v>
      </c>
    </row>
    <row r="29" spans="1:8" hidden="1" x14ac:dyDescent="0.25">
      <c r="A29" s="1663"/>
      <c r="B29" s="1857"/>
      <c r="C29" s="1664"/>
      <c r="D29" s="1855"/>
      <c r="E29" s="1550">
        <f t="shared" si="2"/>
        <v>0</v>
      </c>
      <c r="F29" s="1803">
        <f t="shared" si="3"/>
        <v>0</v>
      </c>
      <c r="G29" s="1804">
        <f t="shared" si="4"/>
        <v>0</v>
      </c>
    </row>
    <row r="30" spans="1:8" hidden="1" x14ac:dyDescent="0.25">
      <c r="A30" s="1663"/>
      <c r="B30" s="1857"/>
      <c r="C30" s="1664"/>
      <c r="D30" s="1855"/>
      <c r="E30" s="1550">
        <f t="shared" si="2"/>
        <v>0</v>
      </c>
      <c r="F30" s="1803">
        <f t="shared" si="3"/>
        <v>0</v>
      </c>
      <c r="G30" s="1804">
        <f t="shared" si="4"/>
        <v>0</v>
      </c>
    </row>
    <row r="31" spans="1:8" hidden="1" x14ac:dyDescent="0.25">
      <c r="A31" s="1663"/>
      <c r="B31" s="1857"/>
      <c r="C31" s="1664"/>
      <c r="D31" s="1855"/>
      <c r="E31" s="1550">
        <f t="shared" si="2"/>
        <v>0</v>
      </c>
      <c r="F31" s="1803">
        <f t="shared" si="3"/>
        <v>0</v>
      </c>
      <c r="G31" s="1804">
        <f t="shared" si="4"/>
        <v>0</v>
      </c>
    </row>
    <row r="32" spans="1:8" hidden="1" x14ac:dyDescent="0.25">
      <c r="A32" s="1663"/>
      <c r="B32" s="1857"/>
      <c r="C32" s="1664"/>
      <c r="D32" s="1855"/>
      <c r="E32" s="1550">
        <f t="shared" si="2"/>
        <v>0</v>
      </c>
      <c r="F32" s="1803">
        <f t="shared" si="3"/>
        <v>0</v>
      </c>
      <c r="G32" s="1804">
        <f t="shared" si="4"/>
        <v>0</v>
      </c>
    </row>
    <row r="33" spans="1:7" hidden="1" x14ac:dyDescent="0.25">
      <c r="A33" s="1663"/>
      <c r="B33" s="1857"/>
      <c r="C33" s="1664"/>
      <c r="D33" s="1855"/>
      <c r="E33" s="1550">
        <f t="shared" si="2"/>
        <v>0</v>
      </c>
      <c r="F33" s="1803">
        <f t="shared" si="3"/>
        <v>0</v>
      </c>
      <c r="G33" s="1804">
        <f t="shared" si="4"/>
        <v>0</v>
      </c>
    </row>
    <row r="34" spans="1:7" hidden="1" x14ac:dyDescent="0.25">
      <c r="A34" s="1663"/>
      <c r="B34" s="1857"/>
      <c r="C34" s="1664"/>
      <c r="D34" s="1855"/>
      <c r="E34" s="1550">
        <f t="shared" si="2"/>
        <v>0</v>
      </c>
      <c r="F34" s="1803">
        <f t="shared" si="3"/>
        <v>0</v>
      </c>
      <c r="G34" s="1804">
        <f t="shared" si="4"/>
        <v>0</v>
      </c>
    </row>
    <row r="35" spans="1:7" hidden="1" x14ac:dyDescent="0.25">
      <c r="A35" s="1663"/>
      <c r="B35" s="1857"/>
      <c r="C35" s="1664"/>
      <c r="D35" s="1855"/>
      <c r="E35" s="1550">
        <f t="shared" si="2"/>
        <v>0</v>
      </c>
      <c r="F35" s="1803">
        <f t="shared" si="3"/>
        <v>0</v>
      </c>
      <c r="G35" s="1804">
        <f t="shared" si="4"/>
        <v>0</v>
      </c>
    </row>
    <row r="36" spans="1:7" hidden="1" x14ac:dyDescent="0.25">
      <c r="A36" s="1663"/>
      <c r="B36" s="1857"/>
      <c r="C36" s="1664"/>
      <c r="D36" s="1855"/>
      <c r="E36" s="1550">
        <f t="shared" si="2"/>
        <v>0</v>
      </c>
      <c r="F36" s="1803">
        <f t="shared" si="3"/>
        <v>0</v>
      </c>
      <c r="G36" s="1804">
        <f t="shared" si="4"/>
        <v>0</v>
      </c>
    </row>
    <row r="37" spans="1:7" hidden="1" x14ac:dyDescent="0.25">
      <c r="A37" s="1663"/>
      <c r="B37" s="1857"/>
      <c r="C37" s="1664"/>
      <c r="D37" s="1855"/>
      <c r="E37" s="1550">
        <f t="shared" si="2"/>
        <v>0</v>
      </c>
      <c r="F37" s="1803">
        <f t="shared" si="3"/>
        <v>0</v>
      </c>
      <c r="G37" s="1804">
        <f t="shared" si="4"/>
        <v>0</v>
      </c>
    </row>
    <row r="38" spans="1:7" hidden="1" x14ac:dyDescent="0.25">
      <c r="A38" s="1663"/>
      <c r="B38" s="1677"/>
      <c r="C38" s="1664"/>
      <c r="D38" s="1855"/>
      <c r="E38" s="1550">
        <f t="shared" si="2"/>
        <v>0</v>
      </c>
      <c r="F38" s="1803">
        <f t="shared" si="3"/>
        <v>0</v>
      </c>
      <c r="G38" s="1804">
        <f t="shared" si="4"/>
        <v>0</v>
      </c>
    </row>
    <row r="39" spans="1:7" hidden="1" x14ac:dyDescent="0.25">
      <c r="A39" s="1663"/>
      <c r="B39" s="1677"/>
      <c r="C39" s="1664"/>
      <c r="D39" s="1855"/>
      <c r="E39" s="1550">
        <f t="shared" si="2"/>
        <v>0</v>
      </c>
      <c r="F39" s="1803">
        <f t="shared" si="3"/>
        <v>0</v>
      </c>
      <c r="G39" s="1804">
        <f t="shared" si="4"/>
        <v>0</v>
      </c>
    </row>
    <row r="40" spans="1:7" hidden="1" x14ac:dyDescent="0.25">
      <c r="A40" s="1663"/>
      <c r="B40" s="1677"/>
      <c r="C40" s="1664"/>
      <c r="D40" s="1855"/>
      <c r="E40" s="1550">
        <f t="shared" si="2"/>
        <v>0</v>
      </c>
      <c r="F40" s="1803">
        <f t="shared" si="3"/>
        <v>0</v>
      </c>
      <c r="G40" s="1804">
        <f t="shared" si="4"/>
        <v>0</v>
      </c>
    </row>
    <row r="41" spans="1:7" hidden="1" x14ac:dyDescent="0.25">
      <c r="A41" s="1663"/>
      <c r="B41" s="1677"/>
      <c r="C41" s="1664"/>
      <c r="D41" s="1855"/>
      <c r="E41" s="1550">
        <f t="shared" si="2"/>
        <v>0</v>
      </c>
      <c r="F41" s="1803">
        <f t="shared" si="3"/>
        <v>0</v>
      </c>
      <c r="G41" s="1804">
        <f t="shared" si="4"/>
        <v>0</v>
      </c>
    </row>
    <row r="42" spans="1:7" hidden="1" x14ac:dyDescent="0.25">
      <c r="A42" s="1663"/>
      <c r="B42" s="1677"/>
      <c r="C42" s="1664"/>
      <c r="D42" s="1855"/>
      <c r="E42" s="1550">
        <f t="shared" si="2"/>
        <v>0</v>
      </c>
      <c r="F42" s="1803">
        <f t="shared" si="3"/>
        <v>0</v>
      </c>
      <c r="G42" s="1804">
        <f t="shared" si="4"/>
        <v>0</v>
      </c>
    </row>
    <row r="43" spans="1:7" hidden="1" x14ac:dyDescent="0.25">
      <c r="A43" s="1663"/>
      <c r="B43" s="1677"/>
      <c r="C43" s="1664"/>
      <c r="D43" s="1855"/>
      <c r="E43" s="1550">
        <f t="shared" si="2"/>
        <v>0</v>
      </c>
      <c r="F43" s="1803">
        <f t="shared" si="3"/>
        <v>0</v>
      </c>
      <c r="G43" s="1804">
        <f t="shared" si="4"/>
        <v>0</v>
      </c>
    </row>
    <row r="44" spans="1:7" hidden="1" x14ac:dyDescent="0.25">
      <c r="A44" s="1663"/>
      <c r="B44" s="1677"/>
      <c r="C44" s="1664"/>
      <c r="D44" s="1855"/>
      <c r="E44" s="1550">
        <f t="shared" si="2"/>
        <v>0</v>
      </c>
      <c r="F44" s="1803">
        <f t="shared" si="3"/>
        <v>0</v>
      </c>
      <c r="G44" s="1804">
        <f t="shared" si="4"/>
        <v>0</v>
      </c>
    </row>
    <row r="45" spans="1:7" hidden="1" x14ac:dyDescent="0.25">
      <c r="A45" s="1663"/>
      <c r="B45" s="1677"/>
      <c r="C45" s="1664"/>
      <c r="D45" s="1855"/>
      <c r="E45" s="1550">
        <f t="shared" si="2"/>
        <v>0</v>
      </c>
      <c r="F45" s="1803">
        <f t="shared" si="3"/>
        <v>0</v>
      </c>
      <c r="G45" s="1804">
        <f t="shared" si="4"/>
        <v>0</v>
      </c>
    </row>
    <row r="46" spans="1:7" hidden="1" x14ac:dyDescent="0.25">
      <c r="A46" s="1663"/>
      <c r="B46" s="1677"/>
      <c r="C46" s="1664"/>
      <c r="D46" s="1855"/>
      <c r="E46" s="1550">
        <f t="shared" si="2"/>
        <v>0</v>
      </c>
      <c r="F46" s="1803">
        <f t="shared" si="3"/>
        <v>0</v>
      </c>
      <c r="G46" s="1804">
        <f t="shared" si="4"/>
        <v>0</v>
      </c>
    </row>
    <row r="47" spans="1:7" hidden="1" x14ac:dyDescent="0.25">
      <c r="A47" s="1663"/>
      <c r="B47" s="1677"/>
      <c r="C47" s="1664"/>
      <c r="D47" s="1855"/>
      <c r="E47" s="1550">
        <f t="shared" si="2"/>
        <v>0</v>
      </c>
      <c r="F47" s="1803">
        <f t="shared" si="3"/>
        <v>0</v>
      </c>
      <c r="G47" s="1804">
        <f t="shared" si="4"/>
        <v>0</v>
      </c>
    </row>
    <row r="48" spans="1:7" hidden="1" x14ac:dyDescent="0.25">
      <c r="A48" s="1663"/>
      <c r="B48" s="1677"/>
      <c r="C48" s="1664"/>
      <c r="D48" s="1855"/>
      <c r="E48" s="1550">
        <f t="shared" si="2"/>
        <v>0</v>
      </c>
      <c r="F48" s="1803">
        <f t="shared" si="3"/>
        <v>0</v>
      </c>
      <c r="G48" s="1804">
        <f t="shared" si="4"/>
        <v>0</v>
      </c>
    </row>
    <row r="49" spans="1:7" hidden="1" x14ac:dyDescent="0.25">
      <c r="A49" s="1663"/>
      <c r="B49" s="1677"/>
      <c r="C49" s="1664"/>
      <c r="D49" s="1855"/>
      <c r="E49" s="1550">
        <f t="shared" si="2"/>
        <v>0</v>
      </c>
      <c r="F49" s="1803">
        <f t="shared" si="3"/>
        <v>0</v>
      </c>
      <c r="G49" s="1804">
        <f t="shared" si="4"/>
        <v>0</v>
      </c>
    </row>
    <row r="50" spans="1:7" hidden="1" x14ac:dyDescent="0.25">
      <c r="A50" s="1663"/>
      <c r="B50" s="1677"/>
      <c r="C50" s="1664"/>
      <c r="D50" s="1855"/>
      <c r="E50" s="1550">
        <f t="shared" si="2"/>
        <v>0</v>
      </c>
      <c r="F50" s="1803">
        <f t="shared" si="3"/>
        <v>0</v>
      </c>
      <c r="G50" s="1804">
        <f t="shared" si="4"/>
        <v>0</v>
      </c>
    </row>
    <row r="51" spans="1:7" hidden="1" x14ac:dyDescent="0.25">
      <c r="A51" s="1663"/>
      <c r="B51" s="1677"/>
      <c r="C51" s="1664"/>
      <c r="D51" s="1855"/>
      <c r="E51" s="1550">
        <f t="shared" si="2"/>
        <v>0</v>
      </c>
      <c r="F51" s="1803">
        <f t="shared" si="3"/>
        <v>0</v>
      </c>
      <c r="G51" s="1804">
        <f t="shared" si="4"/>
        <v>0</v>
      </c>
    </row>
    <row r="52" spans="1:7" hidden="1" x14ac:dyDescent="0.25">
      <c r="A52" s="1663"/>
      <c r="B52" s="1677"/>
      <c r="C52" s="1664"/>
      <c r="D52" s="1855"/>
      <c r="E52" s="1550">
        <f t="shared" si="2"/>
        <v>0</v>
      </c>
      <c r="F52" s="1803">
        <f t="shared" si="3"/>
        <v>0</v>
      </c>
      <c r="G52" s="1804">
        <f t="shared" si="4"/>
        <v>0</v>
      </c>
    </row>
    <row r="53" spans="1:7" hidden="1" x14ac:dyDescent="0.25">
      <c r="A53" s="1663"/>
      <c r="B53" s="1677"/>
      <c r="C53" s="1664"/>
      <c r="D53" s="1855"/>
      <c r="E53" s="1550">
        <f t="shared" si="2"/>
        <v>0</v>
      </c>
      <c r="F53" s="1803">
        <f t="shared" si="3"/>
        <v>0</v>
      </c>
      <c r="G53" s="1804">
        <f t="shared" si="4"/>
        <v>0</v>
      </c>
    </row>
    <row r="54" spans="1:7" hidden="1" x14ac:dyDescent="0.25">
      <c r="A54" s="1663"/>
      <c r="B54" s="1677"/>
      <c r="C54" s="1664"/>
      <c r="D54" s="1855"/>
      <c r="E54" s="1550">
        <f t="shared" si="2"/>
        <v>0</v>
      </c>
      <c r="F54" s="1803">
        <f t="shared" si="3"/>
        <v>0</v>
      </c>
      <c r="G54" s="1804">
        <f t="shared" si="4"/>
        <v>0</v>
      </c>
    </row>
    <row r="55" spans="1:7" hidden="1" x14ac:dyDescent="0.25">
      <c r="A55" s="1663"/>
      <c r="B55" s="1677"/>
      <c r="C55" s="1664"/>
      <c r="D55" s="1855"/>
      <c r="E55" s="1550">
        <f t="shared" si="2"/>
        <v>0</v>
      </c>
      <c r="F55" s="1803">
        <f t="shared" si="3"/>
        <v>0</v>
      </c>
      <c r="G55" s="1804">
        <f t="shared" si="4"/>
        <v>0</v>
      </c>
    </row>
    <row r="56" spans="1:7" hidden="1" x14ac:dyDescent="0.25">
      <c r="A56" s="1663"/>
      <c r="B56" s="1677"/>
      <c r="C56" s="1664"/>
      <c r="D56" s="1855"/>
      <c r="E56" s="1550">
        <f t="shared" si="2"/>
        <v>0</v>
      </c>
      <c r="F56" s="1803">
        <f t="shared" si="3"/>
        <v>0</v>
      </c>
      <c r="G56" s="1804">
        <f t="shared" si="4"/>
        <v>0</v>
      </c>
    </row>
    <row r="57" spans="1:7" hidden="1" x14ac:dyDescent="0.25">
      <c r="A57" s="1663"/>
      <c r="B57" s="1677"/>
      <c r="C57" s="1664"/>
      <c r="D57" s="1855"/>
      <c r="E57" s="1550">
        <f t="shared" si="2"/>
        <v>0</v>
      </c>
      <c r="F57" s="1803">
        <f t="shared" si="3"/>
        <v>0</v>
      </c>
      <c r="G57" s="1804">
        <f t="shared" si="4"/>
        <v>0</v>
      </c>
    </row>
    <row r="58" spans="1:7" hidden="1" x14ac:dyDescent="0.25">
      <c r="A58" s="1663"/>
      <c r="B58" s="1677"/>
      <c r="C58" s="1664"/>
      <c r="D58" s="1855"/>
      <c r="E58" s="1550">
        <f t="shared" si="2"/>
        <v>0</v>
      </c>
      <c r="F58" s="1803">
        <f t="shared" si="3"/>
        <v>0</v>
      </c>
      <c r="G58" s="1804">
        <f t="shared" si="4"/>
        <v>0</v>
      </c>
    </row>
    <row r="59" spans="1:7" hidden="1" x14ac:dyDescent="0.25">
      <c r="A59" s="1663"/>
      <c r="B59" s="1677"/>
      <c r="C59" s="1664"/>
      <c r="D59" s="1855"/>
      <c r="E59" s="1550">
        <f t="shared" si="2"/>
        <v>0</v>
      </c>
      <c r="F59" s="1803">
        <f t="shared" si="3"/>
        <v>0</v>
      </c>
      <c r="G59" s="1804">
        <f t="shared" si="4"/>
        <v>0</v>
      </c>
    </row>
    <row r="60" spans="1:7" hidden="1" x14ac:dyDescent="0.25">
      <c r="A60" s="1663"/>
      <c r="B60" s="1677"/>
      <c r="C60" s="1664"/>
      <c r="D60" s="1855"/>
      <c r="E60" s="1550">
        <f t="shared" si="2"/>
        <v>0</v>
      </c>
      <c r="F60" s="1803">
        <f t="shared" si="3"/>
        <v>0</v>
      </c>
      <c r="G60" s="1804">
        <f t="shared" si="4"/>
        <v>0</v>
      </c>
    </row>
    <row r="61" spans="1:7" hidden="1" x14ac:dyDescent="0.25">
      <c r="A61" s="1663"/>
      <c r="B61" s="1677"/>
      <c r="C61" s="1664"/>
      <c r="D61" s="1855"/>
      <c r="E61" s="1550">
        <f t="shared" si="2"/>
        <v>0</v>
      </c>
      <c r="F61" s="1803">
        <f t="shared" si="3"/>
        <v>0</v>
      </c>
      <c r="G61" s="1804">
        <f t="shared" si="4"/>
        <v>0</v>
      </c>
    </row>
    <row r="62" spans="1:7" hidden="1" x14ac:dyDescent="0.25">
      <c r="A62" s="1663"/>
      <c r="B62" s="1677"/>
      <c r="C62" s="1664"/>
      <c r="D62" s="1855"/>
      <c r="E62" s="1550">
        <f t="shared" si="2"/>
        <v>0</v>
      </c>
      <c r="F62" s="1803">
        <f t="shared" si="3"/>
        <v>0</v>
      </c>
      <c r="G62" s="1804">
        <f t="shared" si="4"/>
        <v>0</v>
      </c>
    </row>
    <row r="63" spans="1:7" hidden="1" x14ac:dyDescent="0.25">
      <c r="A63" s="1663"/>
      <c r="B63" s="1677"/>
      <c r="C63" s="1664"/>
      <c r="D63" s="1855"/>
      <c r="E63" s="1550">
        <f t="shared" si="2"/>
        <v>0</v>
      </c>
      <c r="F63" s="1803">
        <f t="shared" si="3"/>
        <v>0</v>
      </c>
      <c r="G63" s="1804">
        <f t="shared" si="4"/>
        <v>0</v>
      </c>
    </row>
    <row r="64" spans="1:7" hidden="1" x14ac:dyDescent="0.25">
      <c r="A64" s="1665"/>
      <c r="B64" s="1677"/>
      <c r="C64" s="1666"/>
      <c r="D64" s="1855"/>
      <c r="E64" s="1550">
        <f t="shared" si="2"/>
        <v>0</v>
      </c>
      <c r="F64" s="1803">
        <f t="shared" si="3"/>
        <v>0</v>
      </c>
      <c r="G64" s="1804">
        <f t="shared" si="4"/>
        <v>0</v>
      </c>
    </row>
    <row r="65" spans="1:7" hidden="1" x14ac:dyDescent="0.25">
      <c r="A65" s="1663"/>
      <c r="B65" s="1677"/>
      <c r="C65" s="1664"/>
      <c r="D65" s="1855"/>
      <c r="E65" s="1550">
        <f t="shared" si="2"/>
        <v>0</v>
      </c>
      <c r="F65" s="1803">
        <f t="shared" si="3"/>
        <v>0</v>
      </c>
      <c r="G65" s="1804">
        <f t="shared" si="4"/>
        <v>0</v>
      </c>
    </row>
    <row r="66" spans="1:7" hidden="1" x14ac:dyDescent="0.25">
      <c r="A66" s="1663"/>
      <c r="B66" s="1677"/>
      <c r="C66" s="1664"/>
      <c r="D66" s="1855"/>
      <c r="E66" s="1550">
        <f t="shared" si="2"/>
        <v>0</v>
      </c>
      <c r="F66" s="1803">
        <f t="shared" si="3"/>
        <v>0</v>
      </c>
      <c r="G66" s="1804">
        <f t="shared" si="4"/>
        <v>0</v>
      </c>
    </row>
    <row r="67" spans="1:7" hidden="1" x14ac:dyDescent="0.25">
      <c r="A67" s="1663"/>
      <c r="B67" s="1677"/>
      <c r="C67" s="1664"/>
      <c r="D67" s="1855"/>
      <c r="E67" s="1550">
        <f t="shared" si="2"/>
        <v>0</v>
      </c>
      <c r="F67" s="1803">
        <f t="shared" si="3"/>
        <v>0</v>
      </c>
      <c r="G67" s="1804">
        <f t="shared" si="4"/>
        <v>0</v>
      </c>
    </row>
    <row r="68" spans="1:7" hidden="1" x14ac:dyDescent="0.25">
      <c r="A68" s="1663"/>
      <c r="B68" s="1677"/>
      <c r="C68" s="1664"/>
      <c r="D68" s="1855"/>
      <c r="E68" s="1550">
        <f t="shared" si="2"/>
        <v>0</v>
      </c>
      <c r="F68" s="1803">
        <f t="shared" si="3"/>
        <v>0</v>
      </c>
      <c r="G68" s="1804">
        <f t="shared" si="4"/>
        <v>0</v>
      </c>
    </row>
    <row r="69" spans="1:7" hidden="1" x14ac:dyDescent="0.25">
      <c r="A69" s="1663"/>
      <c r="B69" s="1677"/>
      <c r="C69" s="1664"/>
      <c r="D69" s="1855"/>
      <c r="E69" s="1550">
        <f t="shared" si="2"/>
        <v>0</v>
      </c>
      <c r="F69" s="1803">
        <f t="shared" si="3"/>
        <v>0</v>
      </c>
      <c r="G69" s="1804">
        <f t="shared" si="4"/>
        <v>0</v>
      </c>
    </row>
    <row r="70" spans="1:7" hidden="1" x14ac:dyDescent="0.25">
      <c r="A70" s="1663"/>
      <c r="B70" s="1677"/>
      <c r="C70" s="1664"/>
      <c r="D70" s="1855"/>
      <c r="E70" s="1550">
        <f t="shared" si="2"/>
        <v>0</v>
      </c>
      <c r="F70" s="1803">
        <f t="shared" si="3"/>
        <v>0</v>
      </c>
      <c r="G70" s="1804">
        <f t="shared" si="4"/>
        <v>0</v>
      </c>
    </row>
    <row r="71" spans="1:7" hidden="1" x14ac:dyDescent="0.25">
      <c r="A71" s="1663"/>
      <c r="B71" s="1677"/>
      <c r="C71" s="1664"/>
      <c r="D71" s="1855"/>
      <c r="E71" s="1550">
        <f t="shared" si="2"/>
        <v>0</v>
      </c>
      <c r="F71" s="1803">
        <f t="shared" si="3"/>
        <v>0</v>
      </c>
      <c r="G71" s="1804">
        <f t="shared" si="4"/>
        <v>0</v>
      </c>
    </row>
    <row r="72" spans="1:7" hidden="1" x14ac:dyDescent="0.25">
      <c r="A72" s="1663"/>
      <c r="B72" s="1677"/>
      <c r="C72" s="1664"/>
      <c r="D72" s="1855"/>
      <c r="E72" s="1550">
        <f t="shared" si="2"/>
        <v>0</v>
      </c>
      <c r="F72" s="1803">
        <f t="shared" si="3"/>
        <v>0</v>
      </c>
      <c r="G72" s="1804">
        <f t="shared" si="4"/>
        <v>0</v>
      </c>
    </row>
    <row r="73" spans="1:7" hidden="1"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hidden="1" x14ac:dyDescent="0.25">
      <c r="A74" s="1663"/>
      <c r="B74" s="1677"/>
      <c r="C74" s="1664"/>
      <c r="D74" s="1855"/>
      <c r="E74" s="1550">
        <f t="shared" si="5"/>
        <v>0</v>
      </c>
      <c r="F74" s="1803">
        <f t="shared" si="6"/>
        <v>0</v>
      </c>
      <c r="G74" s="1804">
        <f t="shared" si="7"/>
        <v>0</v>
      </c>
    </row>
    <row r="75" spans="1:7" hidden="1" x14ac:dyDescent="0.25">
      <c r="A75" s="1663"/>
      <c r="B75" s="1677"/>
      <c r="C75" s="1664"/>
      <c r="D75" s="1855"/>
      <c r="E75" s="1550">
        <f t="shared" si="5"/>
        <v>0</v>
      </c>
      <c r="F75" s="1803">
        <f t="shared" si="6"/>
        <v>0</v>
      </c>
      <c r="G75" s="1804">
        <f t="shared" si="7"/>
        <v>0</v>
      </c>
    </row>
    <row r="76" spans="1:7" hidden="1" x14ac:dyDescent="0.25">
      <c r="A76" s="1663"/>
      <c r="B76" s="1677"/>
      <c r="C76" s="1664"/>
      <c r="D76" s="1855"/>
      <c r="E76" s="1550">
        <f t="shared" si="5"/>
        <v>0</v>
      </c>
      <c r="F76" s="1803">
        <f t="shared" si="6"/>
        <v>0</v>
      </c>
      <c r="G76" s="1804">
        <f t="shared" si="7"/>
        <v>0</v>
      </c>
    </row>
    <row r="77" spans="1:7" hidden="1" x14ac:dyDescent="0.25">
      <c r="A77" s="1663"/>
      <c r="B77" s="1677"/>
      <c r="C77" s="1664"/>
      <c r="D77" s="1855"/>
      <c r="E77" s="1550">
        <f t="shared" si="5"/>
        <v>0</v>
      </c>
      <c r="F77" s="1803">
        <f t="shared" si="6"/>
        <v>0</v>
      </c>
      <c r="G77" s="1804">
        <f t="shared" si="7"/>
        <v>0</v>
      </c>
    </row>
    <row r="78" spans="1:7" hidden="1" x14ac:dyDescent="0.25">
      <c r="A78" s="1663"/>
      <c r="B78" s="1677"/>
      <c r="C78" s="1664"/>
      <c r="D78" s="1855"/>
      <c r="E78" s="1550">
        <f t="shared" si="5"/>
        <v>0</v>
      </c>
      <c r="F78" s="1803">
        <f t="shared" si="6"/>
        <v>0</v>
      </c>
      <c r="G78" s="1804">
        <f t="shared" si="7"/>
        <v>0</v>
      </c>
    </row>
    <row r="79" spans="1:7" hidden="1" x14ac:dyDescent="0.25">
      <c r="A79" s="1663"/>
      <c r="B79" s="1677"/>
      <c r="C79" s="1664"/>
      <c r="D79" s="1855"/>
      <c r="E79" s="1550">
        <f t="shared" si="5"/>
        <v>0</v>
      </c>
      <c r="F79" s="1803">
        <f t="shared" si="6"/>
        <v>0</v>
      </c>
      <c r="G79" s="1804">
        <f t="shared" si="7"/>
        <v>0</v>
      </c>
    </row>
    <row r="80" spans="1:7" hidden="1" x14ac:dyDescent="0.25">
      <c r="A80" s="1663"/>
      <c r="B80" s="1677"/>
      <c r="C80" s="1664"/>
      <c r="D80" s="1855"/>
      <c r="E80" s="1550">
        <f t="shared" si="5"/>
        <v>0</v>
      </c>
      <c r="F80" s="1803">
        <f t="shared" si="6"/>
        <v>0</v>
      </c>
      <c r="G80" s="1804">
        <f t="shared" si="7"/>
        <v>0</v>
      </c>
    </row>
    <row r="81" spans="1:7" hidden="1" x14ac:dyDescent="0.25">
      <c r="A81" s="1663"/>
      <c r="B81" s="1677"/>
      <c r="C81" s="1664"/>
      <c r="D81" s="1855"/>
      <c r="E81" s="1550">
        <f t="shared" si="5"/>
        <v>0</v>
      </c>
      <c r="F81" s="1803">
        <f t="shared" si="6"/>
        <v>0</v>
      </c>
      <c r="G81" s="1804">
        <f t="shared" si="7"/>
        <v>0</v>
      </c>
    </row>
    <row r="82" spans="1:7" hidden="1" x14ac:dyDescent="0.25">
      <c r="A82" s="1663"/>
      <c r="B82" s="1677"/>
      <c r="C82" s="1664"/>
      <c r="D82" s="1855"/>
      <c r="E82" s="1550">
        <f t="shared" si="5"/>
        <v>0</v>
      </c>
      <c r="F82" s="1803">
        <f t="shared" si="6"/>
        <v>0</v>
      </c>
      <c r="G82" s="1804">
        <f t="shared" si="7"/>
        <v>0</v>
      </c>
    </row>
    <row r="83" spans="1:7" hidden="1" x14ac:dyDescent="0.25">
      <c r="A83" s="1663"/>
      <c r="B83" s="1677"/>
      <c r="C83" s="1664"/>
      <c r="D83" s="1855"/>
      <c r="E83" s="1550">
        <f t="shared" si="5"/>
        <v>0</v>
      </c>
      <c r="F83" s="1803">
        <f t="shared" si="6"/>
        <v>0</v>
      </c>
      <c r="G83" s="1804">
        <f t="shared" si="7"/>
        <v>0</v>
      </c>
    </row>
    <row r="84" spans="1:7" hidden="1" x14ac:dyDescent="0.25">
      <c r="A84" s="1663"/>
      <c r="B84" s="1677"/>
      <c r="C84" s="1664"/>
      <c r="D84" s="1855"/>
      <c r="E84" s="1550">
        <f t="shared" si="5"/>
        <v>0</v>
      </c>
      <c r="F84" s="1803">
        <f t="shared" si="6"/>
        <v>0</v>
      </c>
      <c r="G84" s="1804">
        <f t="shared" si="7"/>
        <v>0</v>
      </c>
    </row>
    <row r="85" spans="1:7" hidden="1" x14ac:dyDescent="0.25">
      <c r="A85" s="1663"/>
      <c r="B85" s="1677"/>
      <c r="C85" s="1664"/>
      <c r="D85" s="1855"/>
      <c r="E85" s="1550">
        <f t="shared" si="2"/>
        <v>0</v>
      </c>
      <c r="F85" s="1803">
        <f t="shared" si="3"/>
        <v>0</v>
      </c>
      <c r="G85" s="1804">
        <f t="shared" si="4"/>
        <v>0</v>
      </c>
    </row>
    <row r="86" spans="1:7" hidden="1" x14ac:dyDescent="0.25">
      <c r="A86" s="1663"/>
      <c r="B86" s="1677"/>
      <c r="C86" s="1664"/>
      <c r="D86" s="1855"/>
      <c r="E86" s="1550">
        <f t="shared" si="2"/>
        <v>0</v>
      </c>
      <c r="F86" s="1803">
        <f t="shared" si="3"/>
        <v>0</v>
      </c>
      <c r="G86" s="1804">
        <f t="shared" si="4"/>
        <v>0</v>
      </c>
    </row>
    <row r="87" spans="1:7" hidden="1" x14ac:dyDescent="0.25">
      <c r="A87" s="1663"/>
      <c r="B87" s="1677"/>
      <c r="C87" s="1664"/>
      <c r="D87" s="1855"/>
      <c r="E87" s="1550">
        <f t="shared" si="2"/>
        <v>0</v>
      </c>
      <c r="F87" s="1803">
        <f t="shared" si="3"/>
        <v>0</v>
      </c>
      <c r="G87" s="1804">
        <f t="shared" si="4"/>
        <v>0</v>
      </c>
    </row>
    <row r="88" spans="1:7" hidden="1" x14ac:dyDescent="0.25">
      <c r="A88" s="1663"/>
      <c r="B88" s="1677"/>
      <c r="C88" s="1664"/>
      <c r="D88" s="1855"/>
      <c r="E88" s="1550">
        <f t="shared" si="2"/>
        <v>0</v>
      </c>
      <c r="F88" s="1803">
        <f t="shared" si="3"/>
        <v>0</v>
      </c>
      <c r="G88" s="1804">
        <f t="shared" si="4"/>
        <v>0</v>
      </c>
    </row>
    <row r="89" spans="1:7" hidden="1" x14ac:dyDescent="0.25">
      <c r="A89" s="1663"/>
      <c r="B89" s="1677"/>
      <c r="C89" s="1664"/>
      <c r="D89" s="1855"/>
      <c r="E89" s="1550">
        <f t="shared" si="2"/>
        <v>0</v>
      </c>
      <c r="F89" s="1803">
        <f t="shared" si="3"/>
        <v>0</v>
      </c>
      <c r="G89" s="1804">
        <f t="shared" si="4"/>
        <v>0</v>
      </c>
    </row>
    <row r="90" spans="1:7" hidden="1" x14ac:dyDescent="0.25">
      <c r="A90" s="1663"/>
      <c r="B90" s="1677"/>
      <c r="C90" s="1664"/>
      <c r="D90" s="1855"/>
      <c r="E90" s="1550">
        <f t="shared" si="2"/>
        <v>0</v>
      </c>
      <c r="F90" s="1803">
        <f t="shared" si="3"/>
        <v>0</v>
      </c>
      <c r="G90" s="1804">
        <f t="shared" si="4"/>
        <v>0</v>
      </c>
    </row>
    <row r="91" spans="1:7" hidden="1" x14ac:dyDescent="0.25">
      <c r="A91" s="1663"/>
      <c r="B91" s="1677"/>
      <c r="C91" s="1664"/>
      <c r="D91" s="1855"/>
      <c r="E91" s="1550">
        <f t="shared" si="2"/>
        <v>0</v>
      </c>
      <c r="F91" s="1803">
        <f t="shared" si="3"/>
        <v>0</v>
      </c>
      <c r="G91" s="1804">
        <f t="shared" si="4"/>
        <v>0</v>
      </c>
    </row>
    <row r="92" spans="1:7" hidden="1" x14ac:dyDescent="0.25">
      <c r="A92" s="1663"/>
      <c r="B92" s="1677"/>
      <c r="C92" s="1664"/>
      <c r="D92" s="1855"/>
      <c r="E92" s="1550">
        <f t="shared" si="2"/>
        <v>0</v>
      </c>
      <c r="F92" s="1803">
        <f t="shared" si="3"/>
        <v>0</v>
      </c>
      <c r="G92" s="1804">
        <f t="shared" si="4"/>
        <v>0</v>
      </c>
    </row>
    <row r="93" spans="1:7" hidden="1"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hidden="1" x14ac:dyDescent="0.25">
      <c r="A94" s="1663"/>
      <c r="B94" s="1677"/>
      <c r="C94" s="1664"/>
      <c r="D94" s="1855"/>
      <c r="E94" s="1550">
        <f t="shared" si="2"/>
        <v>0</v>
      </c>
      <c r="F94" s="1803">
        <f t="shared" si="3"/>
        <v>0</v>
      </c>
      <c r="G94" s="1804">
        <f t="shared" si="4"/>
        <v>0</v>
      </c>
    </row>
    <row r="95" spans="1:7" hidden="1"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hidden="1" x14ac:dyDescent="0.25">
      <c r="A96" s="1663"/>
      <c r="B96" s="1677"/>
      <c r="C96" s="1664"/>
      <c r="D96" s="1855"/>
      <c r="E96" s="1550">
        <f t="shared" si="11"/>
        <v>0</v>
      </c>
      <c r="F96" s="1803">
        <f t="shared" si="12"/>
        <v>0</v>
      </c>
      <c r="G96" s="1804">
        <f t="shared" si="13"/>
        <v>0</v>
      </c>
    </row>
    <row r="97" spans="1:7" hidden="1" x14ac:dyDescent="0.25">
      <c r="A97" s="1663"/>
      <c r="B97" s="1677"/>
      <c r="C97" s="1664"/>
      <c r="D97" s="1855"/>
      <c r="E97" s="1550">
        <f t="shared" si="11"/>
        <v>0</v>
      </c>
      <c r="F97" s="1803">
        <f t="shared" si="12"/>
        <v>0</v>
      </c>
      <c r="G97" s="1804">
        <f t="shared" si="13"/>
        <v>0</v>
      </c>
    </row>
    <row r="98" spans="1:7" hidden="1" x14ac:dyDescent="0.25">
      <c r="A98" s="1663"/>
      <c r="B98" s="1677"/>
      <c r="C98" s="1664"/>
      <c r="D98" s="1855"/>
      <c r="E98" s="1550">
        <f t="shared" si="11"/>
        <v>0</v>
      </c>
      <c r="F98" s="1803">
        <f t="shared" si="12"/>
        <v>0</v>
      </c>
      <c r="G98" s="1804">
        <f t="shared" si="13"/>
        <v>0</v>
      </c>
    </row>
    <row r="99" spans="1:7" hidden="1"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hidden="1"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hidden="1" x14ac:dyDescent="0.25">
      <c r="A101" s="1663"/>
      <c r="B101" s="1677"/>
      <c r="C101" s="1664"/>
      <c r="D101" s="1855"/>
      <c r="E101" s="1550">
        <f t="shared" si="17"/>
        <v>0</v>
      </c>
      <c r="F101" s="1803">
        <f t="shared" si="18"/>
        <v>0</v>
      </c>
      <c r="G101" s="1804">
        <f t="shared" si="19"/>
        <v>0</v>
      </c>
    </row>
    <row r="102" spans="1:7" hidden="1" x14ac:dyDescent="0.25">
      <c r="A102" s="1663"/>
      <c r="B102" s="1677"/>
      <c r="C102" s="1664"/>
      <c r="D102" s="1855"/>
      <c r="E102" s="1550">
        <f t="shared" si="17"/>
        <v>0</v>
      </c>
      <c r="F102" s="1803">
        <f t="shared" si="18"/>
        <v>0</v>
      </c>
      <c r="G102" s="1804">
        <f t="shared" si="19"/>
        <v>0</v>
      </c>
    </row>
    <row r="103" spans="1:7" hidden="1" x14ac:dyDescent="0.25">
      <c r="A103" s="1663"/>
      <c r="B103" s="1677"/>
      <c r="C103" s="1664"/>
      <c r="D103" s="1855"/>
      <c r="E103" s="1550">
        <f t="shared" si="17"/>
        <v>0</v>
      </c>
      <c r="F103" s="1803">
        <f t="shared" si="18"/>
        <v>0</v>
      </c>
      <c r="G103" s="1804">
        <f t="shared" si="19"/>
        <v>0</v>
      </c>
    </row>
    <row r="104" spans="1:7" hidden="1" x14ac:dyDescent="0.25">
      <c r="A104" s="1663"/>
      <c r="B104" s="1677"/>
      <c r="C104" s="1664"/>
      <c r="D104" s="1855"/>
      <c r="E104" s="1550">
        <f t="shared" si="17"/>
        <v>0</v>
      </c>
      <c r="F104" s="1803">
        <f t="shared" si="18"/>
        <v>0</v>
      </c>
      <c r="G104" s="1804">
        <f t="shared" si="19"/>
        <v>0</v>
      </c>
    </row>
    <row r="105" spans="1:7" hidden="1" x14ac:dyDescent="0.25">
      <c r="A105" s="1663"/>
      <c r="B105" s="1677"/>
      <c r="C105" s="1664"/>
      <c r="D105" s="1855"/>
      <c r="E105" s="1550">
        <f t="shared" si="17"/>
        <v>0</v>
      </c>
      <c r="F105" s="1803">
        <f t="shared" si="18"/>
        <v>0</v>
      </c>
      <c r="G105" s="1804">
        <f t="shared" si="19"/>
        <v>0</v>
      </c>
    </row>
    <row r="106" spans="1:7" hidden="1" x14ac:dyDescent="0.25">
      <c r="A106" s="1663"/>
      <c r="B106" s="1677"/>
      <c r="C106" s="1664"/>
      <c r="D106" s="1855"/>
      <c r="E106" s="1550">
        <f t="shared" si="17"/>
        <v>0</v>
      </c>
      <c r="F106" s="1803">
        <f t="shared" si="18"/>
        <v>0</v>
      </c>
      <c r="G106" s="1804">
        <f t="shared" si="19"/>
        <v>0</v>
      </c>
    </row>
    <row r="107" spans="1:7" hidden="1" x14ac:dyDescent="0.25">
      <c r="A107" s="1663"/>
      <c r="B107" s="1677"/>
      <c r="C107" s="1664"/>
      <c r="D107" s="1855"/>
      <c r="E107" s="1550">
        <f t="shared" si="17"/>
        <v>0</v>
      </c>
      <c r="F107" s="1803">
        <f t="shared" si="18"/>
        <v>0</v>
      </c>
      <c r="G107" s="1804">
        <f t="shared" si="19"/>
        <v>0</v>
      </c>
    </row>
    <row r="108" spans="1:7" hidden="1" x14ac:dyDescent="0.25">
      <c r="A108" s="1663"/>
      <c r="B108" s="1677"/>
      <c r="C108" s="1664"/>
      <c r="D108" s="1855"/>
      <c r="E108" s="1550">
        <f t="shared" si="17"/>
        <v>0</v>
      </c>
      <c r="F108" s="1803">
        <f t="shared" si="18"/>
        <v>0</v>
      </c>
      <c r="G108" s="1804">
        <f t="shared" si="19"/>
        <v>0</v>
      </c>
    </row>
    <row r="109" spans="1:7" hidden="1" x14ac:dyDescent="0.25">
      <c r="A109" s="1663"/>
      <c r="B109" s="1677"/>
      <c r="C109" s="1664"/>
      <c r="D109" s="1855"/>
      <c r="E109" s="1550">
        <f t="shared" si="17"/>
        <v>0</v>
      </c>
      <c r="F109" s="1803">
        <f t="shared" si="18"/>
        <v>0</v>
      </c>
      <c r="G109" s="1804">
        <f t="shared" si="19"/>
        <v>0</v>
      </c>
    </row>
    <row r="110" spans="1:7" hidden="1" x14ac:dyDescent="0.25">
      <c r="A110" s="1663"/>
      <c r="B110" s="1677"/>
      <c r="C110" s="1664"/>
      <c r="D110" s="1855"/>
      <c r="E110" s="1550">
        <f t="shared" si="17"/>
        <v>0</v>
      </c>
      <c r="F110" s="1803">
        <f t="shared" si="18"/>
        <v>0</v>
      </c>
      <c r="G110" s="1804">
        <f t="shared" si="19"/>
        <v>0</v>
      </c>
    </row>
    <row r="111" spans="1:7" hidden="1" x14ac:dyDescent="0.25">
      <c r="A111" s="1663"/>
      <c r="B111" s="1677"/>
      <c r="C111" s="1664"/>
      <c r="D111" s="1855"/>
      <c r="E111" s="1550">
        <f t="shared" si="17"/>
        <v>0</v>
      </c>
      <c r="F111" s="1803">
        <f t="shared" si="18"/>
        <v>0</v>
      </c>
      <c r="G111" s="1804">
        <f t="shared" si="19"/>
        <v>0</v>
      </c>
    </row>
    <row r="112" spans="1:7" hidden="1" x14ac:dyDescent="0.25">
      <c r="A112" s="1663"/>
      <c r="B112" s="1677"/>
      <c r="C112" s="1664"/>
      <c r="D112" s="1855"/>
      <c r="E112" s="1550">
        <f t="shared" si="17"/>
        <v>0</v>
      </c>
      <c r="F112" s="1803">
        <f t="shared" si="18"/>
        <v>0</v>
      </c>
      <c r="G112" s="1804">
        <f t="shared" si="19"/>
        <v>0</v>
      </c>
    </row>
    <row r="113" spans="1:7" hidden="1"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hidden="1" x14ac:dyDescent="0.25">
      <c r="A114" s="1663"/>
      <c r="B114" s="1677"/>
      <c r="C114" s="1664"/>
      <c r="D114" s="1855"/>
      <c r="E114" s="1550">
        <f t="shared" si="20"/>
        <v>0</v>
      </c>
      <c r="F114" s="1803">
        <f t="shared" si="21"/>
        <v>0</v>
      </c>
      <c r="G114" s="1804">
        <f t="shared" si="22"/>
        <v>0</v>
      </c>
    </row>
    <row r="115" spans="1:7" hidden="1" x14ac:dyDescent="0.25">
      <c r="A115" s="1663"/>
      <c r="B115" s="1677"/>
      <c r="C115" s="1664"/>
      <c r="D115" s="1855"/>
      <c r="E115" s="1550">
        <f t="shared" si="20"/>
        <v>0</v>
      </c>
      <c r="F115" s="1803">
        <f t="shared" si="21"/>
        <v>0</v>
      </c>
      <c r="G115" s="1804">
        <f t="shared" si="22"/>
        <v>0</v>
      </c>
    </row>
    <row r="116" spans="1:7" hidden="1" x14ac:dyDescent="0.25">
      <c r="A116" s="1663"/>
      <c r="B116" s="1677"/>
      <c r="C116" s="1664"/>
      <c r="D116" s="1855"/>
      <c r="E116" s="1550">
        <f t="shared" si="20"/>
        <v>0</v>
      </c>
      <c r="F116" s="1803">
        <f t="shared" si="21"/>
        <v>0</v>
      </c>
      <c r="G116" s="1804">
        <f t="shared" si="22"/>
        <v>0</v>
      </c>
    </row>
    <row r="117" spans="1:7" hidden="1" x14ac:dyDescent="0.25">
      <c r="A117" s="1663"/>
      <c r="B117" s="1677"/>
      <c r="C117" s="1664"/>
      <c r="D117" s="1855"/>
      <c r="E117" s="1550">
        <f t="shared" si="20"/>
        <v>0</v>
      </c>
      <c r="F117" s="1803">
        <f t="shared" si="21"/>
        <v>0</v>
      </c>
      <c r="G117" s="1804">
        <f t="shared" si="22"/>
        <v>0</v>
      </c>
    </row>
    <row r="118" spans="1:7" hidden="1" x14ac:dyDescent="0.25">
      <c r="A118" s="1663"/>
      <c r="B118" s="1677"/>
      <c r="C118" s="1664"/>
      <c r="D118" s="1855"/>
      <c r="E118" s="1550">
        <f t="shared" si="20"/>
        <v>0</v>
      </c>
      <c r="F118" s="1803">
        <f t="shared" si="21"/>
        <v>0</v>
      </c>
      <c r="G118" s="1804">
        <f t="shared" si="22"/>
        <v>0</v>
      </c>
    </row>
    <row r="119" spans="1:7" hidden="1" x14ac:dyDescent="0.25">
      <c r="A119" s="1663"/>
      <c r="B119" s="1677"/>
      <c r="C119" s="1664"/>
      <c r="D119" s="1855"/>
      <c r="E119" s="1550">
        <f t="shared" si="20"/>
        <v>0</v>
      </c>
      <c r="F119" s="1803">
        <f t="shared" si="21"/>
        <v>0</v>
      </c>
      <c r="G119" s="1804">
        <f t="shared" si="22"/>
        <v>0</v>
      </c>
    </row>
    <row r="120" spans="1:7" hidden="1" x14ac:dyDescent="0.25">
      <c r="A120" s="1663"/>
      <c r="B120" s="1677"/>
      <c r="C120" s="1664"/>
      <c r="D120" s="1855"/>
      <c r="E120" s="1550">
        <f t="shared" si="20"/>
        <v>0</v>
      </c>
      <c r="F120" s="1803">
        <f t="shared" si="21"/>
        <v>0</v>
      </c>
      <c r="G120" s="1804">
        <f t="shared" si="22"/>
        <v>0</v>
      </c>
    </row>
    <row r="121" spans="1:7" hidden="1" x14ac:dyDescent="0.25">
      <c r="A121" s="1663"/>
      <c r="B121" s="1677"/>
      <c r="C121" s="1664"/>
      <c r="D121" s="1855"/>
      <c r="E121" s="1550">
        <f t="shared" si="20"/>
        <v>0</v>
      </c>
      <c r="F121" s="1803">
        <f t="shared" si="21"/>
        <v>0</v>
      </c>
      <c r="G121" s="1804">
        <f t="shared" si="22"/>
        <v>0</v>
      </c>
    </row>
    <row r="122" spans="1:7" hidden="1" x14ac:dyDescent="0.25">
      <c r="A122" s="1663"/>
      <c r="B122" s="1677"/>
      <c r="C122" s="1664"/>
      <c r="D122" s="1855"/>
      <c r="E122" s="1550">
        <f t="shared" si="20"/>
        <v>0</v>
      </c>
      <c r="F122" s="1803">
        <f t="shared" si="21"/>
        <v>0</v>
      </c>
      <c r="G122" s="1804">
        <f t="shared" si="22"/>
        <v>0</v>
      </c>
    </row>
    <row r="123" spans="1:7" hidden="1" x14ac:dyDescent="0.25">
      <c r="A123" s="1663"/>
      <c r="B123" s="1677"/>
      <c r="C123" s="1664"/>
      <c r="D123" s="1855"/>
      <c r="E123" s="1550">
        <f t="shared" si="20"/>
        <v>0</v>
      </c>
      <c r="F123" s="1803">
        <f t="shared" si="21"/>
        <v>0</v>
      </c>
      <c r="G123" s="1804">
        <f t="shared" si="22"/>
        <v>0</v>
      </c>
    </row>
    <row r="124" spans="1:7" hidden="1" x14ac:dyDescent="0.25">
      <c r="A124" s="1663"/>
      <c r="B124" s="1677"/>
      <c r="C124" s="1664"/>
      <c r="D124" s="1855"/>
      <c r="E124" s="1550">
        <f t="shared" si="20"/>
        <v>0</v>
      </c>
      <c r="F124" s="1803">
        <f t="shared" si="21"/>
        <v>0</v>
      </c>
      <c r="G124" s="1804">
        <f t="shared" si="22"/>
        <v>0</v>
      </c>
    </row>
    <row r="125" spans="1:7" hidden="1" x14ac:dyDescent="0.25">
      <c r="A125" s="1663"/>
      <c r="B125" s="1677"/>
      <c r="C125" s="1664"/>
      <c r="D125" s="1855"/>
      <c r="E125" s="1550">
        <f t="shared" si="20"/>
        <v>0</v>
      </c>
      <c r="F125" s="1803">
        <f t="shared" si="21"/>
        <v>0</v>
      </c>
      <c r="G125" s="1804">
        <f t="shared" si="22"/>
        <v>0</v>
      </c>
    </row>
    <row r="126" spans="1:7" hidden="1"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hidden="1" x14ac:dyDescent="0.25">
      <c r="A127" s="1663"/>
      <c r="B127" s="1677"/>
      <c r="C127" s="1664"/>
      <c r="D127" s="1855"/>
      <c r="E127" s="1550">
        <f t="shared" si="23"/>
        <v>0</v>
      </c>
      <c r="F127" s="1803">
        <f t="shared" si="24"/>
        <v>0</v>
      </c>
      <c r="G127" s="1804">
        <f t="shared" si="25"/>
        <v>0</v>
      </c>
    </row>
    <row r="128" spans="1:7" hidden="1" x14ac:dyDescent="0.25">
      <c r="A128" s="1663"/>
      <c r="B128" s="1677"/>
      <c r="C128" s="1664"/>
      <c r="D128" s="1855"/>
      <c r="E128" s="1550">
        <f t="shared" si="23"/>
        <v>0</v>
      </c>
      <c r="F128" s="1803">
        <f t="shared" si="24"/>
        <v>0</v>
      </c>
      <c r="G128" s="1804">
        <f t="shared" si="25"/>
        <v>0</v>
      </c>
    </row>
    <row r="129" spans="1:7" hidden="1" x14ac:dyDescent="0.25">
      <c r="A129" s="1663"/>
      <c r="B129" s="1677"/>
      <c r="C129" s="1664"/>
      <c r="D129" s="1855"/>
      <c r="E129" s="1550">
        <f t="shared" si="23"/>
        <v>0</v>
      </c>
      <c r="F129" s="1803">
        <f t="shared" si="24"/>
        <v>0</v>
      </c>
      <c r="G129" s="1804">
        <f t="shared" si="25"/>
        <v>0</v>
      </c>
    </row>
    <row r="130" spans="1:7" hidden="1" x14ac:dyDescent="0.25">
      <c r="A130" s="1663"/>
      <c r="B130" s="1677"/>
      <c r="C130" s="1664"/>
      <c r="D130" s="1855"/>
      <c r="E130" s="1550">
        <f t="shared" si="23"/>
        <v>0</v>
      </c>
      <c r="F130" s="1803">
        <f t="shared" si="24"/>
        <v>0</v>
      </c>
      <c r="G130" s="1804">
        <f t="shared" si="25"/>
        <v>0</v>
      </c>
    </row>
    <row r="131" spans="1:7" hidden="1" x14ac:dyDescent="0.25">
      <c r="A131" s="1663"/>
      <c r="B131" s="1848"/>
      <c r="C131" s="1664"/>
      <c r="D131" s="1855"/>
      <c r="E131" s="1550">
        <f t="shared" si="23"/>
        <v>0</v>
      </c>
      <c r="F131" s="1803">
        <f t="shared" si="24"/>
        <v>0</v>
      </c>
      <c r="G131" s="1804">
        <f t="shared" si="25"/>
        <v>0</v>
      </c>
    </row>
    <row r="132" spans="1:7" hidden="1" x14ac:dyDescent="0.25">
      <c r="A132" s="1663"/>
      <c r="B132" s="1848"/>
      <c r="C132" s="1664"/>
      <c r="D132" s="1855"/>
      <c r="E132" s="1550">
        <f t="shared" si="23"/>
        <v>0</v>
      </c>
      <c r="F132" s="1803">
        <f t="shared" si="24"/>
        <v>0</v>
      </c>
      <c r="G132" s="1804">
        <f t="shared" si="25"/>
        <v>0</v>
      </c>
    </row>
    <row r="133" spans="1:7" hidden="1" x14ac:dyDescent="0.25">
      <c r="A133" s="1663"/>
      <c r="B133" s="1677"/>
      <c r="C133" s="1664"/>
      <c r="D133" s="1855"/>
      <c r="E133" s="1550">
        <f t="shared" si="23"/>
        <v>0</v>
      </c>
      <c r="F133" s="1803">
        <f t="shared" si="24"/>
        <v>0</v>
      </c>
      <c r="G133" s="1804">
        <f t="shared" si="25"/>
        <v>0</v>
      </c>
    </row>
    <row r="134" spans="1:7" hidden="1" x14ac:dyDescent="0.25">
      <c r="A134" s="1663"/>
      <c r="B134" s="1677"/>
      <c r="C134" s="1664"/>
      <c r="D134" s="1855"/>
      <c r="E134" s="1550">
        <f t="shared" si="23"/>
        <v>0</v>
      </c>
      <c r="F134" s="1803">
        <f t="shared" si="24"/>
        <v>0</v>
      </c>
      <c r="G134" s="1804">
        <f t="shared" si="25"/>
        <v>0</v>
      </c>
    </row>
    <row r="135" spans="1:7"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x14ac:dyDescent="0.25">
      <c r="A136" s="1663"/>
      <c r="B136" s="1677"/>
      <c r="C136" s="1664"/>
      <c r="D136" s="1855"/>
      <c r="E136" s="1550">
        <f t="shared" si="26"/>
        <v>0</v>
      </c>
      <c r="F136" s="1803">
        <f t="shared" si="27"/>
        <v>0</v>
      </c>
      <c r="G136" s="1804">
        <f t="shared" si="28"/>
        <v>0</v>
      </c>
    </row>
    <row r="137" spans="1:7" x14ac:dyDescent="0.25">
      <c r="A137" s="1663"/>
      <c r="B137" s="1677"/>
      <c r="C137" s="1664"/>
      <c r="D137" s="1855"/>
      <c r="E137" s="1550">
        <f t="shared" si="26"/>
        <v>0</v>
      </c>
      <c r="F137" s="1803">
        <f t="shared" si="27"/>
        <v>0</v>
      </c>
      <c r="G137" s="1804">
        <f t="shared" si="28"/>
        <v>0</v>
      </c>
    </row>
    <row r="138" spans="1:7" x14ac:dyDescent="0.25">
      <c r="A138" s="1663"/>
      <c r="B138" s="1677"/>
      <c r="C138" s="1664"/>
      <c r="D138" s="1855"/>
      <c r="E138" s="1550">
        <f t="shared" si="26"/>
        <v>0</v>
      </c>
      <c r="F138" s="1803">
        <f t="shared" si="27"/>
        <v>0</v>
      </c>
      <c r="G138" s="1804">
        <f t="shared" si="28"/>
        <v>0</v>
      </c>
    </row>
    <row r="139" spans="1:7"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652790</v>
      </c>
      <c r="E141" s="1551">
        <f t="shared" si="1"/>
        <v>25000</v>
      </c>
      <c r="F141" s="1805">
        <f>SUM(F17:F140)</f>
        <v>0</v>
      </c>
      <c r="G141" s="180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87" sqref="D8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1" t="s">
        <v>1778</v>
      </c>
      <c r="B5" s="2292"/>
      <c r="C5" s="2292"/>
      <c r="D5" s="2292"/>
      <c r="E5" s="2292"/>
      <c r="F5" s="2292"/>
      <c r="G5" s="2293"/>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188677</v>
      </c>
      <c r="F10" s="963"/>
      <c r="G10" s="964"/>
      <c r="H10" s="162"/>
      <c r="I10" s="162"/>
    </row>
    <row r="11" spans="1:9" s="658" customFormat="1" ht="22.5" customHeight="1" x14ac:dyDescent="0.2">
      <c r="A11" s="2296" t="s">
        <v>1945</v>
      </c>
      <c r="B11" s="2297"/>
      <c r="C11" s="2297"/>
      <c r="D11" s="2298"/>
      <c r="E11" s="966">
        <v>18759</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10"/>
      <c r="E19" s="1811">
        <f>'Expenditures 15-22'!K33-SUM('Expenditures 15-22'!G33,'Expenditures 15-22'!I33)+'Expenditures 15-22'!D229</f>
        <v>4070331</v>
      </c>
      <c r="F19" s="1810"/>
      <c r="G19" s="1812">
        <f>'Expenditures 15-22'!K33-SUM('Expenditures 15-22'!G33,'Expenditures 15-22'!I33)+'Expenditures 15-22'!D229</f>
        <v>4070331</v>
      </c>
      <c r="H19" s="976"/>
      <c r="I19" s="162"/>
    </row>
    <row r="20" spans="1:9" s="658" customFormat="1" ht="12" customHeight="1" x14ac:dyDescent="0.2">
      <c r="A20" s="979" t="s">
        <v>56</v>
      </c>
      <c r="B20" s="980"/>
      <c r="C20" s="982"/>
      <c r="D20" s="1813"/>
      <c r="E20" s="1813"/>
      <c r="F20" s="1813"/>
      <c r="G20" s="1814"/>
      <c r="H20" s="976"/>
      <c r="I20" s="162"/>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164948</v>
      </c>
      <c r="F21" s="1813"/>
      <c r="G21" s="1816">
        <f>'Expenditures 15-22'!K42-SUM('Expenditures 15-22'!G42,'Expenditures 15-22'!I42)+'Expenditures 15-22'!K120-SUM('Expenditures 15-22'!G120,'Expenditures 15-22'!I120)+'Expenditures 15-22'!K180-SUM('Expenditures 15-22'!G180,'Expenditures 15-22'!I180)+'Expenditures 15-22'!D238</f>
        <v>164948</v>
      </c>
      <c r="H21" s="976"/>
      <c r="I21" s="162"/>
    </row>
    <row r="22" spans="1:9" s="658" customFormat="1" ht="12" customHeight="1" x14ac:dyDescent="0.2">
      <c r="A22" s="983" t="s">
        <v>585</v>
      </c>
      <c r="B22" s="984"/>
      <c r="C22" s="982">
        <v>2200</v>
      </c>
      <c r="D22" s="1813"/>
      <c r="E22" s="1815">
        <f>'Expenditures 15-22'!K47-SUM('Expenditures 15-22'!G47,'Expenditures 15-22'!I47)+'Expenditures 15-22'!D243</f>
        <v>143222</v>
      </c>
      <c r="F22" s="1813"/>
      <c r="G22" s="1816">
        <f>'Expenditures 15-22'!K47-SUM('Expenditures 15-22'!G47,'Expenditures 15-22'!I47)+'Expenditures 15-22'!D243</f>
        <v>143222</v>
      </c>
      <c r="H22" s="976"/>
      <c r="I22" s="162"/>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441339</v>
      </c>
      <c r="F23" s="1813"/>
      <c r="G23" s="1815">
        <f>'Expenditures 15-22'!K53-SUM('Expenditures 15-22'!G53,'Expenditures 15-22'!I53)+'Expenditures 15-22'!D257+'Expenditures 15-22'!K330-SUM('Expenditures 15-22'!G330,'Expenditures 15-22'!I330)</f>
        <v>441339</v>
      </c>
      <c r="H23" s="976"/>
      <c r="I23" s="162"/>
    </row>
    <row r="24" spans="1:9" s="658" customFormat="1" ht="12" customHeight="1" x14ac:dyDescent="0.2">
      <c r="A24" s="983" t="s">
        <v>587</v>
      </c>
      <c r="B24" s="984"/>
      <c r="C24" s="982">
        <v>2400</v>
      </c>
      <c r="D24" s="1813"/>
      <c r="E24" s="1815">
        <f>'Expenditures 15-22'!K57-SUM('Expenditures 15-22'!G57,'Expenditures 15-22'!I57)+'Expenditures 15-22'!D261</f>
        <v>446567</v>
      </c>
      <c r="F24" s="1813"/>
      <c r="G24" s="1816">
        <f>'Expenditures 15-22'!K57-SUM('Expenditures 15-22'!G57,'Expenditures 15-22'!I57)+'Expenditures 15-22'!D261</f>
        <v>446567</v>
      </c>
      <c r="H24" s="976"/>
      <c r="I24" s="162"/>
    </row>
    <row r="25" spans="1:9" s="658" customFormat="1" ht="12" customHeight="1" x14ac:dyDescent="0.2">
      <c r="A25" s="979" t="s">
        <v>588</v>
      </c>
      <c r="B25" s="985"/>
      <c r="C25" s="982"/>
      <c r="D25" s="1813"/>
      <c r="E25" s="1815"/>
      <c r="F25" s="1813"/>
      <c r="G25" s="1816"/>
      <c r="H25" s="976"/>
      <c r="I25" s="162"/>
    </row>
    <row r="26" spans="1:9" s="658" customFormat="1" ht="12" customHeight="1" x14ac:dyDescent="0.2">
      <c r="A26" s="983" t="s">
        <v>536</v>
      </c>
      <c r="B26" s="986"/>
      <c r="C26" s="982">
        <v>2510</v>
      </c>
      <c r="D26" s="1815">
        <f>'Expenditures 15-22'!K59-SUM('Expenditures 15-22'!G59,'Expenditures 15-22'!I59)+'Expenditures 15-22'!D263-E7</f>
        <v>0</v>
      </c>
      <c r="E26" s="1815">
        <f>'Expenditures 15-22'!K122-SUM('Expenditures 15-22'!G122,'Expenditures 15-22'!I122)+E7</f>
        <v>0</v>
      </c>
      <c r="F26" s="1815">
        <f>'Expenditures 15-22'!K59-SUM('Expenditures 15-22'!G59,'Expenditures 15-22'!I59)+'Expenditures 15-22'!D263-E7</f>
        <v>0</v>
      </c>
      <c r="G26" s="1816">
        <f>'Expenditures 15-22'!K122-SUM('Expenditures 15-22'!G122,'Expenditures 15-22'!I122)+E7</f>
        <v>0</v>
      </c>
      <c r="H26" s="976"/>
      <c r="I26" s="162"/>
    </row>
    <row r="27" spans="1:9" s="658" customFormat="1" ht="12" customHeight="1" x14ac:dyDescent="0.2">
      <c r="A27" s="983" t="s">
        <v>483</v>
      </c>
      <c r="B27" s="986"/>
      <c r="C27" s="982">
        <v>2520</v>
      </c>
      <c r="D27" s="1815">
        <f>'Expenditures 15-22'!K60-SUM('Expenditures 15-22'!G60,'Expenditures 15-22'!I60)+'Expenditures 15-22'!D264-E8</f>
        <v>136202</v>
      </c>
      <c r="E27" s="1815">
        <f>E8</f>
        <v>0</v>
      </c>
      <c r="F27" s="1815">
        <f>'Expenditures 15-22'!K60-SUM('Expenditures 15-22'!G60,'Expenditures 15-22'!I60)+'Expenditures 15-22'!D264-E8</f>
        <v>136202</v>
      </c>
      <c r="G27" s="1816">
        <f>E8</f>
        <v>0</v>
      </c>
      <c r="H27" s="976"/>
      <c r="I27" s="162"/>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866177</v>
      </c>
      <c r="F28" s="1817">
        <f>'Expenditures 15-22'!K61-SUM('Expenditures 15-22'!G61,'Expenditures 15-22'!I61)+'Expenditures 15-22'!K124-SUM('Expenditures 15-22'!G124,'Expenditures 15-22'!I124)+'Expenditures 15-22'!D266-E9</f>
        <v>866177</v>
      </c>
      <c r="G28" s="1816">
        <f>E9</f>
        <v>0</v>
      </c>
      <c r="H28" s="976"/>
      <c r="I28" s="162"/>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866886</v>
      </c>
      <c r="F29" s="1813"/>
      <c r="G29" s="1816">
        <f>'Expenditures 15-22'!K62-SUM('Expenditures 15-22'!G62,'Expenditures 15-22'!I62)+'Expenditures 15-22'!K125-SUM('Expenditures 15-22'!G125,'Expenditures 15-22'!I125)+'Expenditures 15-22'!K182-SUM('Expenditures 15-22'!G182,'Expenditures 15-22'!I182)+'Expenditures 15-22'!D267</f>
        <v>866886</v>
      </c>
      <c r="H29" s="974"/>
    </row>
    <row r="30" spans="1:9" ht="12" customHeight="1" x14ac:dyDescent="0.2">
      <c r="A30" s="983" t="s">
        <v>102</v>
      </c>
      <c r="B30" s="986"/>
      <c r="C30" s="982">
        <v>2560</v>
      </c>
      <c r="D30" s="1813"/>
      <c r="E30" s="1815">
        <f>'Expenditures 15-22'!K63-SUM('Expenditures 15-22'!G63,'Expenditures 15-22'!I63)+'Expenditures 15-22'!D268-E10</f>
        <v>247827</v>
      </c>
      <c r="F30" s="1813"/>
      <c r="G30" s="1815">
        <f>'Expenditures 15-22'!K63-SUM('Expenditures 15-22'!G63,'Expenditures 15-22'!I63)+'Expenditures 15-22'!D268-E10</f>
        <v>247827</v>
      </c>
    </row>
    <row r="31" spans="1:9" ht="12" customHeight="1" x14ac:dyDescent="0.2">
      <c r="A31" s="983" t="s">
        <v>103</v>
      </c>
      <c r="B31" s="986"/>
      <c r="C31" s="982">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208059</v>
      </c>
      <c r="F35" s="1813"/>
      <c r="G35" s="1815">
        <f>'Expenditures 15-22'!K69-SUM('Expenditures 15-22'!G69,'Expenditures 15-22'!I69)+'Expenditures 15-22'!D274</f>
        <v>208059</v>
      </c>
    </row>
    <row r="36" spans="1:7" ht="12" customHeight="1" x14ac:dyDescent="0.2">
      <c r="A36" s="983" t="s">
        <v>423</v>
      </c>
      <c r="B36" s="986"/>
      <c r="C36" s="982">
        <v>2640</v>
      </c>
      <c r="D36" s="1815">
        <f>'Expenditures 15-22'!K70-SUM('Expenditures 15-22'!G70,'Expenditures 15-22'!I70)+'Expenditures 15-22'!D275-E13</f>
        <v>0</v>
      </c>
      <c r="E36" s="1815">
        <f>E13</f>
        <v>0</v>
      </c>
      <c r="F36" s="1815">
        <f>'Expenditures 15-22'!K70-SUM('Expenditures 15-22'!G70,'Expenditures 15-22'!I70)+'Expenditures 15-22'!D275-E13</f>
        <v>0</v>
      </c>
      <c r="G36" s="1815">
        <f>E13</f>
        <v>0</v>
      </c>
    </row>
    <row r="37" spans="1:7" ht="12" customHeight="1" x14ac:dyDescent="0.2">
      <c r="A37" s="983" t="s">
        <v>424</v>
      </c>
      <c r="B37" s="986"/>
      <c r="C37" s="982">
        <v>2660</v>
      </c>
      <c r="D37" s="1815">
        <f>'Expenditures 15-22'!K71-SUM('Expenditures 15-22'!G71,'Expenditures 15-22'!I71)+'Expenditures 15-22'!D276-E14</f>
        <v>0</v>
      </c>
      <c r="E37" s="1815">
        <f>E14</f>
        <v>0</v>
      </c>
      <c r="F37" s="1815">
        <f>'Expenditures 15-22'!K71-SUM('Expenditures 15-22'!G71,'Expenditures 15-22'!I71)+'Expenditures 15-22'!D276-E14</f>
        <v>0</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400</v>
      </c>
      <c r="F38" s="1813"/>
      <c r="G38" s="1815">
        <f>'Expenditures 15-22'!K73-SUM('Expenditures 15-22'!G73,'Expenditures 15-22'!I73)+'Expenditures 15-22'!K128-SUM('Expenditures 15-22'!G128,'Expenditures 15-22'!I128)+'Expenditures 15-22'!K183-SUM('Expenditures 15-22'!G183,'Expenditures 15-22'!I183)+'Expenditures 15-22'!D278</f>
        <v>400</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3611</v>
      </c>
      <c r="F39" s="1813"/>
      <c r="G39" s="1815">
        <f>'Expenditures 15-22'!K75-SUM('Expenditures 15-22'!G75,'Expenditures 15-22'!I75)+'Expenditures 15-22'!K130-SUM('Expenditures 15-22'!G130,'Expenditures 15-22'!I130)+'Expenditures 15-22'!K185-SUM('Expenditures 15-22'!G185,'Expenditures 15-22'!I185)+'Expenditures 15-22'!D280</f>
        <v>3611</v>
      </c>
    </row>
    <row r="40" spans="1:7" ht="12" customHeight="1" x14ac:dyDescent="0.2">
      <c r="A40" s="979" t="s">
        <v>1930</v>
      </c>
      <c r="B40" s="980"/>
      <c r="C40" s="982"/>
      <c r="D40" s="1813"/>
      <c r="E40" s="1817">
        <f>-'Contracts Paid in CY 29'!G141</f>
        <v>0</v>
      </c>
      <c r="F40" s="1813"/>
      <c r="G40" s="1817">
        <f>-'Contracts Paid in CY 29'!G141</f>
        <v>0</v>
      </c>
    </row>
    <row r="41" spans="1:7" ht="12" customHeight="1" x14ac:dyDescent="0.2">
      <c r="A41" s="987" t="s">
        <v>158</v>
      </c>
      <c r="B41" s="988"/>
      <c r="C41" s="989"/>
      <c r="D41" s="1817">
        <f>SUM(D19:D39)</f>
        <v>136202</v>
      </c>
      <c r="E41" s="1817">
        <f>SUM(E19:E40)</f>
        <v>7459367</v>
      </c>
      <c r="F41" s="1817">
        <f>SUM(F19:F39)</f>
        <v>1002379</v>
      </c>
      <c r="G41" s="1817">
        <f>SUM(G19:G40)</f>
        <v>6593190</v>
      </c>
    </row>
    <row r="42" spans="1:7" x14ac:dyDescent="0.2">
      <c r="A42" s="976"/>
      <c r="B42" s="162"/>
      <c r="C42" s="990"/>
      <c r="D42" s="2294" t="s">
        <v>543</v>
      </c>
      <c r="E42" s="2295"/>
      <c r="F42" s="991" t="s">
        <v>544</v>
      </c>
      <c r="G42" s="992"/>
    </row>
    <row r="43" spans="1:7" ht="12" customHeight="1" x14ac:dyDescent="0.2">
      <c r="A43" s="976"/>
      <c r="B43" s="162"/>
      <c r="C43" s="990"/>
      <c r="D43" s="1818" t="s">
        <v>493</v>
      </c>
      <c r="E43" s="1819">
        <f>D41</f>
        <v>136202</v>
      </c>
      <c r="F43" s="1818" t="s">
        <v>495</v>
      </c>
      <c r="G43" s="1819">
        <f>F41</f>
        <v>1002379</v>
      </c>
    </row>
    <row r="44" spans="1:7" ht="12" customHeight="1" x14ac:dyDescent="0.2">
      <c r="A44" s="976"/>
      <c r="B44" s="162"/>
      <c r="C44" s="990"/>
      <c r="D44" s="1818" t="s">
        <v>494</v>
      </c>
      <c r="E44" s="1819">
        <f>E41</f>
        <v>7459367</v>
      </c>
      <c r="F44" s="1818" t="s">
        <v>494</v>
      </c>
      <c r="G44" s="1819">
        <f>G41</f>
        <v>6593190</v>
      </c>
    </row>
    <row r="45" spans="1:7" ht="12" customHeight="1" x14ac:dyDescent="0.2">
      <c r="A45" s="976"/>
      <c r="B45" s="162"/>
      <c r="C45" s="162"/>
      <c r="D45" s="1820" t="s">
        <v>1063</v>
      </c>
      <c r="E45" s="1821">
        <f>(E43/E44)</f>
        <v>1.825919008945397E-2</v>
      </c>
      <c r="F45" s="1820" t="s">
        <v>1063</v>
      </c>
      <c r="G45" s="1821">
        <f>(G43/G44)</f>
        <v>0.15203247593350108</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D87" sqref="D87"/>
      <selection pane="bottomLeft" activeCell="D34" sqref="D34"/>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02" t="s">
        <v>1446</v>
      </c>
      <c r="B1" s="2302"/>
      <c r="C1" s="2302"/>
      <c r="D1" s="2302"/>
      <c r="E1" s="2302"/>
      <c r="F1" s="2302"/>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03" t="s">
        <v>1627</v>
      </c>
      <c r="B5" s="2304"/>
      <c r="C5" s="2305"/>
      <c r="D5" s="2305"/>
      <c r="E5" s="2305"/>
      <c r="F5" s="2305"/>
    </row>
    <row r="6" spans="1:10" ht="12" customHeight="1" x14ac:dyDescent="0.25">
      <c r="A6" s="1863"/>
      <c r="B6" s="1864"/>
      <c r="C6" s="2306" t="str">
        <f>COVER!A17</f>
        <v>Laraway CCSD 70C</v>
      </c>
      <c r="D6" s="2306"/>
      <c r="E6" s="2306"/>
      <c r="F6" s="1865"/>
    </row>
    <row r="7" spans="1:10" ht="11.25" customHeight="1" thickBot="1" x14ac:dyDescent="0.3">
      <c r="A7" s="1863"/>
      <c r="B7" s="1864"/>
      <c r="C7" s="2307" t="str">
        <f>COVER!A13</f>
        <v>56-099-070C-04</v>
      </c>
      <c r="D7" s="2307"/>
      <c r="E7" s="2307"/>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c r="D14" s="1878"/>
      <c r="E14" s="1881"/>
      <c r="F14" s="1880"/>
      <c r="H14" s="1891">
        <f t="shared" si="0"/>
        <v>0</v>
      </c>
      <c r="I14" s="1891">
        <f t="shared" si="1"/>
        <v>0</v>
      </c>
      <c r="J14" s="1891">
        <f t="shared" si="2"/>
        <v>0</v>
      </c>
    </row>
    <row r="15" spans="1:10" ht="12" customHeight="1" x14ac:dyDescent="0.2">
      <c r="A15" s="1876" t="s">
        <v>1454</v>
      </c>
      <c r="B15" s="1877"/>
      <c r="C15" s="1878"/>
      <c r="D15" s="1878"/>
      <c r="E15" s="1881"/>
      <c r="F15" s="1880"/>
      <c r="H15" s="1891">
        <f t="shared" si="0"/>
        <v>0</v>
      </c>
      <c r="I15" s="1891">
        <f t="shared" si="1"/>
        <v>0</v>
      </c>
      <c r="J15" s="1891">
        <f t="shared" si="2"/>
        <v>0</v>
      </c>
    </row>
    <row r="16" spans="1:10" ht="12" customHeight="1" x14ac:dyDescent="0.2">
      <c r="A16" s="1876" t="s">
        <v>1455</v>
      </c>
      <c r="B16" s="1877"/>
      <c r="C16" s="1878"/>
      <c r="D16" s="1878"/>
      <c r="E16" s="1881"/>
      <c r="F16" s="1880"/>
      <c r="H16" s="1891">
        <f t="shared" si="0"/>
        <v>0</v>
      </c>
      <c r="I16" s="1891">
        <f t="shared" si="1"/>
        <v>0</v>
      </c>
      <c r="J16" s="1891">
        <f t="shared" si="2"/>
        <v>0</v>
      </c>
    </row>
    <row r="17" spans="1:12" ht="12" customHeight="1" x14ac:dyDescent="0.2">
      <c r="A17" s="1876" t="s">
        <v>1456</v>
      </c>
      <c r="B17" s="1877"/>
      <c r="C17" s="1942" t="s">
        <v>2077</v>
      </c>
      <c r="D17" s="1942" t="s">
        <v>2077</v>
      </c>
      <c r="E17" s="1943" t="s">
        <v>2077</v>
      </c>
      <c r="F17" s="1944" t="s">
        <v>2097</v>
      </c>
      <c r="H17" s="1891">
        <f t="shared" si="0"/>
        <v>5</v>
      </c>
      <c r="I17" s="1891">
        <f t="shared" si="1"/>
        <v>5</v>
      </c>
      <c r="J17" s="1891">
        <f t="shared" si="2"/>
        <v>5</v>
      </c>
    </row>
    <row r="18" spans="1:12" ht="12" customHeight="1" x14ac:dyDescent="0.2">
      <c r="A18" s="1876" t="s">
        <v>1457</v>
      </c>
      <c r="B18" s="1877"/>
      <c r="C18" s="1942"/>
      <c r="D18" s="1942"/>
      <c r="E18" s="1943"/>
      <c r="F18" s="1944"/>
      <c r="H18" s="1891">
        <f t="shared" si="0"/>
        <v>0</v>
      </c>
      <c r="I18" s="1891">
        <f t="shared" si="1"/>
        <v>0</v>
      </c>
      <c r="J18" s="1891">
        <f t="shared" si="2"/>
        <v>0</v>
      </c>
    </row>
    <row r="19" spans="1:12" ht="12" customHeight="1" x14ac:dyDescent="0.2">
      <c r="A19" s="1876" t="s">
        <v>1608</v>
      </c>
      <c r="B19" s="1877"/>
      <c r="C19" s="1942" t="s">
        <v>2077</v>
      </c>
      <c r="D19" s="1942" t="s">
        <v>2077</v>
      </c>
      <c r="E19" s="1943" t="s">
        <v>2077</v>
      </c>
      <c r="F19" s="1944" t="s">
        <v>2098</v>
      </c>
      <c r="H19" s="1891">
        <f t="shared" si="0"/>
        <v>5</v>
      </c>
      <c r="I19" s="1891">
        <f t="shared" si="1"/>
        <v>5</v>
      </c>
      <c r="J19" s="1891">
        <f t="shared" si="2"/>
        <v>5</v>
      </c>
    </row>
    <row r="20" spans="1:12" ht="12" customHeight="1" x14ac:dyDescent="0.2">
      <c r="A20" s="1876" t="s">
        <v>1609</v>
      </c>
      <c r="B20" s="1877"/>
      <c r="C20" s="1942" t="s">
        <v>2077</v>
      </c>
      <c r="D20" s="1942" t="s">
        <v>2077</v>
      </c>
      <c r="E20" s="1943" t="s">
        <v>2077</v>
      </c>
      <c r="F20" s="1944" t="s">
        <v>2099</v>
      </c>
      <c r="H20" s="1891">
        <f t="shared" si="0"/>
        <v>5</v>
      </c>
      <c r="I20" s="1891">
        <f t="shared" si="1"/>
        <v>5</v>
      </c>
      <c r="J20" s="1891">
        <f t="shared" si="2"/>
        <v>5</v>
      </c>
    </row>
    <row r="21" spans="1:12" ht="12" customHeight="1" x14ac:dyDescent="0.2">
      <c r="A21" s="1876" t="s">
        <v>1610</v>
      </c>
      <c r="B21" s="1877"/>
      <c r="C21" s="1942"/>
      <c r="D21" s="1942"/>
      <c r="E21" s="1943"/>
      <c r="F21" s="1944"/>
      <c r="H21" s="1891">
        <f t="shared" si="0"/>
        <v>0</v>
      </c>
      <c r="I21" s="1891">
        <f t="shared" si="1"/>
        <v>0</v>
      </c>
      <c r="J21" s="1891">
        <f t="shared" si="2"/>
        <v>0</v>
      </c>
    </row>
    <row r="22" spans="1:12" ht="12" customHeight="1" x14ac:dyDescent="0.2">
      <c r="A22" s="1876" t="s">
        <v>1611</v>
      </c>
      <c r="B22" s="1877"/>
      <c r="C22" s="1942"/>
      <c r="D22" s="1942"/>
      <c r="E22" s="1943"/>
      <c r="F22" s="1944"/>
      <c r="H22" s="1891">
        <f t="shared" si="0"/>
        <v>0</v>
      </c>
      <c r="I22" s="1891">
        <f t="shared" si="1"/>
        <v>0</v>
      </c>
      <c r="J22" s="1891">
        <f t="shared" si="2"/>
        <v>0</v>
      </c>
    </row>
    <row r="23" spans="1:12" ht="12" customHeight="1" x14ac:dyDescent="0.2">
      <c r="A23" s="1876" t="s">
        <v>1612</v>
      </c>
      <c r="B23" s="1877"/>
      <c r="C23" s="1942"/>
      <c r="D23" s="1942"/>
      <c r="E23" s="1943"/>
      <c r="F23" s="1944"/>
      <c r="H23" s="1891">
        <f t="shared" si="0"/>
        <v>0</v>
      </c>
      <c r="I23" s="1891">
        <f t="shared" si="1"/>
        <v>0</v>
      </c>
      <c r="J23" s="1891">
        <f t="shared" si="2"/>
        <v>0</v>
      </c>
    </row>
    <row r="24" spans="1:12" ht="12" customHeight="1" x14ac:dyDescent="0.2">
      <c r="A24" s="1876" t="s">
        <v>1613</v>
      </c>
      <c r="B24" s="1877"/>
      <c r="C24" s="1942" t="s">
        <v>2077</v>
      </c>
      <c r="D24" s="1942" t="s">
        <v>2077</v>
      </c>
      <c r="E24" s="1943" t="s">
        <v>2077</v>
      </c>
      <c r="F24" s="1944" t="s">
        <v>2100</v>
      </c>
      <c r="H24" s="1891">
        <f t="shared" si="0"/>
        <v>5</v>
      </c>
      <c r="I24" s="1891">
        <f t="shared" si="1"/>
        <v>5</v>
      </c>
      <c r="J24" s="1891">
        <f t="shared" si="2"/>
        <v>5</v>
      </c>
    </row>
    <row r="25" spans="1:12" ht="12" customHeight="1" x14ac:dyDescent="0.2">
      <c r="A25" s="1876" t="s">
        <v>1614</v>
      </c>
      <c r="B25" s="1877"/>
      <c r="C25" s="1942"/>
      <c r="D25" s="1942"/>
      <c r="E25" s="1943"/>
      <c r="F25" s="1944"/>
      <c r="H25" s="1891">
        <f t="shared" si="0"/>
        <v>0</v>
      </c>
      <c r="I25" s="1891">
        <f t="shared" si="1"/>
        <v>0</v>
      </c>
      <c r="J25" s="1891">
        <f t="shared" si="2"/>
        <v>0</v>
      </c>
    </row>
    <row r="26" spans="1:12" ht="12" customHeight="1" x14ac:dyDescent="0.2">
      <c r="A26" s="1876" t="s">
        <v>1615</v>
      </c>
      <c r="B26" s="1877"/>
      <c r="C26" s="1942" t="s">
        <v>2077</v>
      </c>
      <c r="D26" s="1942" t="s">
        <v>2077</v>
      </c>
      <c r="E26" s="1943" t="s">
        <v>2077</v>
      </c>
      <c r="F26" s="1944" t="s">
        <v>2101</v>
      </c>
      <c r="H26" s="1891">
        <f t="shared" si="0"/>
        <v>5</v>
      </c>
      <c r="I26" s="1891">
        <f t="shared" si="1"/>
        <v>5</v>
      </c>
      <c r="J26" s="1891">
        <f t="shared" si="2"/>
        <v>5</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c r="D28" s="1878"/>
      <c r="E28" s="1881"/>
      <c r="F28" s="1880"/>
      <c r="H28" s="1891">
        <f t="shared" si="0"/>
        <v>0</v>
      </c>
      <c r="I28" s="1891">
        <f t="shared" si="1"/>
        <v>0</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c r="D30" s="1878"/>
      <c r="E30" s="1881"/>
      <c r="F30" s="1880"/>
      <c r="H30" s="1891">
        <f t="shared" si="0"/>
        <v>0</v>
      </c>
      <c r="I30" s="1891">
        <f t="shared" si="1"/>
        <v>0</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25</v>
      </c>
      <c r="I34" s="1891">
        <f>SUM(I11:I32)</f>
        <v>25</v>
      </c>
      <c r="J34" s="1891">
        <f>SUM(J11:J32)</f>
        <v>25</v>
      </c>
      <c r="K34" s="1891">
        <f>SUM(H34:J34)</f>
        <v>75</v>
      </c>
    </row>
    <row r="35" spans="1:11" ht="12" customHeight="1" x14ac:dyDescent="0.2">
      <c r="A35" s="1884" t="s">
        <v>1459</v>
      </c>
      <c r="B35" s="1885"/>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86"/>
      <c r="B39" s="1886"/>
      <c r="C39" s="1886"/>
      <c r="D39" s="1886"/>
      <c r="E39" s="1886"/>
      <c r="F39" s="1886"/>
    </row>
    <row r="40" spans="1:11" s="1883" customFormat="1" ht="12" customHeight="1" x14ac:dyDescent="0.25">
      <c r="A40" s="1887" t="s">
        <v>1458</v>
      </c>
      <c r="B40" s="1888"/>
      <c r="C40" s="2316"/>
      <c r="D40" s="2316"/>
      <c r="E40" s="2316"/>
      <c r="F40" s="2317"/>
      <c r="H40" s="1892"/>
      <c r="I40" s="1892"/>
      <c r="J40" s="1892"/>
      <c r="K40" s="1892"/>
    </row>
    <row r="41" spans="1:11" s="1883" customFormat="1" ht="12" customHeight="1" x14ac:dyDescent="0.25">
      <c r="A41" s="2318"/>
      <c r="B41" s="2319"/>
      <c r="C41" s="2319"/>
      <c r="D41" s="2319"/>
      <c r="E41" s="2319"/>
      <c r="F41" s="2320"/>
      <c r="H41" s="1892"/>
      <c r="I41" s="1892"/>
      <c r="J41" s="1892"/>
      <c r="K41" s="1892"/>
    </row>
    <row r="42" spans="1:11" s="1883" customFormat="1" ht="12" customHeight="1" x14ac:dyDescent="0.25">
      <c r="A42" s="2318"/>
      <c r="B42" s="2319"/>
      <c r="C42" s="2319"/>
      <c r="D42" s="2319"/>
      <c r="E42" s="2319"/>
      <c r="F42" s="2320"/>
      <c r="H42" s="1892"/>
      <c r="I42" s="1892"/>
      <c r="J42" s="1892"/>
      <c r="K42" s="1892"/>
    </row>
    <row r="43" spans="1:11" s="1883" customFormat="1" ht="15" x14ac:dyDescent="0.25">
      <c r="A43" s="2310"/>
      <c r="B43" s="2311"/>
      <c r="C43" s="2311"/>
      <c r="D43" s="2311"/>
      <c r="E43" s="2311"/>
      <c r="F43" s="2312"/>
      <c r="H43" s="1892"/>
      <c r="I43" s="1892"/>
      <c r="J43" s="1892"/>
      <c r="K43" s="1892"/>
    </row>
    <row r="44" spans="1:11" s="1883" customFormat="1" ht="12" hidden="1" customHeight="1" x14ac:dyDescent="0.25">
      <c r="A44" s="2310"/>
      <c r="B44" s="2311"/>
      <c r="C44" s="2311"/>
      <c r="D44" s="2311"/>
      <c r="E44" s="2311"/>
      <c r="F44" s="2312"/>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B37" sqref="B37"/>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7" t="s">
        <v>693</v>
      </c>
      <c r="B6" s="1652"/>
      <c r="C6" s="1652"/>
      <c r="D6" s="1652"/>
      <c r="E6" s="1653"/>
      <c r="F6" s="1004"/>
      <c r="G6" s="998"/>
      <c r="H6" s="1005" t="s">
        <v>1086</v>
      </c>
      <c r="I6" s="2326" t="str">
        <f>COVER!A17</f>
        <v>Laraway CCSD 70C</v>
      </c>
      <c r="J6" s="2327"/>
      <c r="Q6" s="1674"/>
    </row>
    <row r="7" spans="1:17" x14ac:dyDescent="0.2">
      <c r="A7" s="2328" t="s">
        <v>924</v>
      </c>
      <c r="B7" s="2329"/>
      <c r="C7" s="2329"/>
      <c r="D7" s="2329"/>
      <c r="E7" s="2330"/>
      <c r="F7" s="1006"/>
      <c r="G7" s="998"/>
      <c r="H7" s="1005" t="s">
        <v>390</v>
      </c>
      <c r="I7" s="2331" t="str">
        <f>COVER!A13</f>
        <v>56-099-070C-04</v>
      </c>
      <c r="J7" s="2331"/>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8" t="s">
        <v>1701</v>
      </c>
      <c r="F9" s="1012"/>
      <c r="G9" s="1012"/>
      <c r="H9" s="190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2" t="s">
        <v>502</v>
      </c>
      <c r="B11" s="2333"/>
      <c r="C11" s="2334"/>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255259</v>
      </c>
      <c r="F12" s="1028"/>
      <c r="G12" s="1822">
        <f t="shared" ref="G12:G18" si="0">SUM(E12:F12)</f>
        <v>255259</v>
      </c>
      <c r="H12" s="1029">
        <v>287460</v>
      </c>
      <c r="I12" s="1028"/>
      <c r="J12" s="1822">
        <f t="shared" ref="J12:J18" si="1">SUM(H12:I12)</f>
        <v>287460</v>
      </c>
    </row>
    <row r="13" spans="1:17" ht="15" customHeight="1" x14ac:dyDescent="0.2">
      <c r="A13" s="1024">
        <v>2</v>
      </c>
      <c r="B13" s="1025" t="s">
        <v>44</v>
      </c>
      <c r="C13" s="1026"/>
      <c r="D13" s="1027">
        <v>2330</v>
      </c>
      <c r="E13" s="1822">
        <f>'Expenditures 15-22'!K51</f>
        <v>0</v>
      </c>
      <c r="F13" s="1028"/>
      <c r="G13" s="1822">
        <f t="shared" si="0"/>
        <v>0</v>
      </c>
      <c r="H13" s="1029"/>
      <c r="I13" s="1028"/>
      <c r="J13" s="1822">
        <f t="shared" si="1"/>
        <v>0</v>
      </c>
    </row>
    <row r="14" spans="1:17" ht="15" customHeight="1" x14ac:dyDescent="0.2">
      <c r="A14" s="1024">
        <v>3</v>
      </c>
      <c r="B14" s="1025" t="s">
        <v>45</v>
      </c>
      <c r="C14" s="1026"/>
      <c r="D14" s="1030">
        <v>2490</v>
      </c>
      <c r="E14" s="1822">
        <f>'Expenditures 15-22'!K56</f>
        <v>0</v>
      </c>
      <c r="F14" s="1028"/>
      <c r="G14" s="1822">
        <f t="shared" si="0"/>
        <v>0</v>
      </c>
      <c r="H14" s="1029"/>
      <c r="I14" s="1028"/>
      <c r="J14" s="1822">
        <f t="shared" si="1"/>
        <v>0</v>
      </c>
    </row>
    <row r="15" spans="1:17" ht="15" customHeight="1" x14ac:dyDescent="0.2">
      <c r="A15" s="1024">
        <v>4</v>
      </c>
      <c r="B15" s="1025" t="s">
        <v>1128</v>
      </c>
      <c r="C15" s="1026"/>
      <c r="D15" s="1027">
        <v>2510</v>
      </c>
      <c r="E15" s="1822">
        <f>'Expenditures 15-22'!K59</f>
        <v>0</v>
      </c>
      <c r="F15" s="1822">
        <f>'Expenditures 15-22'!K122</f>
        <v>0</v>
      </c>
      <c r="G15" s="1822">
        <f t="shared" si="0"/>
        <v>0</v>
      </c>
      <c r="H15" s="1029"/>
      <c r="I15" s="1029"/>
      <c r="J15" s="1822">
        <f t="shared" si="1"/>
        <v>0</v>
      </c>
    </row>
    <row r="16" spans="1:17" ht="15" customHeight="1" x14ac:dyDescent="0.2">
      <c r="A16" s="1024">
        <v>5</v>
      </c>
      <c r="B16" s="1025" t="s">
        <v>103</v>
      </c>
      <c r="C16" s="1026"/>
      <c r="D16" s="1027">
        <v>2570</v>
      </c>
      <c r="E16" s="1822">
        <f>'Expenditures 15-22'!K64</f>
        <v>0</v>
      </c>
      <c r="F16" s="1028"/>
      <c r="G16" s="1822">
        <f t="shared" si="0"/>
        <v>0</v>
      </c>
      <c r="H16" s="1029"/>
      <c r="I16" s="1028"/>
      <c r="J16" s="1822">
        <f t="shared" si="1"/>
        <v>0</v>
      </c>
    </row>
    <row r="17" spans="1:10" ht="15" customHeight="1" x14ac:dyDescent="0.2">
      <c r="A17" s="1024">
        <v>6</v>
      </c>
      <c r="B17" s="1025" t="s">
        <v>1120</v>
      </c>
      <c r="C17" s="1026"/>
      <c r="D17" s="1027">
        <v>2610</v>
      </c>
      <c r="E17" s="1822">
        <f>'Expenditures 15-22'!K67</f>
        <v>0</v>
      </c>
      <c r="F17" s="1028"/>
      <c r="G17" s="1822">
        <f t="shared" si="0"/>
        <v>0</v>
      </c>
      <c r="H17" s="1029"/>
      <c r="I17" s="1028"/>
      <c r="J17" s="1822">
        <f t="shared" si="1"/>
        <v>0</v>
      </c>
    </row>
    <row r="18" spans="1:10" ht="22.5" customHeight="1" x14ac:dyDescent="0.2">
      <c r="A18" s="1031">
        <v>7</v>
      </c>
      <c r="B18" s="2335" t="s">
        <v>7</v>
      </c>
      <c r="C18" s="2336"/>
      <c r="D18" s="2337"/>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255259</v>
      </c>
      <c r="F19" s="1824">
        <f t="shared" si="2"/>
        <v>0</v>
      </c>
      <c r="G19" s="1824">
        <f t="shared" si="2"/>
        <v>255259</v>
      </c>
      <c r="H19" s="1824">
        <f t="shared" si="2"/>
        <v>287460</v>
      </c>
      <c r="I19" s="1824">
        <f t="shared" si="2"/>
        <v>0</v>
      </c>
      <c r="J19" s="1824">
        <f t="shared" si="2"/>
        <v>287460</v>
      </c>
    </row>
    <row r="20" spans="1:10" ht="13.5" thickTop="1" x14ac:dyDescent="0.2">
      <c r="A20" s="1024">
        <v>9</v>
      </c>
      <c r="B20" s="2338" t="s">
        <v>1703</v>
      </c>
      <c r="C20" s="2338"/>
      <c r="D20" s="2339"/>
      <c r="E20" s="1035"/>
      <c r="F20" s="1035"/>
      <c r="G20" s="1035"/>
      <c r="H20" s="1035"/>
      <c r="I20" s="1035"/>
      <c r="J20" s="1825">
        <f>IF(AND(G19&gt;0,J19&gt;0),(((J19-G19)/G19)),"Enter Budget Data")</f>
        <v>0.12615030224203652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4"/>
      <c r="D26" s="2344"/>
      <c r="E26" s="1039"/>
      <c r="F26" s="2343"/>
      <c r="G26" s="2343"/>
    </row>
    <row r="27" spans="1:10" x14ac:dyDescent="0.2">
      <c r="B27" s="1036"/>
      <c r="C27" s="1040" t="s">
        <v>1093</v>
      </c>
      <c r="D27" s="1041"/>
      <c r="E27" s="1042"/>
      <c r="F27" s="2340" t="s">
        <v>1589</v>
      </c>
      <c r="G27" s="2340"/>
    </row>
    <row r="28" spans="1:10" ht="28.5" customHeight="1" x14ac:dyDescent="0.2">
      <c r="B28" s="1036"/>
      <c r="C28" s="2342"/>
      <c r="D28" s="2342"/>
      <c r="E28" s="1043"/>
      <c r="F28" s="2342"/>
      <c r="G28" s="2342"/>
    </row>
    <row r="29" spans="1:10" x14ac:dyDescent="0.2">
      <c r="B29" s="1036"/>
      <c r="C29" s="1044" t="s">
        <v>1642</v>
      </c>
      <c r="E29" s="1045"/>
      <c r="F29" s="2341" t="s">
        <v>1590</v>
      </c>
      <c r="G29" s="2341"/>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3" t="s">
        <v>134</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51"/>
    </row>
    <row r="36" spans="1:10" ht="13.5" customHeight="1" x14ac:dyDescent="0.2">
      <c r="B36" s="1050" t="s">
        <v>2077</v>
      </c>
      <c r="C36" s="2325" t="s">
        <v>1944</v>
      </c>
      <c r="D36" s="2324"/>
      <c r="E36" s="2324"/>
      <c r="F36" s="2324"/>
      <c r="G36" s="2324"/>
      <c r="H36" s="2324"/>
      <c r="I36" s="2324"/>
      <c r="J36" s="1052"/>
    </row>
    <row r="37" spans="1:10" ht="22.5" customHeight="1" x14ac:dyDescent="0.2">
      <c r="C37" s="2324"/>
      <c r="D37" s="2324"/>
      <c r="E37" s="2324"/>
      <c r="F37" s="2324"/>
      <c r="G37" s="2324"/>
      <c r="H37" s="2324"/>
      <c r="I37" s="2324"/>
      <c r="J37" s="1052"/>
    </row>
    <row r="38" spans="1:10" ht="7.5" customHeight="1" x14ac:dyDescent="0.2">
      <c r="C38" s="1051"/>
      <c r="D38" s="1053"/>
      <c r="E38" s="1054"/>
      <c r="F38" s="1055"/>
      <c r="G38" s="1054"/>
    </row>
    <row r="39" spans="1:10" ht="13.5" customHeight="1" x14ac:dyDescent="0.2">
      <c r="B39" s="1050"/>
      <c r="C39" s="2321" t="s">
        <v>937</v>
      </c>
      <c r="D39" s="2322"/>
      <c r="E39" s="2322"/>
      <c r="F39" s="2322"/>
      <c r="G39" s="2322"/>
      <c r="H39" s="2322"/>
      <c r="I39" s="2322"/>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87" sqref="D8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Laraway CCSD 70C</v>
      </c>
    </row>
    <row r="65" spans="2:2" x14ac:dyDescent="0.2">
      <c r="B65" s="1059" t="str">
        <f>COVER!A13</f>
        <v>56-099-070C-04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7" sqref="D8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2" sqref="B3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5" t="s">
        <v>1784</v>
      </c>
      <c r="B18" s="234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87" sqref="D8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63"/>
      <c r="H2" s="1063"/>
    </row>
    <row r="3" spans="1:8" ht="57" customHeight="1" x14ac:dyDescent="0.2">
      <c r="A3" s="2359" t="s">
        <v>1786</v>
      </c>
      <c r="B3" s="2360"/>
      <c r="C3" s="2360"/>
      <c r="D3" s="2360"/>
      <c r="E3" s="2360"/>
      <c r="F3" s="2361"/>
      <c r="G3" s="1063"/>
      <c r="H3" s="1063"/>
    </row>
    <row r="4" spans="1:8" ht="14.25" customHeight="1" x14ac:dyDescent="0.2">
      <c r="A4" s="2365" t="s">
        <v>2056</v>
      </c>
      <c r="B4" s="2366"/>
      <c r="C4" s="2366"/>
      <c r="D4" s="2366"/>
      <c r="E4" s="2366"/>
      <c r="F4" s="2367"/>
      <c r="G4" s="1063"/>
      <c r="H4" s="1063"/>
    </row>
    <row r="5" spans="1:8" ht="14.25" customHeight="1" x14ac:dyDescent="0.2">
      <c r="A5" s="2368" t="s">
        <v>2057</v>
      </c>
      <c r="B5" s="2369"/>
      <c r="C5" s="2369"/>
      <c r="D5" s="2369"/>
      <c r="E5" s="2369"/>
      <c r="F5" s="2370"/>
      <c r="G5" s="1063"/>
      <c r="H5" s="1063"/>
    </row>
    <row r="6" spans="1:8" s="1064" customFormat="1" ht="41.25" customHeight="1" x14ac:dyDescent="0.2">
      <c r="A6" s="2362" t="s">
        <v>1792</v>
      </c>
      <c r="B6" s="2363"/>
      <c r="C6" s="2363"/>
      <c r="D6" s="2363"/>
      <c r="E6" s="2363"/>
      <c r="F6" s="2364"/>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8152742</v>
      </c>
      <c r="C8" s="1826">
        <f>'Acct Summary 7-8'!D8</f>
        <v>2273855</v>
      </c>
      <c r="D8" s="1826">
        <f>'Acct Summary 7-8'!F8</f>
        <v>671919</v>
      </c>
      <c r="E8" s="1826">
        <f>'Acct Summary 7-8'!I8</f>
        <v>108180</v>
      </c>
      <c r="F8" s="1826">
        <f>SUM(B8:E8)</f>
        <v>11206696</v>
      </c>
    </row>
    <row r="9" spans="1:8" s="1068" customFormat="1" ht="14.25" customHeight="1" thickBot="1" x14ac:dyDescent="0.25">
      <c r="A9" s="1067" t="s">
        <v>1436</v>
      </c>
      <c r="B9" s="1827">
        <f>'Acct Summary 7-8'!C17</f>
        <v>6694719</v>
      </c>
      <c r="C9" s="1827">
        <f>'Acct Summary 7-8'!D17</f>
        <v>860067</v>
      </c>
      <c r="D9" s="1827">
        <f>'Acct Summary 7-8'!F17</f>
        <v>795513</v>
      </c>
      <c r="E9" s="1826"/>
      <c r="F9" s="1826">
        <f>SUM(B9:E9)</f>
        <v>8350299</v>
      </c>
    </row>
    <row r="10" spans="1:8" s="1068" customFormat="1" ht="14.25" thickTop="1" thickBot="1" x14ac:dyDescent="0.25">
      <c r="A10" s="1069" t="s">
        <v>1437</v>
      </c>
      <c r="B10" s="1828">
        <f>(B8-B9)</f>
        <v>1458023</v>
      </c>
      <c r="C10" s="1828">
        <f>(C8-C9)</f>
        <v>1413788</v>
      </c>
      <c r="D10" s="1828">
        <f>(D8-D9)</f>
        <v>-123594</v>
      </c>
      <c r="E10" s="1827">
        <f>(E8-E9)</f>
        <v>108180</v>
      </c>
      <c r="F10" s="1829">
        <f>SUM(F8-F9)</f>
        <v>2856397</v>
      </c>
    </row>
    <row r="11" spans="1:8" s="1068" customFormat="1" ht="14.25" thickTop="1" thickBot="1" x14ac:dyDescent="0.25">
      <c r="A11" s="1070" t="s">
        <v>1785</v>
      </c>
      <c r="B11" s="1830">
        <f>'Acct Summary 7-8'!C81</f>
        <v>11793575</v>
      </c>
      <c r="C11" s="1830">
        <f>'Acct Summary 7-8'!D81</f>
        <v>823778</v>
      </c>
      <c r="D11" s="1830">
        <f>'Acct Summary 7-8'!F81</f>
        <v>1025781</v>
      </c>
      <c r="E11" s="1830">
        <f>'Acct Summary 7-8'!I81</f>
        <v>0</v>
      </c>
      <c r="F11" s="1831">
        <f>SUM(B11:E11)</f>
        <v>13643134</v>
      </c>
    </row>
    <row r="12" spans="1:8" ht="16.5" customHeight="1" thickTop="1" x14ac:dyDescent="0.2">
      <c r="A12" s="1071"/>
      <c r="B12" s="1072"/>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73"/>
      <c r="B13" s="1074"/>
      <c r="C13" s="2350"/>
      <c r="D13" s="2351"/>
      <c r="E13" s="2351"/>
      <c r="F13" s="2352"/>
      <c r="H13" s="1063"/>
    </row>
    <row r="14" spans="1:8" ht="19.5" customHeight="1" x14ac:dyDescent="0.2">
      <c r="A14" s="1073"/>
      <c r="B14" s="1074"/>
      <c r="C14" s="2350"/>
      <c r="D14" s="2351"/>
      <c r="E14" s="2351"/>
      <c r="F14" s="2352"/>
      <c r="H14" s="1063"/>
    </row>
    <row r="15" spans="1:8" ht="17.25" customHeight="1" x14ac:dyDescent="0.2">
      <c r="A15" s="1073"/>
      <c r="B15" s="1074"/>
      <c r="C15" s="2353"/>
      <c r="D15" s="2354"/>
      <c r="E15" s="2354"/>
      <c r="F15" s="2355"/>
      <c r="H15" s="1063"/>
    </row>
    <row r="16" spans="1:8" s="310" customFormat="1" ht="51.75" hidden="1" customHeight="1" x14ac:dyDescent="0.2">
      <c r="A16" s="2349" t="s">
        <v>1787</v>
      </c>
      <c r="B16" s="2349"/>
      <c r="C16" s="2349"/>
      <c r="D16" s="2349"/>
      <c r="E16" s="2349"/>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5" colorId="8" zoomScale="110" zoomScaleNormal="110" workbookViewId="0">
      <selection activeCell="D87" sqref="D87"/>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10"/>
      <c r="B2" s="1911"/>
      <c r="C2" s="1912"/>
      <c r="D2" s="1913"/>
    </row>
    <row r="3" spans="1:4" ht="36" customHeight="1" x14ac:dyDescent="0.2">
      <c r="A3" s="2371" t="s">
        <v>686</v>
      </c>
      <c r="B3" s="2372"/>
      <c r="C3" s="2372"/>
      <c r="D3" s="2373"/>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2" t="s">
        <v>1584</v>
      </c>
      <c r="D7" s="2383"/>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4" t="s">
        <v>1065</v>
      </c>
      <c r="B15" s="2375"/>
      <c r="C15" s="2375"/>
      <c r="D15" s="2376"/>
    </row>
    <row r="16" spans="1:4" s="658" customFormat="1" ht="24" customHeight="1" x14ac:dyDescent="0.2">
      <c r="A16" s="2377" t="s">
        <v>684</v>
      </c>
      <c r="B16" s="2378"/>
      <c r="C16" s="2378"/>
      <c r="D16" s="2379"/>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6" t="s">
        <v>332</v>
      </c>
      <c r="D21" s="2387"/>
    </row>
    <row r="22" spans="1:10" ht="12.75" x14ac:dyDescent="0.2">
      <c r="A22" s="1128"/>
      <c r="B22" s="1129">
        <v>2</v>
      </c>
      <c r="C22" s="2384" t="s">
        <v>1605</v>
      </c>
      <c r="D22" s="2385"/>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8" t="s">
        <v>557</v>
      </c>
      <c r="D43" s="2389"/>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0" t="s">
        <v>817</v>
      </c>
      <c r="D56" s="2381"/>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80" t="s">
        <v>1797</v>
      </c>
      <c r="D70" s="2381"/>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56-099-070C-04</v>
      </c>
    </row>
    <row r="3" spans="1:2" x14ac:dyDescent="0.2">
      <c r="A3" t="s">
        <v>1013</v>
      </c>
      <c r="B3" s="138" t="str">
        <f>COVER!A15</f>
        <v>WILL</v>
      </c>
    </row>
    <row r="4" spans="1:2" x14ac:dyDescent="0.2">
      <c r="A4" t="s">
        <v>1064</v>
      </c>
      <c r="B4" s="138" t="str">
        <f>COVER!A17</f>
        <v>Laraway CCSD 70C</v>
      </c>
    </row>
    <row r="5" spans="1:2" x14ac:dyDescent="0.2">
      <c r="A5" t="s">
        <v>728</v>
      </c>
      <c r="B5" s="138" t="str">
        <f>COVER!A38</f>
        <v>DR. JOSEPH R SALMIERI III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 AVENUE</v>
      </c>
    </row>
    <row r="19" spans="1:2" x14ac:dyDescent="0.2">
      <c r="A19" t="s">
        <v>941</v>
      </c>
      <c r="B19" s="138">
        <f>COVER!T25</f>
        <v>0</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2281802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11793575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11793575</v>
      </c>
      <c r="D92" s="2" t="str">
        <f t="shared" si="0"/>
        <v>Error?</v>
      </c>
    </row>
    <row r="93" spans="1:4" x14ac:dyDescent="0.2">
      <c r="A93" s="5">
        <v>32</v>
      </c>
      <c r="B93" s="138">
        <f>'Assets-Liab 5-6'!C41</f>
        <v>11793575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824325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547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547</v>
      </c>
      <c r="C122" s="2" t="s">
        <v>594</v>
      </c>
      <c r="D122" s="2" t="str">
        <f t="shared" si="0"/>
        <v>Error?</v>
      </c>
    </row>
    <row r="123" spans="1:4" x14ac:dyDescent="0.2">
      <c r="A123" s="5">
        <v>62</v>
      </c>
      <c r="B123" s="138">
        <f>'Assets-Liab 5-6'!D39</f>
        <v>823778</v>
      </c>
      <c r="D123" s="2" t="str">
        <f t="shared" si="0"/>
        <v>Error?</v>
      </c>
    </row>
    <row r="124" spans="1:4" x14ac:dyDescent="0.2">
      <c r="A124" s="5">
        <v>63</v>
      </c>
      <c r="B124" s="138">
        <f>'Assets-Liab 5-6'!D41</f>
        <v>824325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30535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30535</v>
      </c>
      <c r="D140" s="2" t="str">
        <f t="shared" si="1"/>
        <v>Error?</v>
      </c>
    </row>
    <row r="141" spans="1:4" x14ac:dyDescent="0.2">
      <c r="A141" s="5">
        <v>80</v>
      </c>
      <c r="B141" s="138">
        <f>'Assets-Liab 5-6'!E41</f>
        <v>30535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1025786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v>
      </c>
      <c r="C169" s="2" t="s">
        <v>594</v>
      </c>
      <c r="D169" s="2" t="str">
        <f t="shared" si="1"/>
        <v>Error?</v>
      </c>
    </row>
    <row r="170" spans="1:4" x14ac:dyDescent="0.2">
      <c r="A170" s="5">
        <v>109</v>
      </c>
      <c r="B170" s="138">
        <f>'Assets-Liab 5-6'!F39</f>
        <v>1025781</v>
      </c>
      <c r="D170" s="2" t="str">
        <f t="shared" si="1"/>
        <v>Error?</v>
      </c>
    </row>
    <row r="171" spans="1:4" x14ac:dyDescent="0.2">
      <c r="A171" s="5">
        <v>110</v>
      </c>
      <c r="B171" s="138">
        <f>'Assets-Liab 5-6'!F41</f>
        <v>1025786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280359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280359</v>
      </c>
      <c r="D189" s="2" t="str">
        <f t="shared" si="1"/>
        <v>Error?</v>
      </c>
    </row>
    <row r="190" spans="1:4" x14ac:dyDescent="0.2">
      <c r="A190" s="5">
        <v>129</v>
      </c>
      <c r="B190" s="138">
        <f>'Assets-Liab 5-6'!G41</f>
        <v>280359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7023955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7023955</v>
      </c>
      <c r="D212" s="2" t="str">
        <f t="shared" si="2"/>
        <v>Error?</v>
      </c>
    </row>
    <row r="213" spans="1:4" x14ac:dyDescent="0.2">
      <c r="A213" s="12">
        <v>152</v>
      </c>
      <c r="B213" s="138">
        <f>'Assets-Liab 5-6'!H41</f>
        <v>7023955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825000</v>
      </c>
      <c r="D273" s="2" t="str">
        <f t="shared" si="3"/>
        <v>Error?</v>
      </c>
    </row>
    <row r="274" spans="1:4" x14ac:dyDescent="0.2">
      <c r="A274" s="5">
        <v>213</v>
      </c>
      <c r="B274" s="138">
        <f>'Assets-Liab 5-6'!M17</f>
        <v>5458720</v>
      </c>
      <c r="D274" s="2" t="str">
        <f t="shared" si="3"/>
        <v>Error?</v>
      </c>
    </row>
    <row r="275" spans="1:4" x14ac:dyDescent="0.2">
      <c r="A275" s="5">
        <v>214</v>
      </c>
      <c r="B275" s="138">
        <f>'Assets-Liab 5-6'!M18</f>
        <v>0</v>
      </c>
      <c r="D275" s="2" t="str">
        <f t="shared" si="3"/>
        <v>Error?</v>
      </c>
    </row>
    <row r="276" spans="1:4" x14ac:dyDescent="0.2">
      <c r="A276" s="5">
        <v>215</v>
      </c>
      <c r="B276" s="138">
        <f>'Assets-Liab 5-6'!M19</f>
        <v>3550837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38233686</v>
      </c>
      <c r="C279" s="2" t="s">
        <v>594</v>
      </c>
      <c r="D279" s="2" t="str">
        <f t="shared" si="3"/>
        <v>Error?</v>
      </c>
    </row>
    <row r="280" spans="1:4" x14ac:dyDescent="0.2">
      <c r="A280" s="5">
        <v>219</v>
      </c>
      <c r="B280" s="138">
        <f>'Assets-Liab 5-6'!M40</f>
        <v>38233686</v>
      </c>
      <c r="D280" s="2" t="str">
        <f t="shared" si="3"/>
        <v>Error?</v>
      </c>
    </row>
    <row r="281" spans="1:4" x14ac:dyDescent="0.2">
      <c r="A281" s="5">
        <v>220</v>
      </c>
      <c r="B281" s="138">
        <f>'Assets-Liab 5-6'!M41</f>
        <v>38233686</v>
      </c>
      <c r="C281" s="2" t="s">
        <v>594</v>
      </c>
      <c r="D281" s="2" t="str">
        <f t="shared" si="3"/>
        <v>Error?</v>
      </c>
    </row>
    <row r="282" spans="1:4" x14ac:dyDescent="0.2">
      <c r="A282" s="5">
        <v>221</v>
      </c>
      <c r="B282" s="138">
        <f>'Assets-Liab 5-6'!N21</f>
        <v>30535</v>
      </c>
      <c r="D282" s="2" t="str">
        <f t="shared" si="3"/>
        <v>Error?</v>
      </c>
    </row>
    <row r="283" spans="1:4" x14ac:dyDescent="0.2">
      <c r="A283" s="5">
        <v>222</v>
      </c>
      <c r="B283" s="138">
        <f>'Assets-Liab 5-6'!N22</f>
        <v>34594465</v>
      </c>
      <c r="D283" s="2" t="str">
        <f t="shared" si="3"/>
        <v>Error?</v>
      </c>
    </row>
    <row r="284" spans="1:4" x14ac:dyDescent="0.2">
      <c r="A284" s="5">
        <v>223</v>
      </c>
      <c r="B284" s="138">
        <f>'Assets-Liab 5-6'!N23</f>
        <v>34625000</v>
      </c>
      <c r="C284" s="2" t="s">
        <v>594</v>
      </c>
      <c r="D284" s="2" t="str">
        <f t="shared" si="3"/>
        <v>Error?</v>
      </c>
    </row>
    <row r="285" spans="1:4" x14ac:dyDescent="0.2">
      <c r="A285" s="5">
        <v>224</v>
      </c>
      <c r="B285" s="138">
        <f>'Assets-Liab 5-6'!N36</f>
        <v>34625000</v>
      </c>
      <c r="D285" s="2" t="str">
        <f t="shared" si="3"/>
        <v>Error?</v>
      </c>
    </row>
    <row r="286" spans="1:4" x14ac:dyDescent="0.2">
      <c r="A286" s="10">
        <v>225</v>
      </c>
      <c r="D286" s="2" t="str">
        <f t="shared" si="3"/>
        <v>OK</v>
      </c>
    </row>
    <row r="287" spans="1:4" x14ac:dyDescent="0.2">
      <c r="A287" s="5">
        <v>226</v>
      </c>
      <c r="B287" s="138">
        <f>'Assets-Liab 5-6'!N37</f>
        <v>34625000</v>
      </c>
      <c r="C287" s="2" t="s">
        <v>594</v>
      </c>
      <c r="D287" s="2" t="str">
        <f t="shared" si="3"/>
        <v>Error?</v>
      </c>
    </row>
    <row r="288" spans="1:4" x14ac:dyDescent="0.2">
      <c r="A288" s="5">
        <v>227</v>
      </c>
      <c r="B288" s="138">
        <f>'Assets-Liab 5-6'!N41</f>
        <v>34625000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2084847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217404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91960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3122479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63728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63728</v>
      </c>
      <c r="C727" s="2" t="s">
        <v>594</v>
      </c>
      <c r="D727" s="2" t="str">
        <f t="shared" si="10"/>
        <v>Error?</v>
      </c>
    </row>
    <row r="728" spans="1:4" x14ac:dyDescent="0.2">
      <c r="A728" s="5">
        <v>667</v>
      </c>
      <c r="B728" s="138">
        <f>'Expenditures 15-22'!C44</f>
        <v>8246</v>
      </c>
      <c r="D728" s="2" t="str">
        <f t="shared" si="10"/>
        <v>Error?</v>
      </c>
    </row>
    <row r="729" spans="1:4" x14ac:dyDescent="0.2">
      <c r="A729" s="5">
        <v>668</v>
      </c>
      <c r="B729" s="138">
        <f>'Expenditures 15-22'!C45</f>
        <v>90704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98950</v>
      </c>
      <c r="C731" s="2" t="s">
        <v>594</v>
      </c>
      <c r="D731" s="2" t="str">
        <f t="shared" si="10"/>
        <v>Error?</v>
      </c>
    </row>
    <row r="732" spans="1:4" x14ac:dyDescent="0.2">
      <c r="A732" s="5">
        <v>671</v>
      </c>
      <c r="B732" s="138">
        <f>'Expenditures 15-22'!C49</f>
        <v>9392</v>
      </c>
      <c r="D732" s="2" t="str">
        <f t="shared" si="10"/>
        <v>Error?</v>
      </c>
    </row>
    <row r="733" spans="1:4" x14ac:dyDescent="0.2">
      <c r="A733" s="5">
        <v>672</v>
      </c>
      <c r="B733" s="138">
        <f>'Expenditures 15-22'!C50</f>
        <v>178928</v>
      </c>
      <c r="D733" s="2" t="str">
        <f t="shared" si="10"/>
        <v>Error?</v>
      </c>
    </row>
    <row r="734" spans="1:4" x14ac:dyDescent="0.2">
      <c r="A734" s="5">
        <v>673</v>
      </c>
      <c r="B734" s="138">
        <f>'Expenditures 15-22'!C53</f>
        <v>188320</v>
      </c>
      <c r="C734" s="2" t="s">
        <v>594</v>
      </c>
      <c r="D734" s="2" t="str">
        <f t="shared" si="10"/>
        <v>Error?</v>
      </c>
    </row>
    <row r="735" spans="1:4" x14ac:dyDescent="0.2">
      <c r="A735" s="5">
        <v>674</v>
      </c>
      <c r="B735" s="138">
        <f>'Expenditures 15-22'!C55</f>
        <v>284999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284999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78225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155323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233548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84397</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84397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953942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4076421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505058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3113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671577</v>
      </c>
      <c r="C778" s="2" t="s">
        <v>594</v>
      </c>
      <c r="D778" s="2" t="str">
        <f t="shared" si="11"/>
        <v>Error?</v>
      </c>
    </row>
    <row r="779" spans="1:4" x14ac:dyDescent="0.2">
      <c r="A779" s="5">
        <v>718</v>
      </c>
      <c r="B779" s="138">
        <f>'Expenditures 15-22'!D36</f>
        <v>67732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13935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81667</v>
      </c>
      <c r="C785" s="2" t="s">
        <v>594</v>
      </c>
      <c r="D785" s="2" t="str">
        <f t="shared" si="11"/>
        <v>Error?</v>
      </c>
    </row>
    <row r="786" spans="1:4" x14ac:dyDescent="0.2">
      <c r="A786" s="5">
        <v>725</v>
      </c>
      <c r="B786" s="138">
        <f>'Expenditures 15-22'!D44</f>
        <v>257</v>
      </c>
      <c r="D786" s="2" t="str">
        <f t="shared" si="11"/>
        <v>Error?</v>
      </c>
    </row>
    <row r="787" spans="1:4" x14ac:dyDescent="0.2">
      <c r="A787" s="5">
        <v>726</v>
      </c>
      <c r="B787" s="138">
        <f>'Expenditures 15-22'!D45</f>
        <v>13648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13905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55872</v>
      </c>
      <c r="D791" s="2" t="str">
        <f t="shared" si="11"/>
        <v>Error?</v>
      </c>
    </row>
    <row r="792" spans="1:4" x14ac:dyDescent="0.2">
      <c r="A792" s="5">
        <v>731</v>
      </c>
      <c r="B792" s="138">
        <f>'Expenditures 15-22'!D53</f>
        <v>55872</v>
      </c>
      <c r="C792" s="2" t="s">
        <v>594</v>
      </c>
      <c r="D792" s="2" t="str">
        <f t="shared" si="11"/>
        <v>Error?</v>
      </c>
    </row>
    <row r="793" spans="1:4" x14ac:dyDescent="0.2">
      <c r="A793" s="5">
        <v>732</v>
      </c>
      <c r="B793" s="138">
        <f>'Expenditures 15-22'!D55</f>
        <v>138482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138482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28263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18597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46860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17942</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17942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354728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1026305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45837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8452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62998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901</v>
      </c>
      <c r="C843" s="2" t="s">
        <v>594</v>
      </c>
      <c r="D843" s="2" t="str">
        <f t="shared" si="12"/>
        <v>Error?</v>
      </c>
    </row>
    <row r="844" spans="1:4" x14ac:dyDescent="0.2">
      <c r="A844" s="5">
        <v>783</v>
      </c>
      <c r="B844" s="138">
        <f>'Expenditures 15-22'!E44</f>
        <v>15797</v>
      </c>
      <c r="D844" s="2" t="str">
        <f t="shared" si="12"/>
        <v>Error?</v>
      </c>
    </row>
    <row r="845" spans="1:4" x14ac:dyDescent="0.2">
      <c r="A845" s="5">
        <v>784</v>
      </c>
      <c r="B845" s="138">
        <f>'Expenditures 15-22'!E45</f>
        <v>195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15992</v>
      </c>
      <c r="C847" s="2" t="s">
        <v>594</v>
      </c>
      <c r="D847" s="2" t="str">
        <f t="shared" si="12"/>
        <v>Error?</v>
      </c>
    </row>
    <row r="848" spans="1:4" x14ac:dyDescent="0.2">
      <c r="A848" s="5">
        <v>787</v>
      </c>
      <c r="B848" s="138">
        <f>'Expenditures 15-22'!E49</f>
        <v>22696</v>
      </c>
      <c r="D848" s="2" t="str">
        <f t="shared" si="12"/>
        <v>Error?</v>
      </c>
    </row>
    <row r="849" spans="1:4" x14ac:dyDescent="0.2">
      <c r="A849" s="5">
        <v>788</v>
      </c>
      <c r="B849" s="138">
        <f>'Expenditures 15-22'!E50</f>
        <v>4120</v>
      </c>
      <c r="D849" s="2" t="str">
        <f t="shared" si="12"/>
        <v>Error?</v>
      </c>
    </row>
    <row r="850" spans="1:4" x14ac:dyDescent="0.2">
      <c r="A850" s="5">
        <v>789</v>
      </c>
      <c r="B850" s="138">
        <f>'Expenditures 15-22'!E53</f>
        <v>26816</v>
      </c>
      <c r="C850" s="2" t="s">
        <v>594</v>
      </c>
      <c r="D850" s="2" t="str">
        <f t="shared" si="12"/>
        <v>Error?</v>
      </c>
    </row>
    <row r="851" spans="1:4" x14ac:dyDescent="0.2">
      <c r="A851" s="5">
        <v>790</v>
      </c>
      <c r="B851" s="138">
        <f>'Expenditures 15-22'!E55</f>
        <v>1565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1565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9099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13644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92000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92000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150918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866706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42207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10359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16369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111988</v>
      </c>
      <c r="C894" s="2" t="s">
        <v>594</v>
      </c>
      <c r="D894" s="2" t="str">
        <f t="shared" si="12"/>
        <v>Error?</v>
      </c>
    </row>
    <row r="895" spans="1:4" x14ac:dyDescent="0.2">
      <c r="A895" s="5">
        <v>834</v>
      </c>
      <c r="B895" s="138">
        <f>'Expenditures 15-22'!F36</f>
        <v>377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2534</v>
      </c>
      <c r="C901" s="2" t="s">
        <v>594</v>
      </c>
      <c r="D901" s="2" t="str">
        <f t="shared" si="13"/>
        <v>Error?</v>
      </c>
    </row>
    <row r="902" spans="1:4" x14ac:dyDescent="0.2">
      <c r="A902" s="5">
        <v>841</v>
      </c>
      <c r="B902" s="138">
        <f>'Expenditures 15-22'!F44</f>
        <v>1198</v>
      </c>
      <c r="D902" s="2" t="str">
        <f t="shared" si="13"/>
        <v>Error?</v>
      </c>
    </row>
    <row r="903" spans="1:4" x14ac:dyDescent="0.2">
      <c r="A903" s="5">
        <v>842</v>
      </c>
      <c r="B903" s="138">
        <f>'Expenditures 15-22'!F45</f>
        <v>7947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9145</v>
      </c>
      <c r="C905" s="2" t="s">
        <v>594</v>
      </c>
      <c r="D905" s="2" t="str">
        <f t="shared" si="13"/>
        <v>Error?</v>
      </c>
    </row>
    <row r="906" spans="1:4" x14ac:dyDescent="0.2">
      <c r="A906" s="5">
        <v>845</v>
      </c>
      <c r="B906" s="138">
        <f>'Expenditures 15-22'!F49</f>
        <v>25668</v>
      </c>
      <c r="D906" s="2" t="str">
        <f t="shared" si="13"/>
        <v>Error?</v>
      </c>
    </row>
    <row r="907" spans="1:4" x14ac:dyDescent="0.2">
      <c r="A907" s="5">
        <v>846</v>
      </c>
      <c r="B907" s="138">
        <f>'Expenditures 15-22'!F50</f>
        <v>11800</v>
      </c>
      <c r="D907" s="2" t="str">
        <f t="shared" si="13"/>
        <v>Error?</v>
      </c>
    </row>
    <row r="908" spans="1:4" x14ac:dyDescent="0.2">
      <c r="A908" s="5">
        <v>847</v>
      </c>
      <c r="B908" s="138">
        <f>'Expenditures 15-22'!F53</f>
        <v>37468</v>
      </c>
      <c r="C908" s="2" t="s">
        <v>594</v>
      </c>
      <c r="D908" s="2" t="str">
        <f t="shared" si="13"/>
        <v>Error?</v>
      </c>
    </row>
    <row r="909" spans="1:4" x14ac:dyDescent="0.2">
      <c r="A909" s="5">
        <v>848</v>
      </c>
      <c r="B909" s="138">
        <f>'Expenditures 15-22'!F55</f>
        <v>2208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2208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4811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225758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230569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13720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13720</v>
      </c>
      <c r="C927" s="2" t="s">
        <v>594</v>
      </c>
      <c r="D927" s="2" t="str">
        <f t="shared" si="13"/>
        <v>Error?</v>
      </c>
    </row>
    <row r="928" spans="1:4" x14ac:dyDescent="0.2">
      <c r="A928" s="5">
        <v>867</v>
      </c>
      <c r="B928" s="138">
        <f>'Expenditures 15-22'!F73</f>
        <v>400</v>
      </c>
      <c r="D928" s="2" t="str">
        <f t="shared" si="13"/>
        <v>Error?</v>
      </c>
    </row>
    <row r="929" spans="1:4" x14ac:dyDescent="0.2">
      <c r="A929" s="5">
        <v>868</v>
      </c>
      <c r="B929" s="138">
        <f>'Expenditures 15-22'!F74</f>
        <v>296044</v>
      </c>
      <c r="C929" s="2" t="s">
        <v>594</v>
      </c>
      <c r="D929" s="2" t="str">
        <f t="shared" si="13"/>
        <v>Error?</v>
      </c>
    </row>
    <row r="930" spans="1:4" x14ac:dyDescent="0.2">
      <c r="A930" s="5">
        <v>869</v>
      </c>
      <c r="B930" s="138">
        <f>'Expenditures 15-22'!F75</f>
        <v>3611</v>
      </c>
      <c r="D930" s="2" t="str">
        <f t="shared" si="13"/>
        <v>Error?</v>
      </c>
    </row>
    <row r="931" spans="1:4" x14ac:dyDescent="0.2">
      <c r="A931" s="5">
        <v>870</v>
      </c>
      <c r="B931" s="138">
        <f>'Expenditures 15-22'!F114</f>
        <v>411643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18300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79300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3539</v>
      </c>
      <c r="D965" s="2" t="str">
        <f t="shared" si="14"/>
        <v>Error?</v>
      </c>
    </row>
    <row r="966" spans="1:4" x14ac:dyDescent="0.2">
      <c r="A966" s="5">
        <v>905</v>
      </c>
      <c r="B966" s="138">
        <f>'Expenditures 15-22'!G53</f>
        <v>3539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61964</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61964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65503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144803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12635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2821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15456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82</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337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337</v>
      </c>
      <c r="C1021" s="2" t="s">
        <v>594</v>
      </c>
      <c r="D1021" s="2" t="str">
        <f t="shared" si="14"/>
        <v>Error?</v>
      </c>
    </row>
    <row r="1022" spans="1:4" x14ac:dyDescent="0.2">
      <c r="A1022" s="5">
        <v>961</v>
      </c>
      <c r="B1022" s="138">
        <f>'Expenditures 15-22'!H49</f>
        <v>5135</v>
      </c>
      <c r="D1022" s="2" t="str">
        <f t="shared" si="14"/>
        <v>Error?</v>
      </c>
    </row>
    <row r="1023" spans="1:4" x14ac:dyDescent="0.2">
      <c r="A1023" s="5">
        <v>962</v>
      </c>
      <c r="B1023" s="138">
        <f>'Expenditures 15-22'!H50</f>
        <v>1000</v>
      </c>
      <c r="D1023" s="2" t="str">
        <f t="shared" ref="D1023:D1086" si="15">IF(ISBLANK(B1023),"OK",IF(A1023-B1023=0,"OK","Error?"))</f>
        <v>Error?</v>
      </c>
    </row>
    <row r="1024" spans="1:4" x14ac:dyDescent="0.2">
      <c r="A1024" s="5">
        <v>963</v>
      </c>
      <c r="B1024" s="138">
        <f>'Expenditures 15-22'!H53</f>
        <v>6135</v>
      </c>
      <c r="C1024" s="2" t="s">
        <v>594</v>
      </c>
      <c r="D1024" s="2" t="str">
        <f t="shared" si="15"/>
        <v>Error?</v>
      </c>
    </row>
    <row r="1025" spans="1:4" x14ac:dyDescent="0.2">
      <c r="A1025" s="5">
        <v>964</v>
      </c>
      <c r="B1025" s="138">
        <f>'Expenditures 15-22'!H55</f>
        <v>490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4219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1456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5675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12719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140666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168841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2695584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230876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138919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4063798</v>
      </c>
      <c r="C1108" s="2" t="s">
        <v>594</v>
      </c>
      <c r="D1108" s="2" t="str">
        <f t="shared" si="16"/>
        <v>Error?</v>
      </c>
    </row>
    <row r="1109" spans="1:4" x14ac:dyDescent="0.2">
      <c r="A1109" s="5">
        <v>1048</v>
      </c>
      <c r="B1109" s="138">
        <f>'Expenditures 15-22'!K36</f>
        <v>68109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80803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148912</v>
      </c>
      <c r="C1115" s="2" t="s">
        <v>594</v>
      </c>
      <c r="D1115" s="2" t="str">
        <f t="shared" si="16"/>
        <v>Error?</v>
      </c>
    </row>
    <row r="1116" spans="1:4" x14ac:dyDescent="0.2">
      <c r="A1116" s="5">
        <v>1055</v>
      </c>
      <c r="B1116" s="138">
        <f>'Expenditures 15-22'!K44</f>
        <v>25498</v>
      </c>
      <c r="C1116" s="2" t="s">
        <v>594</v>
      </c>
      <c r="D1116" s="2" t="str">
        <f t="shared" si="16"/>
        <v>Error?</v>
      </c>
    </row>
    <row r="1117" spans="1:4" x14ac:dyDescent="0.2">
      <c r="A1117" s="5">
        <v>1056</v>
      </c>
      <c r="B1117" s="138">
        <f>'Expenditures 15-22'!K45</f>
        <v>112831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138329</v>
      </c>
      <c r="C1119" s="2" t="s">
        <v>594</v>
      </c>
      <c r="D1119" s="2" t="str">
        <f t="shared" si="16"/>
        <v>Error?</v>
      </c>
    </row>
    <row r="1120" spans="1:4" x14ac:dyDescent="0.2">
      <c r="A1120" s="5">
        <v>1059</v>
      </c>
      <c r="B1120" s="138">
        <f>'Expenditures 15-22'!K49</f>
        <v>62891</v>
      </c>
      <c r="C1120" s="2" t="s">
        <v>594</v>
      </c>
      <c r="D1120" s="2" t="str">
        <f t="shared" si="16"/>
        <v>Error?</v>
      </c>
    </row>
    <row r="1121" spans="1:4" x14ac:dyDescent="0.2">
      <c r="A1121" s="5">
        <v>1060</v>
      </c>
      <c r="B1121" s="138">
        <f>'Expenditures 15-22'!K50</f>
        <v>255259</v>
      </c>
      <c r="C1121" s="2" t="s">
        <v>594</v>
      </c>
      <c r="D1121" s="2" t="str">
        <f t="shared" si="16"/>
        <v>Error?</v>
      </c>
    </row>
    <row r="1122" spans="1:4" x14ac:dyDescent="0.2">
      <c r="A1122" s="5">
        <v>1061</v>
      </c>
      <c r="B1122" s="138">
        <f>'Expenditures 15-22'!K53</f>
        <v>318150</v>
      </c>
      <c r="C1122" s="2" t="s">
        <v>594</v>
      </c>
      <c r="D1122" s="2" t="str">
        <f t="shared" si="16"/>
        <v>Error?</v>
      </c>
    </row>
    <row r="1123" spans="1:4" x14ac:dyDescent="0.2">
      <c r="A1123" s="5">
        <v>1062</v>
      </c>
      <c r="B1123" s="138">
        <f>'Expenditures 15-22'!K55</f>
        <v>427744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427744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124617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405679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530296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270023</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270023</v>
      </c>
      <c r="C1141" s="2" t="s">
        <v>594</v>
      </c>
      <c r="D1141" s="2" t="str">
        <f t="shared" si="16"/>
        <v>Error?</v>
      </c>
    </row>
    <row r="1142" spans="1:4" x14ac:dyDescent="0.2">
      <c r="A1142" s="5">
        <v>1081</v>
      </c>
      <c r="B1142" s="138">
        <f>'Expenditures 15-22'!K73</f>
        <v>400</v>
      </c>
      <c r="C1142" s="2" t="s">
        <v>594</v>
      </c>
      <c r="D1142" s="2" t="str">
        <f t="shared" si="16"/>
        <v>Error?</v>
      </c>
    </row>
    <row r="1143" spans="1:4" x14ac:dyDescent="0.2">
      <c r="A1143" s="5">
        <v>1082</v>
      </c>
      <c r="B1143" s="138">
        <f>'Expenditures 15-22'!K74</f>
        <v>1833854</v>
      </c>
      <c r="C1143" s="2" t="s">
        <v>594</v>
      </c>
      <c r="D1143" s="2" t="str">
        <f t="shared" si="16"/>
        <v>Error?</v>
      </c>
    </row>
    <row r="1144" spans="1:4" x14ac:dyDescent="0.2">
      <c r="A1144" s="5">
        <v>1083</v>
      </c>
      <c r="B1144" s="138">
        <f>'Expenditures 15-22'!K75</f>
        <v>3611</v>
      </c>
      <c r="C1144" s="2" t="s">
        <v>594</v>
      </c>
      <c r="D1144" s="2" t="str">
        <f t="shared" si="16"/>
        <v>Error?</v>
      </c>
    </row>
    <row r="1145" spans="1:4" x14ac:dyDescent="0.2">
      <c r="A1145" s="5">
        <v>1084</v>
      </c>
      <c r="B1145" s="138">
        <f>'Expenditures 15-22'!K102</f>
        <v>793456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6694719</v>
      </c>
      <c r="C1152" s="2" t="s">
        <v>594</v>
      </c>
      <c r="D1152" s="2" t="str">
        <f t="shared" si="17"/>
        <v>Error?</v>
      </c>
    </row>
    <row r="1153" spans="1:4" x14ac:dyDescent="0.2">
      <c r="A1153" s="5">
        <v>1092</v>
      </c>
      <c r="B1153" s="138">
        <f>'Expenditures 15-22'!K115</f>
        <v>1458023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289839</v>
      </c>
      <c r="D1221" s="2" t="str">
        <f t="shared" si="18"/>
        <v>Error?</v>
      </c>
    </row>
    <row r="1222" spans="1:4" x14ac:dyDescent="0.2">
      <c r="A1222" s="10">
        <v>1161</v>
      </c>
      <c r="D1222" s="2" t="str">
        <f t="shared" si="18"/>
        <v>OK</v>
      </c>
    </row>
    <row r="1223" spans="1:4" x14ac:dyDescent="0.2">
      <c r="A1223" s="5">
        <v>1162</v>
      </c>
      <c r="B1223" s="138">
        <f>'Expenditures 15-22'!C127</f>
        <v>289839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289839</v>
      </c>
      <c r="C1225" s="2" t="s">
        <v>594</v>
      </c>
      <c r="D1225" s="2" t="str">
        <f t="shared" si="18"/>
        <v>Error?</v>
      </c>
    </row>
    <row r="1226" spans="1:4" x14ac:dyDescent="0.2">
      <c r="A1226" s="5">
        <v>1165</v>
      </c>
      <c r="B1226" s="138">
        <f>'Expenditures 15-22'!C151</f>
        <v>289839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105743</v>
      </c>
      <c r="D1229" s="2" t="str">
        <f t="shared" si="18"/>
        <v>Error?</v>
      </c>
    </row>
    <row r="1230" spans="1:4" x14ac:dyDescent="0.2">
      <c r="A1230" s="10">
        <v>1169</v>
      </c>
      <c r="D1230" s="2" t="str">
        <f t="shared" si="18"/>
        <v>OK</v>
      </c>
    </row>
    <row r="1231" spans="1:4" x14ac:dyDescent="0.2">
      <c r="A1231" s="5">
        <v>1170</v>
      </c>
      <c r="B1231" s="138">
        <f>'Expenditures 15-22'!D127</f>
        <v>105743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105743</v>
      </c>
      <c r="C1233" s="2" t="s">
        <v>594</v>
      </c>
      <c r="D1233" s="2" t="str">
        <f t="shared" si="18"/>
        <v>Error?</v>
      </c>
    </row>
    <row r="1234" spans="1:4" x14ac:dyDescent="0.2">
      <c r="A1234" s="5">
        <v>1173</v>
      </c>
      <c r="B1234" s="138">
        <f>'Expenditures 15-22'!D151</f>
        <v>105743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287340</v>
      </c>
      <c r="D1237" s="2" t="str">
        <f t="shared" si="18"/>
        <v>Error?</v>
      </c>
    </row>
    <row r="1238" spans="1:4" x14ac:dyDescent="0.2">
      <c r="A1238" s="10">
        <v>1177</v>
      </c>
      <c r="D1238" s="2" t="str">
        <f t="shared" si="18"/>
        <v>OK</v>
      </c>
    </row>
    <row r="1239" spans="1:4" x14ac:dyDescent="0.2">
      <c r="A1239" s="5">
        <v>1178</v>
      </c>
      <c r="B1239" s="138">
        <f>'Expenditures 15-22'!E127</f>
        <v>287340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287340</v>
      </c>
      <c r="C1241" s="2" t="s">
        <v>594</v>
      </c>
      <c r="D1241" s="2" t="str">
        <f t="shared" si="18"/>
        <v>Error?</v>
      </c>
    </row>
    <row r="1242" spans="1:4" x14ac:dyDescent="0.2">
      <c r="A1242" s="5">
        <v>1181</v>
      </c>
      <c r="B1242" s="138">
        <f>'Expenditures 15-22'!E151</f>
        <v>287340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140645</v>
      </c>
      <c r="D1245" s="2" t="str">
        <f t="shared" si="18"/>
        <v>Error?</v>
      </c>
    </row>
    <row r="1246" spans="1:4" x14ac:dyDescent="0.2">
      <c r="A1246" s="10">
        <v>1185</v>
      </c>
      <c r="D1246" s="2" t="str">
        <f t="shared" si="18"/>
        <v>OK</v>
      </c>
    </row>
    <row r="1247" spans="1:4" x14ac:dyDescent="0.2">
      <c r="A1247" s="5">
        <v>1186</v>
      </c>
      <c r="B1247" s="138">
        <f>'Expenditures 15-22'!F127</f>
        <v>140645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140645</v>
      </c>
      <c r="C1249" s="2" t="s">
        <v>594</v>
      </c>
      <c r="D1249" s="2" t="str">
        <f t="shared" si="18"/>
        <v>Error?</v>
      </c>
    </row>
    <row r="1250" spans="1:4" x14ac:dyDescent="0.2">
      <c r="A1250" s="5">
        <v>1189</v>
      </c>
      <c r="B1250" s="138">
        <f>'Expenditures 15-22'!F151</f>
        <v>140645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36000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36000</v>
      </c>
      <c r="C1258" s="2" t="s">
        <v>594</v>
      </c>
      <c r="D1258" s="2" t="str">
        <f t="shared" si="18"/>
        <v>Error?</v>
      </c>
    </row>
    <row r="1259" spans="1:4" x14ac:dyDescent="0.2">
      <c r="A1259" s="5">
        <v>1198</v>
      </c>
      <c r="B1259" s="138">
        <f>'Expenditures 15-22'!G151</f>
        <v>36000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500</v>
      </c>
      <c r="D1262" s="2" t="str">
        <f t="shared" si="18"/>
        <v>Error?</v>
      </c>
    </row>
    <row r="1263" spans="1:4" x14ac:dyDescent="0.2">
      <c r="A1263" s="10">
        <v>1202</v>
      </c>
      <c r="D1263" s="2" t="str">
        <f t="shared" si="18"/>
        <v>OK</v>
      </c>
    </row>
    <row r="1264" spans="1:4" x14ac:dyDescent="0.2">
      <c r="A1264" s="5">
        <v>1203</v>
      </c>
      <c r="B1264" s="138">
        <f>'Expenditures 15-22'!H127</f>
        <v>500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500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860067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860067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860067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860067</v>
      </c>
      <c r="C1288" s="2" t="s">
        <v>594</v>
      </c>
      <c r="D1288" s="2" t="str">
        <f t="shared" si="19"/>
        <v>Error?</v>
      </c>
    </row>
    <row r="1289" spans="1:4" x14ac:dyDescent="0.2">
      <c r="A1289" s="5">
        <v>1228</v>
      </c>
      <c r="B1289" s="138">
        <f>'Expenditures 15-22'!K152</f>
        <v>1413788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1678705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2348705</v>
      </c>
      <c r="C1317" s="2" t="s">
        <v>594</v>
      </c>
      <c r="D1317" s="2" t="str">
        <f t="shared" si="19"/>
        <v>Error?</v>
      </c>
    </row>
    <row r="1318" spans="1:4" x14ac:dyDescent="0.2">
      <c r="A1318" s="5">
        <v>1257</v>
      </c>
      <c r="B1318" s="138">
        <f>'Expenditures 15-22'!H174</f>
        <v>2348705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1678705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670000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2348705</v>
      </c>
      <c r="C1331" s="2" t="s">
        <v>594</v>
      </c>
      <c r="D1331" s="2" t="str">
        <f t="shared" si="19"/>
        <v>Error?</v>
      </c>
    </row>
    <row r="1332" spans="1:4" x14ac:dyDescent="0.2">
      <c r="A1332" s="5">
        <v>1271</v>
      </c>
      <c r="B1332" s="138">
        <f>'Expenditures 15-22'!K174</f>
        <v>2348705</v>
      </c>
      <c r="C1332" s="2" t="s">
        <v>594</v>
      </c>
      <c r="D1332" s="2" t="str">
        <f t="shared" si="19"/>
        <v>Error?</v>
      </c>
    </row>
    <row r="1333" spans="1:4" x14ac:dyDescent="0.2">
      <c r="A1333" s="5">
        <v>1272</v>
      </c>
      <c r="B1333" s="138">
        <f>'Expenditures 15-22'!K175</f>
        <v>-2286439</v>
      </c>
      <c r="C1333" s="2" t="s">
        <v>594</v>
      </c>
      <c r="D1333" s="2" t="str">
        <f t="shared" si="19"/>
        <v>Error?</v>
      </c>
    </row>
    <row r="1334" spans="1:4" x14ac:dyDescent="0.2">
      <c r="A1334" s="10">
        <v>1273</v>
      </c>
      <c r="D1334" s="2" t="str">
        <f t="shared" si="19"/>
        <v>OK</v>
      </c>
    </row>
    <row r="1335" spans="1:4" x14ac:dyDescent="0.2">
      <c r="A1335" s="5">
        <v>1274</v>
      </c>
      <c r="B1335" s="138">
        <f>'Expenditures 15-22'!C182</f>
        <v>529351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529351</v>
      </c>
      <c r="C1339" s="2" t="s">
        <v>594</v>
      </c>
      <c r="D1339" s="2" t="str">
        <f t="shared" si="19"/>
        <v>Error?</v>
      </c>
    </row>
    <row r="1340" spans="1:4" x14ac:dyDescent="0.2">
      <c r="A1340" s="5">
        <v>1279</v>
      </c>
      <c r="B1340" s="138">
        <f>'Expenditures 15-22'!C210</f>
        <v>529351</v>
      </c>
      <c r="C1340" s="2" t="s">
        <v>594</v>
      </c>
      <c r="D1340" s="2" t="str">
        <f t="shared" si="19"/>
        <v>Error?</v>
      </c>
    </row>
    <row r="1341" spans="1:4" x14ac:dyDescent="0.2">
      <c r="A1341" s="5">
        <v>1280</v>
      </c>
      <c r="B1341" s="138">
        <f>'Expenditures 15-22'!D182</f>
        <v>10848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10848</v>
      </c>
      <c r="C1345" s="2" t="s">
        <v>594</v>
      </c>
      <c r="D1345" s="2" t="str">
        <f t="shared" si="20"/>
        <v>Error?</v>
      </c>
    </row>
    <row r="1346" spans="1:4" x14ac:dyDescent="0.2">
      <c r="A1346" s="5">
        <v>1285</v>
      </c>
      <c r="B1346" s="138">
        <f>'Expenditures 15-22'!D210</f>
        <v>10848</v>
      </c>
      <c r="C1346" s="2" t="s">
        <v>594</v>
      </c>
      <c r="D1346" s="2" t="str">
        <f t="shared" si="20"/>
        <v>Error?</v>
      </c>
    </row>
    <row r="1347" spans="1:4" x14ac:dyDescent="0.2">
      <c r="A1347" s="5">
        <v>1286</v>
      </c>
      <c r="B1347" s="138">
        <f>'Expenditures 15-22'!E182</f>
        <v>77580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80670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80670</v>
      </c>
      <c r="C1353" s="2" t="s">
        <v>594</v>
      </c>
      <c r="D1353" s="2" t="str">
        <f t="shared" si="20"/>
        <v>Error?</v>
      </c>
    </row>
    <row r="1354" spans="1:4" x14ac:dyDescent="0.2">
      <c r="A1354" s="5">
        <v>1293</v>
      </c>
      <c r="B1354" s="138">
        <f>'Expenditures 15-22'!F182</f>
        <v>48750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51409</v>
      </c>
      <c r="C1358" s="2" t="s">
        <v>594</v>
      </c>
      <c r="D1358" s="2" t="str">
        <f t="shared" si="20"/>
        <v>Error?</v>
      </c>
    </row>
    <row r="1359" spans="1:4" x14ac:dyDescent="0.2">
      <c r="A1359" s="5">
        <v>1298</v>
      </c>
      <c r="B1359" s="138">
        <f>'Expenditures 15-22'!F210</f>
        <v>51409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123235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123235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123235</v>
      </c>
      <c r="C1376" s="2" t="s">
        <v>594</v>
      </c>
      <c r="D1376" s="2" t="str">
        <f t="shared" si="20"/>
        <v>Error?</v>
      </c>
    </row>
    <row r="1377" spans="1:4" x14ac:dyDescent="0.2">
      <c r="A1377" s="5">
        <v>1316</v>
      </c>
      <c r="B1377" s="138">
        <f>'Expenditures 15-22'!K182</f>
        <v>789764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795513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795513</v>
      </c>
      <c r="C1388" s="2" t="s">
        <v>594</v>
      </c>
      <c r="D1388" s="2" t="str">
        <f t="shared" si="20"/>
        <v>Error?</v>
      </c>
    </row>
    <row r="1389" spans="1:4" x14ac:dyDescent="0.2">
      <c r="A1389" s="5">
        <v>1328</v>
      </c>
      <c r="B1389" s="138">
        <f>'Expenditures 15-22'!K211</f>
        <v>-123594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3203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4874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85833</v>
      </c>
      <c r="C1410" s="2" t="s">
        <v>594</v>
      </c>
      <c r="D1410" s="2" t="str">
        <f t="shared" si="21"/>
        <v>Error?</v>
      </c>
    </row>
    <row r="1411" spans="1:4" x14ac:dyDescent="0.2">
      <c r="A1411" s="5">
        <v>1350</v>
      </c>
      <c r="B1411" s="138">
        <f>'Expenditures 15-22'!D232</f>
        <v>849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9438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10287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4893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4893</v>
      </c>
      <c r="C1421" s="2" t="s">
        <v>594</v>
      </c>
      <c r="D1421" s="2" t="str">
        <f t="shared" si="21"/>
        <v>Error?</v>
      </c>
    </row>
    <row r="1422" spans="1:4" x14ac:dyDescent="0.2">
      <c r="A1422" s="5">
        <v>1361</v>
      </c>
      <c r="B1422" s="138">
        <f>'Expenditures 15-22'!D245</f>
        <v>1391</v>
      </c>
      <c r="D1422" s="2" t="str">
        <f t="shared" si="21"/>
        <v>Error?</v>
      </c>
    </row>
    <row r="1423" spans="1:4" x14ac:dyDescent="0.2">
      <c r="A1423" s="5">
        <v>1362</v>
      </c>
      <c r="B1423" s="138">
        <f>'Expenditures 15-22'!D246</f>
        <v>2595</v>
      </c>
      <c r="D1423" s="2" t="str">
        <f t="shared" si="21"/>
        <v>Error?</v>
      </c>
    </row>
    <row r="1424" spans="1:4" x14ac:dyDescent="0.2">
      <c r="A1424" s="5">
        <v>1363</v>
      </c>
      <c r="B1424" s="138">
        <f>'Expenditures 15-22'!D257</f>
        <v>3986</v>
      </c>
      <c r="C1424" s="2" t="s">
        <v>594</v>
      </c>
      <c r="D1424" s="2" t="str">
        <f t="shared" si="21"/>
        <v>Error?</v>
      </c>
    </row>
    <row r="1425" spans="1:4" x14ac:dyDescent="0.2">
      <c r="A1425" s="5">
        <v>1364</v>
      </c>
      <c r="B1425" s="138">
        <f>'Expenditures 15-22'!D259</f>
        <v>18823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18823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11585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42110</v>
      </c>
      <c r="D1431" s="2" t="str">
        <f t="shared" si="21"/>
        <v>Error?</v>
      </c>
    </row>
    <row r="1432" spans="1:4" x14ac:dyDescent="0.2">
      <c r="A1432" s="5">
        <v>1371</v>
      </c>
      <c r="B1432" s="138">
        <f>'Expenditures 15-22'!D267</f>
        <v>77122</v>
      </c>
      <c r="D1432" s="2" t="str">
        <f t="shared" si="21"/>
        <v>Error?</v>
      </c>
    </row>
    <row r="1433" spans="1:4" x14ac:dyDescent="0.2">
      <c r="A1433" s="5">
        <v>1372</v>
      </c>
      <c r="B1433" s="138">
        <f>'Expenditures 15-22'!D268</f>
        <v>30825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161642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199631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285464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3203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4874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85833</v>
      </c>
      <c r="C1474" s="2" t="s">
        <v>594</v>
      </c>
      <c r="D1474" s="2" t="str">
        <f t="shared" si="22"/>
        <v>Error?</v>
      </c>
    </row>
    <row r="1475" spans="1:4" x14ac:dyDescent="0.2">
      <c r="A1475" s="5">
        <v>1414</v>
      </c>
      <c r="B1475" s="138">
        <f>'Expenditures 15-22'!K232</f>
        <v>849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9438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10287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4893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4893</v>
      </c>
      <c r="C1485" s="2" t="s">
        <v>594</v>
      </c>
      <c r="D1485" s="2" t="str">
        <f t="shared" si="22"/>
        <v>Error?</v>
      </c>
    </row>
    <row r="1486" spans="1:4" x14ac:dyDescent="0.2">
      <c r="A1486" s="5">
        <v>1425</v>
      </c>
      <c r="B1486" s="138">
        <f>'Expenditures 15-22'!K245</f>
        <v>1391</v>
      </c>
      <c r="C1486" s="2" t="s">
        <v>594</v>
      </c>
      <c r="D1486" s="2" t="str">
        <f t="shared" si="22"/>
        <v>Error?</v>
      </c>
    </row>
    <row r="1487" spans="1:4" x14ac:dyDescent="0.2">
      <c r="A1487" s="5">
        <v>1426</v>
      </c>
      <c r="B1487" s="138">
        <f>'Expenditures 15-22'!K246</f>
        <v>2595</v>
      </c>
      <c r="C1487" s="2" t="s">
        <v>594</v>
      </c>
      <c r="D1487" s="2" t="str">
        <f t="shared" si="22"/>
        <v>Error?</v>
      </c>
    </row>
    <row r="1488" spans="1:4" x14ac:dyDescent="0.2">
      <c r="A1488" s="5">
        <v>1427</v>
      </c>
      <c r="B1488" s="138">
        <f>'Expenditures 15-22'!K257</f>
        <v>3986</v>
      </c>
      <c r="C1488" s="2" t="s">
        <v>594</v>
      </c>
      <c r="D1488" s="2" t="str">
        <f t="shared" si="22"/>
        <v>Error?</v>
      </c>
    </row>
    <row r="1489" spans="1:4" x14ac:dyDescent="0.2">
      <c r="A1489" s="5">
        <v>1428</v>
      </c>
      <c r="B1489" s="138">
        <f>'Expenditures 15-22'!K259</f>
        <v>18823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18823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11585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42110</v>
      </c>
      <c r="C1495" s="2" t="s">
        <v>594</v>
      </c>
      <c r="D1495" s="2" t="str">
        <f t="shared" si="22"/>
        <v>Error?</v>
      </c>
    </row>
    <row r="1496" spans="1:4" x14ac:dyDescent="0.2">
      <c r="A1496" s="5">
        <v>1435</v>
      </c>
      <c r="B1496" s="138">
        <f>'Expenditures 15-22'!K267</f>
        <v>77122</v>
      </c>
      <c r="C1496" s="2" t="s">
        <v>594</v>
      </c>
      <c r="D1496" s="2" t="str">
        <f t="shared" si="22"/>
        <v>Error?</v>
      </c>
    </row>
    <row r="1497" spans="1:4" x14ac:dyDescent="0.2">
      <c r="A1497" s="5">
        <v>1436</v>
      </c>
      <c r="B1497" s="138">
        <f>'Expenditures 15-22'!K268</f>
        <v>30825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161642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199631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285464</v>
      </c>
      <c r="C1517" s="2" t="s">
        <v>594</v>
      </c>
      <c r="D1517" s="2" t="str">
        <f t="shared" si="22"/>
        <v>Error?</v>
      </c>
    </row>
    <row r="1518" spans="1:4" x14ac:dyDescent="0.2">
      <c r="A1518" s="5">
        <v>1457</v>
      </c>
      <c r="B1518" s="138">
        <f>'Expenditures 15-22'!K296</f>
        <v>104357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25826337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25826337</v>
      </c>
      <c r="C1547" s="2" t="s">
        <v>594</v>
      </c>
      <c r="D1547" s="2" t="str">
        <f t="shared" si="23"/>
        <v>Error?</v>
      </c>
    </row>
    <row r="1548" spans="1:4" x14ac:dyDescent="0.2">
      <c r="A1548" s="5">
        <v>1487</v>
      </c>
      <c r="B1548" s="138">
        <f>'Expenditures 15-22'!G312</f>
        <v>25826337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25826337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25826337</v>
      </c>
      <c r="C1559" s="2" t="s">
        <v>594</v>
      </c>
      <c r="D1559" s="2" t="str">
        <f t="shared" si="23"/>
        <v>Error?</v>
      </c>
    </row>
    <row r="1560" spans="1:4" x14ac:dyDescent="0.2">
      <c r="A1560" s="5">
        <v>1499</v>
      </c>
      <c r="B1560" s="138">
        <f>'Expenditures 15-22'!K312</f>
        <v>25826337</v>
      </c>
      <c r="C1560" s="2" t="s">
        <v>594</v>
      </c>
      <c r="D1560" s="2" t="str">
        <f t="shared" si="23"/>
        <v>Error?</v>
      </c>
    </row>
    <row r="1561" spans="1:4" x14ac:dyDescent="0.2">
      <c r="A1561" s="5">
        <v>1500</v>
      </c>
      <c r="B1561" s="138">
        <f>'Expenditures 15-22'!K313</f>
        <v>-25583732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10227372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11793575</v>
      </c>
      <c r="C1630" s="2" t="s">
        <v>594</v>
      </c>
      <c r="D1630" s="2" t="str">
        <f t="shared" si="24"/>
        <v>Error?</v>
      </c>
    </row>
    <row r="1631" spans="1:4" x14ac:dyDescent="0.2">
      <c r="A1631" s="5">
        <v>1570</v>
      </c>
      <c r="B1631" s="138">
        <f>'Acct Summary 7-8'!D79</f>
        <v>1696913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823778</v>
      </c>
      <c r="C1644" s="2" t="s">
        <v>594</v>
      </c>
      <c r="D1644" s="2" t="str">
        <f t="shared" si="24"/>
        <v>Error?</v>
      </c>
    </row>
    <row r="1645" spans="1:4" x14ac:dyDescent="0.2">
      <c r="A1645" s="5">
        <v>1584</v>
      </c>
      <c r="B1645" s="138">
        <f>'Acct Summary 7-8'!E79</f>
        <v>30051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30535</v>
      </c>
      <c r="C1658" s="2" t="s">
        <v>594</v>
      </c>
      <c r="D1658" s="2" t="str">
        <f t="shared" si="24"/>
        <v>Error?</v>
      </c>
    </row>
    <row r="1659" spans="1:4" x14ac:dyDescent="0.2">
      <c r="A1659" s="5">
        <v>1598</v>
      </c>
      <c r="B1659" s="138">
        <f>'Acct Summary 7-8'!F79</f>
        <v>1149375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1025781</v>
      </c>
      <c r="C1672" s="2" t="s">
        <v>594</v>
      </c>
      <c r="D1672" s="2" t="str">
        <f t="shared" si="25"/>
        <v>Error?</v>
      </c>
    </row>
    <row r="1673" spans="1:4" x14ac:dyDescent="0.2">
      <c r="A1673" s="5">
        <v>1612</v>
      </c>
      <c r="B1673" s="138">
        <f>'Acct Summary 7-8'!G79</f>
        <v>176002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280359</v>
      </c>
      <c r="C1686" s="2" t="s">
        <v>594</v>
      </c>
      <c r="D1686" s="2" t="str">
        <f t="shared" si="25"/>
        <v>Error?</v>
      </c>
    </row>
    <row r="1687" spans="1:4" x14ac:dyDescent="0.2">
      <c r="A1687" s="5">
        <v>1626</v>
      </c>
      <c r="B1687" s="138">
        <f>'Acct Summary 7-8'!H79</f>
        <v>32607687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7023955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5449788</v>
      </c>
      <c r="C1744" s="2" t="s">
        <v>594</v>
      </c>
      <c r="D1744" s="2" t="str">
        <f t="shared" si="26"/>
        <v>Error?</v>
      </c>
    </row>
    <row r="1745" spans="1:5" x14ac:dyDescent="0.2">
      <c r="A1745" s="5">
        <v>1684</v>
      </c>
      <c r="B1745" s="138">
        <f>'Tax Sched 23'!B5</f>
        <v>687219</v>
      </c>
      <c r="C1745" s="2" t="s">
        <v>594</v>
      </c>
      <c r="D1745" s="2" t="str">
        <f t="shared" si="26"/>
        <v>Error?</v>
      </c>
    </row>
    <row r="1746" spans="1:5" x14ac:dyDescent="0.2">
      <c r="A1746" s="5">
        <v>1685</v>
      </c>
      <c r="B1746" s="138">
        <f>'Tax Sched 23'!B6</f>
        <v>62266</v>
      </c>
      <c r="C1746" s="2" t="s">
        <v>594</v>
      </c>
      <c r="D1746" s="2" t="str">
        <f t="shared" si="26"/>
        <v>Error?</v>
      </c>
    </row>
    <row r="1747" spans="1:5" x14ac:dyDescent="0.2">
      <c r="A1747" s="5">
        <v>1686</v>
      </c>
      <c r="B1747" s="138">
        <f>'Tax Sched 23'!B7</f>
        <v>166615</v>
      </c>
      <c r="C1747" s="2" t="s">
        <v>594</v>
      </c>
      <c r="D1747" s="2" t="str">
        <f t="shared" si="26"/>
        <v>Error?</v>
      </c>
    </row>
    <row r="1748" spans="1:5" x14ac:dyDescent="0.2">
      <c r="A1748" s="5">
        <v>1687</v>
      </c>
      <c r="B1748" s="138">
        <f>'Tax Sched 23'!B8</f>
        <v>153693</v>
      </c>
      <c r="C1748" s="2" t="s">
        <v>594</v>
      </c>
      <c r="D1748" s="2" t="str">
        <f t="shared" si="26"/>
        <v>Error?</v>
      </c>
    </row>
    <row r="1749" spans="1:5" x14ac:dyDescent="0.2">
      <c r="A1749" s="5">
        <v>1688</v>
      </c>
      <c r="B1749" s="138">
        <f>'Tax Sched 23'!B10</f>
        <v>108180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148337</v>
      </c>
      <c r="C1752" s="2" t="s">
        <v>594</v>
      </c>
      <c r="D1752" s="2" t="str">
        <f t="shared" si="26"/>
        <v>Error?</v>
      </c>
    </row>
    <row r="1753" spans="1:5" x14ac:dyDescent="0.2">
      <c r="A1753" s="5">
        <v>1692</v>
      </c>
      <c r="B1753" s="138">
        <f>'Tax Sched 23'!B12</f>
        <v>131972</v>
      </c>
      <c r="C1753" s="2" t="s">
        <v>594</v>
      </c>
      <c r="D1753" s="2" t="str">
        <f t="shared" si="26"/>
        <v>Error?</v>
      </c>
    </row>
    <row r="1754" spans="1:5" x14ac:dyDescent="0.2">
      <c r="A1754" s="5">
        <v>1693</v>
      </c>
      <c r="B1754" s="138">
        <f>'Tax Sched 23'!B14</f>
        <v>54371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7248106</v>
      </c>
      <c r="C1759" s="2" t="s">
        <v>594</v>
      </c>
      <c r="D1759" s="2" t="str">
        <f t="shared" si="26"/>
        <v>Error?</v>
      </c>
    </row>
    <row r="1760" spans="1:5" x14ac:dyDescent="0.2">
      <c r="A1760" s="5">
        <v>1699</v>
      </c>
      <c r="B1760" s="138">
        <f>'Tax Sched 23'!D4</f>
        <v>2524888</v>
      </c>
      <c r="C1760" s="2" t="s">
        <v>594</v>
      </c>
      <c r="D1760" s="2" t="str">
        <f t="shared" si="26"/>
        <v>Error?</v>
      </c>
    </row>
    <row r="1761" spans="1:5" x14ac:dyDescent="0.2">
      <c r="A1761" s="5">
        <v>1700</v>
      </c>
      <c r="B1761" s="138">
        <f>'Tax Sched 23'!D5</f>
        <v>318394</v>
      </c>
      <c r="C1761" s="2" t="s">
        <v>594</v>
      </c>
      <c r="D1761" s="2" t="str">
        <f t="shared" si="26"/>
        <v>Error?</v>
      </c>
    </row>
    <row r="1762" spans="1:5" s="8" customFormat="1" x14ac:dyDescent="0.2">
      <c r="A1762" s="5">
        <v>1701</v>
      </c>
      <c r="B1762" s="138">
        <f>'Tax Sched 23'!D6</f>
        <v>33947</v>
      </c>
      <c r="C1762" s="2" t="s">
        <v>594</v>
      </c>
      <c r="D1762" s="2" t="str">
        <f t="shared" si="26"/>
        <v>Error?</v>
      </c>
      <c r="E1762" s="9"/>
    </row>
    <row r="1763" spans="1:5" x14ac:dyDescent="0.2">
      <c r="A1763" s="5">
        <v>1702</v>
      </c>
      <c r="B1763" s="138">
        <f>'Tax Sched 23'!D7</f>
        <v>153279</v>
      </c>
      <c r="C1763" s="2" t="s">
        <v>594</v>
      </c>
      <c r="D1763" s="2" t="str">
        <f t="shared" si="26"/>
        <v>Error?</v>
      </c>
    </row>
    <row r="1764" spans="1:5" x14ac:dyDescent="0.2">
      <c r="A1764" s="5">
        <v>1703</v>
      </c>
      <c r="B1764" s="138">
        <f>'Tax Sched 23'!D8</f>
        <v>74237</v>
      </c>
      <c r="C1764" s="2" t="s">
        <v>594</v>
      </c>
      <c r="D1764" s="2" t="str">
        <f t="shared" si="26"/>
        <v>Error?</v>
      </c>
    </row>
    <row r="1765" spans="1:5" x14ac:dyDescent="0.2">
      <c r="A1765" s="5">
        <v>1704</v>
      </c>
      <c r="B1765" s="138">
        <f>'Tax Sched 23'!D10</f>
        <v>52508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135001</v>
      </c>
      <c r="C1768" s="2" t="s">
        <v>594</v>
      </c>
      <c r="D1768" s="2" t="str">
        <f t="shared" si="26"/>
        <v>Error?</v>
      </c>
    </row>
    <row r="1769" spans="1:5" x14ac:dyDescent="0.2">
      <c r="A1769" s="5">
        <v>1708</v>
      </c>
      <c r="B1769" s="138">
        <f>'Tax Sched 23'!D12</f>
        <v>64063</v>
      </c>
      <c r="C1769" s="2" t="s">
        <v>594</v>
      </c>
      <c r="D1769" s="2" t="str">
        <f t="shared" si="26"/>
        <v>Error?</v>
      </c>
    </row>
    <row r="1770" spans="1:5" x14ac:dyDescent="0.2">
      <c r="A1770" s="5">
        <v>1709</v>
      </c>
      <c r="B1770" s="138">
        <f>'Tax Sched 23'!D14</f>
        <v>26328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3520945</v>
      </c>
      <c r="C1775" s="2" t="s">
        <v>594</v>
      </c>
      <c r="D1775" s="2" t="str">
        <f t="shared" si="26"/>
        <v>Error?</v>
      </c>
    </row>
    <row r="1776" spans="1:5" x14ac:dyDescent="0.2">
      <c r="A1776" s="5">
        <v>1715</v>
      </c>
      <c r="B1776" s="138">
        <f>'Tax Sched 23'!C4</f>
        <v>2924900</v>
      </c>
      <c r="D1776" s="2" t="str">
        <f t="shared" si="26"/>
        <v>Error?</v>
      </c>
    </row>
    <row r="1777" spans="1:4" x14ac:dyDescent="0.2">
      <c r="A1777" s="5">
        <v>1716</v>
      </c>
      <c r="B1777" s="138">
        <f>'Tax Sched 23'!C5</f>
        <v>368825</v>
      </c>
      <c r="D1777" s="2" t="str">
        <f t="shared" si="26"/>
        <v>Error?</v>
      </c>
    </row>
    <row r="1778" spans="1:4" x14ac:dyDescent="0.2">
      <c r="A1778" s="5">
        <v>1717</v>
      </c>
      <c r="B1778" s="138">
        <f>'Tax Sched 23'!C6</f>
        <v>28319</v>
      </c>
      <c r="D1778" s="2" t="str">
        <f t="shared" si="26"/>
        <v>Error?</v>
      </c>
    </row>
    <row r="1779" spans="1:4" x14ac:dyDescent="0.2">
      <c r="A1779" s="5">
        <v>1718</v>
      </c>
      <c r="B1779" s="138">
        <f>'Tax Sched 23'!C7</f>
        <v>13336</v>
      </c>
      <c r="D1779" s="2" t="str">
        <f t="shared" si="26"/>
        <v>Error?</v>
      </c>
    </row>
    <row r="1780" spans="1:4" x14ac:dyDescent="0.2">
      <c r="A1780" s="5">
        <v>1719</v>
      </c>
      <c r="B1780" s="138">
        <f>'Tax Sched 23'!C8</f>
        <v>79456</v>
      </c>
      <c r="D1780" s="2" t="str">
        <f t="shared" si="26"/>
        <v>Error?</v>
      </c>
    </row>
    <row r="1781" spans="1:4" x14ac:dyDescent="0.2">
      <c r="A1781" s="5">
        <v>1720</v>
      </c>
      <c r="B1781" s="138">
        <f>'Tax Sched 23'!C10</f>
        <v>55672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13336</v>
      </c>
      <c r="D1784" s="2" t="str">
        <f t="shared" si="26"/>
        <v>Error?</v>
      </c>
    </row>
    <row r="1785" spans="1:4" x14ac:dyDescent="0.2">
      <c r="A1785" s="5">
        <v>1724</v>
      </c>
      <c r="B1785" s="138">
        <f>'Tax Sched 23'!C12</f>
        <v>67909</v>
      </c>
      <c r="D1785" s="2" t="str">
        <f t="shared" si="26"/>
        <v>Error?</v>
      </c>
    </row>
    <row r="1786" spans="1:4" x14ac:dyDescent="0.2">
      <c r="A1786" s="5">
        <v>1725</v>
      </c>
      <c r="B1786" s="138">
        <f>'Tax Sched 23'!C14</f>
        <v>28043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3727161</v>
      </c>
      <c r="C1791" s="2" t="s">
        <v>594</v>
      </c>
      <c r="D1791" s="2" t="str">
        <f t="shared" ref="D1791:D1854" si="27">IF(ISBLANK(B1791),"OK",IF(A1791-B1791=0,"OK","Error?"))</f>
        <v>Error?</v>
      </c>
    </row>
    <row r="1792" spans="1:4" x14ac:dyDescent="0.2">
      <c r="A1792" s="5">
        <v>1731</v>
      </c>
      <c r="B1792" s="138">
        <f>'Tax Sched 23'!F4</f>
        <v>3202837</v>
      </c>
      <c r="C1792" s="2" t="s">
        <v>594</v>
      </c>
      <c r="D1792" s="2" t="str">
        <f t="shared" si="27"/>
        <v>Error?</v>
      </c>
    </row>
    <row r="1793" spans="1:4" x14ac:dyDescent="0.2">
      <c r="A1793" s="5">
        <v>1732</v>
      </c>
      <c r="B1793" s="138">
        <f>'Tax Sched 23'!F5</f>
        <v>403874</v>
      </c>
      <c r="C1793" s="2" t="s">
        <v>594</v>
      </c>
      <c r="D1793" s="2" t="str">
        <f t="shared" si="27"/>
        <v>Error?</v>
      </c>
    </row>
    <row r="1794" spans="1:4" x14ac:dyDescent="0.2">
      <c r="A1794" s="5">
        <v>1733</v>
      </c>
      <c r="B1794" s="138">
        <f>'Tax Sched 23'!F6</f>
        <v>31009</v>
      </c>
      <c r="C1794" s="2" t="s">
        <v>594</v>
      </c>
      <c r="D1794" s="2" t="str">
        <f t="shared" si="27"/>
        <v>Error?</v>
      </c>
    </row>
    <row r="1795" spans="1:4" x14ac:dyDescent="0.2">
      <c r="A1795" s="5">
        <v>1734</v>
      </c>
      <c r="B1795" s="138">
        <f>'Tax Sched 23'!F7</f>
        <v>14600</v>
      </c>
      <c r="C1795" s="2" t="s">
        <v>594</v>
      </c>
      <c r="D1795" s="2" t="str">
        <f t="shared" si="27"/>
        <v>Error?</v>
      </c>
    </row>
    <row r="1796" spans="1:4" x14ac:dyDescent="0.2">
      <c r="A1796" s="5">
        <v>1735</v>
      </c>
      <c r="B1796" s="138">
        <f>'Tax Sched 23'!F8</f>
        <v>87007</v>
      </c>
      <c r="C1796" s="2" t="s">
        <v>594</v>
      </c>
      <c r="D1796" s="2" t="str">
        <f t="shared" si="27"/>
        <v>Error?</v>
      </c>
    </row>
    <row r="1797" spans="1:4" x14ac:dyDescent="0.2">
      <c r="A1797" s="5">
        <v>1736</v>
      </c>
      <c r="B1797" s="138">
        <f>'Tax Sched 23'!F10</f>
        <v>60967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14600</v>
      </c>
      <c r="C1800" s="2" t="s">
        <v>594</v>
      </c>
      <c r="D1800" s="2" t="str">
        <f t="shared" si="27"/>
        <v>Error?</v>
      </c>
    </row>
    <row r="1801" spans="1:4" x14ac:dyDescent="0.2">
      <c r="A1801" s="5">
        <v>1740</v>
      </c>
      <c r="B1801" s="138">
        <f>'Tax Sched 23'!F12</f>
        <v>74362</v>
      </c>
      <c r="C1801" s="2" t="s">
        <v>594</v>
      </c>
      <c r="D1801" s="2" t="str">
        <f t="shared" si="27"/>
        <v>Error?</v>
      </c>
    </row>
    <row r="1802" spans="1:4" x14ac:dyDescent="0.2">
      <c r="A1802" s="5">
        <v>1741</v>
      </c>
      <c r="B1802" s="138">
        <f>'Tax Sched 23'!F14</f>
        <v>30708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4081333</v>
      </c>
      <c r="C1807" s="2" t="s">
        <v>594</v>
      </c>
      <c r="D1807" s="2" t="str">
        <f t="shared" si="27"/>
        <v>Error?</v>
      </c>
    </row>
    <row r="1808" spans="1:4" x14ac:dyDescent="0.2">
      <c r="A1808" s="5">
        <v>1747</v>
      </c>
      <c r="B1808" s="138">
        <f>'Tax Sched 23'!E4</f>
        <v>6127737</v>
      </c>
      <c r="D1808" s="2" t="str">
        <f t="shared" si="27"/>
        <v>Error?</v>
      </c>
    </row>
    <row r="1809" spans="1:4" x14ac:dyDescent="0.2">
      <c r="A1809" s="5">
        <v>1748</v>
      </c>
      <c r="B1809" s="138">
        <f>'Tax Sched 23'!E5</f>
        <v>772699</v>
      </c>
      <c r="D1809" s="2" t="str">
        <f t="shared" si="27"/>
        <v>Error?</v>
      </c>
    </row>
    <row r="1810" spans="1:4" x14ac:dyDescent="0.2">
      <c r="A1810" s="5">
        <v>1749</v>
      </c>
      <c r="B1810" s="138">
        <f>'Tax Sched 23'!E6</f>
        <v>59328</v>
      </c>
      <c r="D1810" s="2" t="str">
        <f t="shared" si="27"/>
        <v>Error?</v>
      </c>
    </row>
    <row r="1811" spans="1:4" x14ac:dyDescent="0.2">
      <c r="A1811" s="5">
        <v>1750</v>
      </c>
      <c r="B1811" s="138">
        <f>'Tax Sched 23'!E7</f>
        <v>27936</v>
      </c>
      <c r="D1811" s="2" t="str">
        <f t="shared" si="27"/>
        <v>Error?</v>
      </c>
    </row>
    <row r="1812" spans="1:4" x14ac:dyDescent="0.2">
      <c r="A1812" s="5">
        <v>1751</v>
      </c>
      <c r="B1812" s="138">
        <f>'Tax Sched 23'!E8</f>
        <v>166463</v>
      </c>
      <c r="D1812" s="2" t="str">
        <f t="shared" si="27"/>
        <v>Error?</v>
      </c>
    </row>
    <row r="1813" spans="1:4" x14ac:dyDescent="0.2">
      <c r="A1813" s="5">
        <v>1752</v>
      </c>
      <c r="B1813" s="138">
        <f>'Tax Sched 23'!E10</f>
        <v>116639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27936</v>
      </c>
      <c r="D1816" s="2" t="str">
        <f t="shared" si="27"/>
        <v>Error?</v>
      </c>
    </row>
    <row r="1817" spans="1:4" x14ac:dyDescent="0.2">
      <c r="A1817" s="5">
        <v>1756</v>
      </c>
      <c r="B1817" s="138">
        <f>'Tax Sched 23'!E12</f>
        <v>142271</v>
      </c>
      <c r="D1817" s="2" t="str">
        <f t="shared" si="27"/>
        <v>Error?</v>
      </c>
    </row>
    <row r="1818" spans="1:4" x14ac:dyDescent="0.2">
      <c r="A1818" s="5">
        <v>1757</v>
      </c>
      <c r="B1818" s="138">
        <f>'Tax Sched 23'!E14</f>
        <v>58751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7808494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35295000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54371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54371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54371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825000</v>
      </c>
      <c r="D2008" s="2" t="str">
        <f t="shared" si="30"/>
        <v>Error?</v>
      </c>
    </row>
    <row r="2009" spans="1:4" x14ac:dyDescent="0.2">
      <c r="A2009" s="5">
        <v>1948</v>
      </c>
      <c r="B2009" s="138">
        <f>'Cap Outlay Deprec 26'!C8</f>
        <v>5310580</v>
      </c>
      <c r="D2009" s="2" t="str">
        <f t="shared" si="30"/>
        <v>Error?</v>
      </c>
    </row>
    <row r="2010" spans="1:4" x14ac:dyDescent="0.2">
      <c r="A2010" s="5">
        <v>1949</v>
      </c>
      <c r="B2010" s="138">
        <f>'Cap Outlay Deprec 26'!C10</f>
        <v>148140</v>
      </c>
      <c r="D2010" s="2" t="str">
        <f t="shared" si="30"/>
        <v>Error?</v>
      </c>
    </row>
    <row r="2011" spans="1:4" x14ac:dyDescent="0.2">
      <c r="A2011" s="5">
        <v>1950</v>
      </c>
      <c r="B2011" s="138">
        <f>'Cap Outlay Deprec 26'!C12</f>
        <v>2983925</v>
      </c>
      <c r="D2011" s="2" t="str">
        <f t="shared" si="30"/>
        <v>Error?</v>
      </c>
    </row>
    <row r="2012" spans="1:4" x14ac:dyDescent="0.2">
      <c r="A2012" s="5">
        <v>1951</v>
      </c>
      <c r="B2012" s="138">
        <f>'Cap Outlay Deprec 26'!C13</f>
        <v>263450</v>
      </c>
      <c r="D2012" s="2" t="str">
        <f t="shared" si="30"/>
        <v>Error?</v>
      </c>
    </row>
    <row r="2013" spans="1:4" x14ac:dyDescent="0.2">
      <c r="A2013" s="5">
        <v>1952</v>
      </c>
      <c r="B2013" s="138">
        <f>'Cap Outlay Deprec 26'!C16</f>
        <v>12103887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153303</v>
      </c>
      <c r="D2018" s="2" t="str">
        <f t="shared" si="30"/>
        <v>Error?</v>
      </c>
    </row>
    <row r="2019" spans="1:4" x14ac:dyDescent="0.2">
      <c r="A2019" s="5">
        <v>1958</v>
      </c>
      <c r="B2019" s="138">
        <f>'Cap Outlay Deprec 26'!D16</f>
        <v>25979640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825000</v>
      </c>
      <c r="C2026" s="2" t="s">
        <v>594</v>
      </c>
      <c r="D2026" s="2" t="str">
        <f t="shared" si="30"/>
        <v>Error?</v>
      </c>
    </row>
    <row r="2027" spans="1:4" x14ac:dyDescent="0.2">
      <c r="A2027" s="5">
        <v>1966</v>
      </c>
      <c r="B2027" s="138">
        <f>'Cap Outlay Deprec 26'!F8</f>
        <v>5310580</v>
      </c>
      <c r="C2027" s="2" t="s">
        <v>594</v>
      </c>
      <c r="D2027" s="2" t="str">
        <f t="shared" si="30"/>
        <v>Error?</v>
      </c>
    </row>
    <row r="2028" spans="1:4" x14ac:dyDescent="0.2">
      <c r="A2028" s="5">
        <v>1967</v>
      </c>
      <c r="B2028" s="138">
        <f>'Cap Outlay Deprec 26'!F10</f>
        <v>148140</v>
      </c>
      <c r="C2028" s="2" t="s">
        <v>594</v>
      </c>
      <c r="D2028" s="2" t="str">
        <f t="shared" si="30"/>
        <v>Error?</v>
      </c>
    </row>
    <row r="2029" spans="1:4" x14ac:dyDescent="0.2">
      <c r="A2029" s="5">
        <v>1968</v>
      </c>
      <c r="B2029" s="138">
        <f>'Cap Outlay Deprec 26'!F12</f>
        <v>2983925</v>
      </c>
      <c r="C2029" s="2" t="s">
        <v>594</v>
      </c>
      <c r="D2029" s="2" t="str">
        <f t="shared" si="30"/>
        <v>Error?</v>
      </c>
    </row>
    <row r="2030" spans="1:4" x14ac:dyDescent="0.2">
      <c r="A2030" s="5">
        <v>1969</v>
      </c>
      <c r="B2030" s="138">
        <f>'Cap Outlay Deprec 26'!F13</f>
        <v>416753</v>
      </c>
      <c r="C2030" s="2" t="s">
        <v>594</v>
      </c>
      <c r="D2030" s="2" t="str">
        <f t="shared" si="30"/>
        <v>Error?</v>
      </c>
    </row>
    <row r="2031" spans="1:4" x14ac:dyDescent="0.2">
      <c r="A2031" s="5">
        <v>1970</v>
      </c>
      <c r="B2031" s="138">
        <f>'Cap Outlay Deprec 26'!F16</f>
        <v>38083527</v>
      </c>
      <c r="C2031" s="2" t="s">
        <v>594</v>
      </c>
      <c r="D2031" s="2" t="str">
        <f t="shared" si="30"/>
        <v>Error?</v>
      </c>
    </row>
    <row r="2032" spans="1:4" x14ac:dyDescent="0.2">
      <c r="A2032" s="10">
        <v>1971</v>
      </c>
      <c r="D2032" s="2" t="str">
        <f t="shared" si="30"/>
        <v>OK</v>
      </c>
    </row>
    <row r="2033" spans="1:4" x14ac:dyDescent="0.2">
      <c r="A2033" s="5">
        <v>1972</v>
      </c>
      <c r="B2033" s="138">
        <f>'Cap Outlay Deprec 26'!H8</f>
        <v>531060</v>
      </c>
      <c r="D2033" s="2" t="str">
        <f t="shared" si="30"/>
        <v>Error?</v>
      </c>
    </row>
    <row r="2034" spans="1:4" x14ac:dyDescent="0.2">
      <c r="A2034" s="5">
        <v>1973</v>
      </c>
      <c r="B2034" s="138">
        <f>'Cap Outlay Deprec 26'!H10</f>
        <v>37035</v>
      </c>
      <c r="D2034" s="2" t="str">
        <f t="shared" si="30"/>
        <v>Error?</v>
      </c>
    </row>
    <row r="2035" spans="1:4" x14ac:dyDescent="0.2">
      <c r="A2035" s="5">
        <v>1974</v>
      </c>
      <c r="B2035" s="138">
        <f>'Cap Outlay Deprec 26'!H12</f>
        <v>1422007</v>
      </c>
      <c r="D2035" s="2" t="str">
        <f t="shared" si="30"/>
        <v>Error?</v>
      </c>
    </row>
    <row r="2036" spans="1:4" x14ac:dyDescent="0.2">
      <c r="A2036" s="5">
        <v>1975</v>
      </c>
      <c r="B2036" s="138">
        <f>'Cap Outlay Deprec 26'!H13</f>
        <v>139195</v>
      </c>
      <c r="D2036" s="2" t="str">
        <f t="shared" si="30"/>
        <v>Error?</v>
      </c>
    </row>
    <row r="2037" spans="1:4" x14ac:dyDescent="0.2">
      <c r="A2037" s="5">
        <v>1976</v>
      </c>
      <c r="B2037" s="138">
        <f>'Cap Outlay Deprec 26'!H16</f>
        <v>2129297</v>
      </c>
      <c r="C2037" s="2" t="s">
        <v>594</v>
      </c>
      <c r="D2037" s="2" t="str">
        <f t="shared" si="30"/>
        <v>Error?</v>
      </c>
    </row>
    <row r="2038" spans="1:4" x14ac:dyDescent="0.2">
      <c r="A2038" s="10">
        <v>1977</v>
      </c>
      <c r="D2038" s="2" t="str">
        <f t="shared" si="30"/>
        <v>OK</v>
      </c>
    </row>
    <row r="2039" spans="1:4" x14ac:dyDescent="0.2">
      <c r="A2039" s="5">
        <v>1978</v>
      </c>
      <c r="B2039" s="138">
        <f>'Cap Outlay Deprec 26'!I8</f>
        <v>106212</v>
      </c>
      <c r="D2039" s="2" t="str">
        <f t="shared" si="30"/>
        <v>Error?</v>
      </c>
    </row>
    <row r="2040" spans="1:4" x14ac:dyDescent="0.2">
      <c r="A2040" s="5">
        <v>1979</v>
      </c>
      <c r="B2040" s="138">
        <f>'Cap Outlay Deprec 26'!I10</f>
        <v>7407</v>
      </c>
      <c r="D2040" s="2" t="str">
        <f t="shared" si="30"/>
        <v>Error?</v>
      </c>
    </row>
    <row r="2041" spans="1:4" x14ac:dyDescent="0.2">
      <c r="A2041" s="5">
        <v>1980</v>
      </c>
      <c r="B2041" s="138">
        <f>'Cap Outlay Deprec 26'!I12</f>
        <v>298393</v>
      </c>
      <c r="D2041" s="2" t="str">
        <f t="shared" si="30"/>
        <v>Error?</v>
      </c>
    </row>
    <row r="2042" spans="1:4" x14ac:dyDescent="0.2">
      <c r="A2042" s="5">
        <v>1981</v>
      </c>
      <c r="B2042" s="138">
        <f>'Cap Outlay Deprec 26'!I13</f>
        <v>41675</v>
      </c>
      <c r="D2042" s="2" t="str">
        <f t="shared" si="30"/>
        <v>Error?</v>
      </c>
    </row>
    <row r="2043" spans="1:4" x14ac:dyDescent="0.2">
      <c r="A2043" s="5">
        <v>1982</v>
      </c>
      <c r="B2043" s="138">
        <f>'Cap Outlay Deprec 26'!I16</f>
        <v>453687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637272</v>
      </c>
      <c r="C2051" s="2" t="s">
        <v>594</v>
      </c>
      <c r="D2051" s="2" t="str">
        <f t="shared" si="31"/>
        <v>Error?</v>
      </c>
    </row>
    <row r="2052" spans="1:4" x14ac:dyDescent="0.2">
      <c r="A2052" s="5">
        <v>1991</v>
      </c>
      <c r="B2052" s="138">
        <f>'Cap Outlay Deprec 26'!K10</f>
        <v>44442</v>
      </c>
      <c r="C2052" s="2" t="s">
        <v>594</v>
      </c>
      <c r="D2052" s="2" t="str">
        <f t="shared" si="31"/>
        <v>Error?</v>
      </c>
    </row>
    <row r="2053" spans="1:4" x14ac:dyDescent="0.2">
      <c r="A2053" s="5">
        <v>1992</v>
      </c>
      <c r="B2053" s="138">
        <f>'Cap Outlay Deprec 26'!K12</f>
        <v>1720400</v>
      </c>
      <c r="C2053" s="2" t="s">
        <v>594</v>
      </c>
      <c r="D2053" s="2" t="str">
        <f t="shared" si="31"/>
        <v>Error?</v>
      </c>
    </row>
    <row r="2054" spans="1:4" x14ac:dyDescent="0.2">
      <c r="A2054" s="5">
        <v>1993</v>
      </c>
      <c r="B2054" s="138">
        <f>'Cap Outlay Deprec 26'!K13</f>
        <v>180870</v>
      </c>
      <c r="C2054" s="2" t="s">
        <v>594</v>
      </c>
      <c r="D2054" s="2" t="str">
        <f t="shared" si="31"/>
        <v>Error?</v>
      </c>
    </row>
    <row r="2055" spans="1:4" x14ac:dyDescent="0.2">
      <c r="A2055" s="5">
        <v>1994</v>
      </c>
      <c r="B2055" s="138">
        <f>'Cap Outlay Deprec 26'!K16</f>
        <v>2582984</v>
      </c>
      <c r="C2055" s="2" t="s">
        <v>594</v>
      </c>
      <c r="D2055" s="2" t="str">
        <f t="shared" si="31"/>
        <v>Error?</v>
      </c>
    </row>
    <row r="2056" spans="1:4" x14ac:dyDescent="0.2">
      <c r="A2056" s="5">
        <v>1995</v>
      </c>
      <c r="B2056" s="138">
        <f>'Cap Outlay Deprec 26'!L5</f>
        <v>825000</v>
      </c>
      <c r="C2056" s="2" t="s">
        <v>594</v>
      </c>
      <c r="D2056" s="2" t="str">
        <f t="shared" si="31"/>
        <v>Error?</v>
      </c>
    </row>
    <row r="2057" spans="1:4" x14ac:dyDescent="0.2">
      <c r="A2057" s="5">
        <v>1996</v>
      </c>
      <c r="B2057" s="138">
        <f>'Cap Outlay Deprec 26'!L8</f>
        <v>4673308</v>
      </c>
      <c r="C2057" s="2" t="s">
        <v>594</v>
      </c>
      <c r="D2057" s="2" t="str">
        <f t="shared" si="31"/>
        <v>Error?</v>
      </c>
    </row>
    <row r="2058" spans="1:4" x14ac:dyDescent="0.2">
      <c r="A2058" s="5">
        <v>1997</v>
      </c>
      <c r="B2058" s="138">
        <f>'Cap Outlay Deprec 26'!L10</f>
        <v>103698</v>
      </c>
      <c r="C2058" s="2" t="s">
        <v>594</v>
      </c>
      <c r="D2058" s="2" t="str">
        <f t="shared" si="31"/>
        <v>Error?</v>
      </c>
    </row>
    <row r="2059" spans="1:4" x14ac:dyDescent="0.2">
      <c r="A2059" s="5">
        <v>1998</v>
      </c>
      <c r="B2059" s="138">
        <f>'Cap Outlay Deprec 26'!L12</f>
        <v>1263525</v>
      </c>
      <c r="C2059" s="2" t="s">
        <v>594</v>
      </c>
      <c r="D2059" s="2" t="str">
        <f t="shared" si="31"/>
        <v>Error?</v>
      </c>
    </row>
    <row r="2060" spans="1:4" x14ac:dyDescent="0.2">
      <c r="A2060" s="5">
        <v>1999</v>
      </c>
      <c r="B2060" s="138">
        <f>'Cap Outlay Deprec 26'!L13</f>
        <v>235883</v>
      </c>
      <c r="C2060" s="2" t="s">
        <v>594</v>
      </c>
      <c r="D2060" s="2" t="str">
        <f t="shared" si="31"/>
        <v>Error?</v>
      </c>
    </row>
    <row r="2061" spans="1:4" x14ac:dyDescent="0.2">
      <c r="A2061" s="5">
        <v>2000</v>
      </c>
      <c r="B2061" s="138">
        <f>'Cap Outlay Deprec 26'!L16</f>
        <v>35500543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652790</v>
      </c>
      <c r="C2088" s="2" t="s">
        <v>594</v>
      </c>
      <c r="D2088" s="2" t="str">
        <f t="shared" si="31"/>
        <v>Error?</v>
      </c>
    </row>
    <row r="2089" spans="1:4" x14ac:dyDescent="0.2">
      <c r="A2089" s="5">
        <v>2028</v>
      </c>
      <c r="B2089" s="138">
        <f>'Expenditures 15-22'!K92</f>
        <v>140666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108180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5817631</v>
      </c>
      <c r="C2551" s="2" t="s">
        <v>594</v>
      </c>
      <c r="D2551" s="2" t="str">
        <f t="shared" si="38"/>
        <v>Error?</v>
      </c>
    </row>
    <row r="2552" spans="1:4" x14ac:dyDescent="0.2">
      <c r="A2552" s="10">
        <v>2491</v>
      </c>
      <c r="D2552" s="2" t="str">
        <f t="shared" si="38"/>
        <v>OK</v>
      </c>
    </row>
    <row r="2553" spans="1:4" x14ac:dyDescent="0.2">
      <c r="A2553" s="5">
        <v>2492</v>
      </c>
      <c r="B2553" s="138">
        <f>'Acct Summary 7-8'!C6</f>
        <v>1662563</v>
      </c>
      <c r="C2553" s="2" t="s">
        <v>594</v>
      </c>
      <c r="D2553" s="2" t="str">
        <f t="shared" si="38"/>
        <v>Error?</v>
      </c>
    </row>
    <row r="2554" spans="1:4" x14ac:dyDescent="0.2">
      <c r="A2554" s="5">
        <v>2493</v>
      </c>
      <c r="B2554" s="138">
        <f>'Acct Summary 7-8'!C7</f>
        <v>672548</v>
      </c>
      <c r="C2554" s="2" t="s">
        <v>594</v>
      </c>
      <c r="D2554" s="2" t="str">
        <f t="shared" si="38"/>
        <v>Error?</v>
      </c>
    </row>
    <row r="2555" spans="1:4" x14ac:dyDescent="0.2">
      <c r="A2555" s="5">
        <v>2494</v>
      </c>
      <c r="B2555" s="138">
        <f>'Acct Summary 7-8'!C8</f>
        <v>8152742</v>
      </c>
      <c r="C2555" s="2" t="s">
        <v>594</v>
      </c>
      <c r="D2555" s="2" t="str">
        <f t="shared" si="38"/>
        <v>Error?</v>
      </c>
    </row>
    <row r="2556" spans="1:4" x14ac:dyDescent="0.2">
      <c r="A2556" s="5">
        <v>2495</v>
      </c>
      <c r="B2556" s="138">
        <f>'Acct Summary 7-8'!C12</f>
        <v>4063798</v>
      </c>
      <c r="C2556" s="2" t="s">
        <v>594</v>
      </c>
      <c r="D2556" s="2" t="str">
        <f t="shared" si="38"/>
        <v>Error?</v>
      </c>
    </row>
    <row r="2557" spans="1:4" x14ac:dyDescent="0.2">
      <c r="A2557" s="5">
        <v>2496</v>
      </c>
      <c r="B2557" s="138">
        <f>'Acct Summary 7-8'!C13</f>
        <v>1833854</v>
      </c>
      <c r="C2557" s="2" t="s">
        <v>594</v>
      </c>
      <c r="D2557" s="2" t="str">
        <f t="shared" si="38"/>
        <v>Error?</v>
      </c>
    </row>
    <row r="2558" spans="1:4" x14ac:dyDescent="0.2">
      <c r="A2558" s="5">
        <v>2497</v>
      </c>
      <c r="B2558" s="138">
        <f>'Acct Summary 7-8'!C14</f>
        <v>3611</v>
      </c>
      <c r="C2558" s="2" t="s">
        <v>594</v>
      </c>
      <c r="D2558" s="2" t="str">
        <f t="shared" si="38"/>
        <v>Error?</v>
      </c>
    </row>
    <row r="2559" spans="1:4" x14ac:dyDescent="0.2">
      <c r="A2559" s="5">
        <v>2498</v>
      </c>
      <c r="B2559" s="138">
        <f>'Acct Summary 7-8'!C15</f>
        <v>793456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6694719</v>
      </c>
      <c r="C2561" s="2" t="s">
        <v>594</v>
      </c>
      <c r="D2561" s="2" t="str">
        <f t="shared" si="39"/>
        <v>Error?</v>
      </c>
    </row>
    <row r="2562" spans="1:4" x14ac:dyDescent="0.2">
      <c r="A2562" s="5">
        <v>2501</v>
      </c>
      <c r="B2562" s="138">
        <f>'Acct Summary 7-8'!C20</f>
        <v>1458023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2273855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2273855</v>
      </c>
      <c r="C2568" s="2" t="s">
        <v>594</v>
      </c>
      <c r="D2568" s="2" t="str">
        <f t="shared" si="39"/>
        <v>Error?</v>
      </c>
    </row>
    <row r="2569" spans="1:4" x14ac:dyDescent="0.2">
      <c r="A2569" s="5">
        <v>2508</v>
      </c>
      <c r="B2569" s="138">
        <f>'Acct Summary 7-8'!D13</f>
        <v>860067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860067</v>
      </c>
      <c r="C2573" s="2" t="s">
        <v>594</v>
      </c>
      <c r="D2573" s="2" t="str">
        <f t="shared" si="39"/>
        <v>Error?</v>
      </c>
    </row>
    <row r="2574" spans="1:4" x14ac:dyDescent="0.2">
      <c r="A2574" s="5">
        <v>2513</v>
      </c>
      <c r="B2574" s="138">
        <f>'Acct Summary 7-8'!D20</f>
        <v>1413788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201474</v>
      </c>
      <c r="C2591" s="2" t="s">
        <v>594</v>
      </c>
      <c r="D2591" s="2" t="str">
        <f t="shared" si="39"/>
        <v>Error?</v>
      </c>
    </row>
    <row r="2592" spans="1:4" x14ac:dyDescent="0.2">
      <c r="A2592" s="10">
        <v>2531</v>
      </c>
      <c r="D2592" s="2" t="str">
        <f t="shared" si="39"/>
        <v>OK</v>
      </c>
    </row>
    <row r="2593" spans="1:4" x14ac:dyDescent="0.2">
      <c r="A2593" s="5">
        <v>2532</v>
      </c>
      <c r="B2593" s="138">
        <f>'Acct Summary 7-8'!F6</f>
        <v>470445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671919</v>
      </c>
      <c r="C2595" s="2" t="s">
        <v>594</v>
      </c>
      <c r="D2595" s="2" t="str">
        <f t="shared" si="39"/>
        <v>Error?</v>
      </c>
    </row>
    <row r="2596" spans="1:4" x14ac:dyDescent="0.2">
      <c r="A2596" s="5">
        <v>2535</v>
      </c>
      <c r="B2596" s="138">
        <f>'Acct Summary 7-8'!F13</f>
        <v>795513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795513</v>
      </c>
      <c r="C2600" s="2" t="s">
        <v>594</v>
      </c>
      <c r="D2600" s="2" t="str">
        <f t="shared" si="39"/>
        <v>Error?</v>
      </c>
    </row>
    <row r="2601" spans="1:4" x14ac:dyDescent="0.2">
      <c r="A2601" s="5">
        <v>2540</v>
      </c>
      <c r="B2601" s="138">
        <f>'Acct Summary 7-8'!F20</f>
        <v>-123594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389821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389821</v>
      </c>
      <c r="C2606" s="2" t="s">
        <v>594</v>
      </c>
      <c r="D2606" s="2" t="str">
        <f t="shared" si="39"/>
        <v>Error?</v>
      </c>
    </row>
    <row r="2607" spans="1:4" x14ac:dyDescent="0.2">
      <c r="A2607" s="5">
        <v>2546</v>
      </c>
      <c r="B2607" s="138">
        <f>'Acct Summary 7-8'!G12</f>
        <v>85833</v>
      </c>
      <c r="C2607" s="2" t="s">
        <v>594</v>
      </c>
      <c r="D2607" s="2" t="str">
        <f t="shared" si="39"/>
        <v>Error?</v>
      </c>
    </row>
    <row r="2608" spans="1:4" x14ac:dyDescent="0.2">
      <c r="A2608" s="5">
        <v>2547</v>
      </c>
      <c r="B2608" s="138">
        <f>'Acct Summary 7-8'!G13</f>
        <v>199631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285464</v>
      </c>
      <c r="C2612" s="2" t="s">
        <v>594</v>
      </c>
      <c r="D2612" s="2" t="str">
        <f t="shared" si="39"/>
        <v>Error?</v>
      </c>
    </row>
    <row r="2613" spans="1:4" x14ac:dyDescent="0.2">
      <c r="A2613" s="5">
        <v>2552</v>
      </c>
      <c r="B2613" s="138">
        <f>'Acct Summary 7-8'!G20</f>
        <v>104357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62266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62266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2348705</v>
      </c>
      <c r="C2634" s="2" t="s">
        <v>594</v>
      </c>
      <c r="D2634" s="2" t="str">
        <f t="shared" si="40"/>
        <v>Error?</v>
      </c>
    </row>
    <row r="2635" spans="1:4" x14ac:dyDescent="0.2">
      <c r="A2635" s="5">
        <v>2574</v>
      </c>
      <c r="B2635" s="138">
        <f>'Acct Summary 7-8'!E17</f>
        <v>2348705</v>
      </c>
      <c r="C2635" s="2" t="s">
        <v>594</v>
      </c>
      <c r="D2635" s="2" t="str">
        <f t="shared" si="40"/>
        <v>Error?</v>
      </c>
    </row>
    <row r="2636" spans="1:4" x14ac:dyDescent="0.2">
      <c r="A2636" s="5">
        <v>2575</v>
      </c>
      <c r="B2636" s="138">
        <f>'Acct Summary 7-8'!E20</f>
        <v>-2286439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242605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242605</v>
      </c>
      <c r="C2658" s="2" t="s">
        <v>594</v>
      </c>
      <c r="D2658" s="2" t="str">
        <f t="shared" si="40"/>
        <v>Error?</v>
      </c>
    </row>
    <row r="2659" spans="1:4" x14ac:dyDescent="0.2">
      <c r="A2659" s="5">
        <v>2598</v>
      </c>
      <c r="B2659" s="138">
        <f>'Acct Summary 7-8'!H13</f>
        <v>25826337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25826337</v>
      </c>
      <c r="C2661" s="2" t="s">
        <v>594</v>
      </c>
      <c r="D2661" s="2" t="str">
        <f t="shared" si="40"/>
        <v>Error?</v>
      </c>
    </row>
    <row r="2662" spans="1:4" x14ac:dyDescent="0.2">
      <c r="A2662" s="5">
        <v>2601</v>
      </c>
      <c r="B2662" s="138">
        <f>'Acct Summary 7-8'!H20</f>
        <v>-25583732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652790</v>
      </c>
      <c r="C2789" s="2" t="s">
        <v>594</v>
      </c>
      <c r="D2789" s="2" t="str">
        <f t="shared" si="42"/>
        <v>Error?</v>
      </c>
    </row>
    <row r="2790" spans="1:4" x14ac:dyDescent="0.2">
      <c r="A2790" s="5">
        <v>2729</v>
      </c>
      <c r="B2790" s="138">
        <f>'Expenditures 15-22'!E102</f>
        <v>652790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28399129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29137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29137</v>
      </c>
      <c r="D2914" s="2" t="str">
        <f t="shared" si="44"/>
        <v>Error?</v>
      </c>
    </row>
    <row r="2915" spans="1:4" x14ac:dyDescent="0.2">
      <c r="A2915" s="10">
        <v>2854</v>
      </c>
      <c r="D2915" s="2" t="str">
        <f t="shared" si="44"/>
        <v>OK</v>
      </c>
    </row>
    <row r="2916" spans="1:4" x14ac:dyDescent="0.2">
      <c r="A2916" s="5">
        <v>2855</v>
      </c>
      <c r="B2916" s="138">
        <f>'Assets-Liab 5-6'!L34</f>
        <v>29137</v>
      </c>
      <c r="C2916" s="2" t="s">
        <v>594</v>
      </c>
      <c r="D2916" s="2" t="str">
        <f t="shared" si="44"/>
        <v>Error?</v>
      </c>
    </row>
    <row r="2917" spans="1:4" x14ac:dyDescent="0.2">
      <c r="A2917" s="5">
        <v>2856</v>
      </c>
      <c r="B2917" s="138">
        <f>'Assets-Liab 5-6'!L41</f>
        <v>29137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652790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652790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106093</v>
      </c>
      <c r="D3055" s="2" t="str">
        <f t="shared" si="46"/>
        <v>Error?</v>
      </c>
    </row>
    <row r="3056" spans="1:4" x14ac:dyDescent="0.2">
      <c r="A3056" s="5">
        <v>2995</v>
      </c>
      <c r="B3056" s="138">
        <f>'Expenditures 15-22'!D10</f>
        <v>25017</v>
      </c>
      <c r="D3056" s="2" t="str">
        <f t="shared" si="46"/>
        <v>Error?</v>
      </c>
    </row>
    <row r="3057" spans="1:4" x14ac:dyDescent="0.2">
      <c r="A3057" s="5">
        <v>2996</v>
      </c>
      <c r="B3057" s="138">
        <f>'Expenditures 15-22'!E10</f>
        <v>5835</v>
      </c>
      <c r="D3057" s="2" t="str">
        <f t="shared" si="46"/>
        <v>Error?</v>
      </c>
    </row>
    <row r="3058" spans="1:4" x14ac:dyDescent="0.2">
      <c r="A3058" s="5">
        <v>2997</v>
      </c>
      <c r="B3058" s="138">
        <f>'Expenditures 15-22'!F10</f>
        <v>12314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149259</v>
      </c>
      <c r="C3062" s="2" t="s">
        <v>594</v>
      </c>
      <c r="D3062" s="2" t="str">
        <f t="shared" si="46"/>
        <v>Error?</v>
      </c>
    </row>
    <row r="3063" spans="1:4" x14ac:dyDescent="0.2">
      <c r="A3063" s="10">
        <v>3002</v>
      </c>
      <c r="D3063" s="2" t="str">
        <f t="shared" si="46"/>
        <v>OK</v>
      </c>
    </row>
    <row r="3064" spans="1:4" x14ac:dyDescent="0.2">
      <c r="A3064" s="5">
        <v>3003</v>
      </c>
      <c r="B3064" s="138">
        <f>'Expenditures 15-22'!D219</f>
        <v>1560</v>
      </c>
      <c r="D3064" s="2" t="str">
        <f t="shared" si="46"/>
        <v>Error?</v>
      </c>
    </row>
    <row r="3065" spans="1:4" x14ac:dyDescent="0.2">
      <c r="A3065" s="5">
        <v>3004</v>
      </c>
      <c r="B3065" s="138">
        <f>'Expenditures 15-22'!K219</f>
        <v>1560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108180</v>
      </c>
      <c r="C3225" s="2" t="s">
        <v>594</v>
      </c>
      <c r="D3225" s="2" t="str">
        <f t="shared" si="49"/>
        <v>Error?</v>
      </c>
    </row>
    <row r="3226" spans="1:4" x14ac:dyDescent="0.2">
      <c r="A3226" s="5">
        <v>3165</v>
      </c>
      <c r="B3226" s="138">
        <f>'Acct Summary 7-8'!I8</f>
        <v>108180</v>
      </c>
      <c r="C3226" s="2" t="s">
        <v>594</v>
      </c>
      <c r="D3226" s="2" t="str">
        <f t="shared" si="49"/>
        <v>Error?</v>
      </c>
    </row>
    <row r="3227" spans="1:4" x14ac:dyDescent="0.2">
      <c r="A3227" s="5">
        <v>3166</v>
      </c>
      <c r="B3227" s="138">
        <f>'Acct Summary 7-8'!I20</f>
        <v>108180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108180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108180</v>
      </c>
      <c r="C3232" s="2" t="s">
        <v>594</v>
      </c>
      <c r="D3232" s="2" t="str">
        <f t="shared" si="49"/>
        <v>Error?</v>
      </c>
    </row>
    <row r="3233" spans="1:4" x14ac:dyDescent="0.2">
      <c r="A3233" s="5">
        <v>3172</v>
      </c>
      <c r="B3233" s="138">
        <f>'Acct Summary 7-8'!C78</f>
        <v>1566203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2286923</v>
      </c>
      <c r="C3237" s="2" t="s">
        <v>594</v>
      </c>
      <c r="D3237" s="2" t="str">
        <f t="shared" si="49"/>
        <v>Error?</v>
      </c>
    </row>
    <row r="3238" spans="1:4" x14ac:dyDescent="0.2">
      <c r="A3238" s="5">
        <v>3177</v>
      </c>
      <c r="B3238" s="138">
        <f>'Acct Summary 7-8'!D77</f>
        <v>-2286923</v>
      </c>
      <c r="C3238" s="2" t="s">
        <v>594</v>
      </c>
      <c r="D3238" s="2" t="str">
        <f t="shared" si="49"/>
        <v>Error?</v>
      </c>
    </row>
    <row r="3239" spans="1:4" x14ac:dyDescent="0.2">
      <c r="A3239" s="5">
        <v>3178</v>
      </c>
      <c r="B3239" s="138">
        <f>'Acct Summary 7-8'!D78</f>
        <v>-873135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-123594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104357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2286923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2286923</v>
      </c>
      <c r="C3277" s="2" t="s">
        <v>594</v>
      </c>
      <c r="D3277" s="2" t="str">
        <f t="shared" si="50"/>
        <v>Error?</v>
      </c>
    </row>
    <row r="3278" spans="1:4" x14ac:dyDescent="0.2">
      <c r="A3278" s="5">
        <v>3217</v>
      </c>
      <c r="B3278" s="138">
        <f>'Acct Summary 7-8'!E78</f>
        <v>484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-25583732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108180</v>
      </c>
      <c r="C3318" s="2" t="s">
        <v>594</v>
      </c>
      <c r="D3318" s="2" t="str">
        <f t="shared" si="50"/>
        <v>Error?</v>
      </c>
    </row>
    <row r="3319" spans="1:4" x14ac:dyDescent="0.2">
      <c r="A3319" s="5">
        <v>3258</v>
      </c>
      <c r="B3319" s="138">
        <f>'Acct Summary 7-8'!I77</f>
        <v>-108180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327286</v>
      </c>
      <c r="D3366" s="2" t="str">
        <f t="shared" si="51"/>
        <v>Error?</v>
      </c>
    </row>
    <row r="3367" spans="1:4" x14ac:dyDescent="0.2">
      <c r="A3367" s="5">
        <v>3306</v>
      </c>
      <c r="B3367" s="138">
        <f>'Expenditures 15-22'!C19</f>
        <v>294889</v>
      </c>
      <c r="D3367" s="2" t="str">
        <f t="shared" si="51"/>
        <v>Error?</v>
      </c>
    </row>
    <row r="3368" spans="1:4" x14ac:dyDescent="0.2">
      <c r="A3368" s="5">
        <v>3307</v>
      </c>
      <c r="B3368" s="138">
        <f>'Expenditures 15-22'!D8</f>
        <v>67708</v>
      </c>
      <c r="D3368" s="2" t="str">
        <f t="shared" si="51"/>
        <v>Error?</v>
      </c>
    </row>
    <row r="3369" spans="1:4" x14ac:dyDescent="0.2">
      <c r="A3369" s="5">
        <v>3308</v>
      </c>
      <c r="B3369" s="138">
        <f>'Expenditures 15-22'!D19</f>
        <v>69664</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2874</v>
      </c>
      <c r="D3371" s="2" t="str">
        <f t="shared" si="51"/>
        <v>Error?</v>
      </c>
    </row>
    <row r="3372" spans="1:4" x14ac:dyDescent="0.2">
      <c r="A3372" s="5">
        <v>3311</v>
      </c>
      <c r="B3372" s="138">
        <f>'Expenditures 15-22'!F8</f>
        <v>1039</v>
      </c>
      <c r="D3372" s="2" t="str">
        <f t="shared" si="51"/>
        <v>Error?</v>
      </c>
    </row>
    <row r="3373" spans="1:4" x14ac:dyDescent="0.2">
      <c r="A3373" s="5">
        <v>3312</v>
      </c>
      <c r="B3373" s="138">
        <f>'Expenditures 15-22'!F19</f>
        <v>29700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56000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396033</v>
      </c>
      <c r="C3380" s="2" t="s">
        <v>594</v>
      </c>
      <c r="D3380" s="2" t="str">
        <f t="shared" si="51"/>
        <v>Error?</v>
      </c>
    </row>
    <row r="3381" spans="1:4" x14ac:dyDescent="0.2">
      <c r="A3381" s="5">
        <v>3320</v>
      </c>
      <c r="B3381" s="138">
        <f>'Expenditures 15-22'!K19</f>
        <v>453127</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47244</v>
      </c>
      <c r="D3387" s="2" t="str">
        <f t="shared" si="51"/>
        <v>Error?</v>
      </c>
    </row>
    <row r="3388" spans="1:4" x14ac:dyDescent="0.2">
      <c r="A3388" s="5">
        <v>3327</v>
      </c>
      <c r="B3388" s="138">
        <f>'Expenditures 15-22'!D217</f>
        <v>13170</v>
      </c>
      <c r="D3388" s="2" t="str">
        <f t="shared" si="51"/>
        <v>Error?</v>
      </c>
    </row>
    <row r="3389" spans="1:4" x14ac:dyDescent="0.2">
      <c r="A3389" s="5">
        <v>3328</v>
      </c>
      <c r="B3389" s="138">
        <f>'Expenditures 15-22'!D228</f>
        <v>15782</v>
      </c>
      <c r="D3389" s="2" t="str">
        <f t="shared" si="51"/>
        <v>Error?</v>
      </c>
    </row>
    <row r="3390" spans="1:4" x14ac:dyDescent="0.2">
      <c r="A3390" s="5">
        <v>3329</v>
      </c>
      <c r="B3390" s="138">
        <f>'Expenditures 15-22'!K215</f>
        <v>47244</v>
      </c>
      <c r="C3390" s="2" t="s">
        <v>594</v>
      </c>
      <c r="D3390" s="2" t="str">
        <f t="shared" si="51"/>
        <v>Error?</v>
      </c>
    </row>
    <row r="3391" spans="1:4" x14ac:dyDescent="0.2">
      <c r="A3391" s="5">
        <v>3330</v>
      </c>
      <c r="B3391" s="138">
        <f>'Expenditures 15-22'!K217</f>
        <v>13170</v>
      </c>
      <c r="C3391" s="2" t="s">
        <v>594</v>
      </c>
      <c r="D3391" s="2" t="str">
        <f t="shared" ref="D3391:D3454" si="52">IF(ISBLANK(B3391),"OK",IF(A3391-B3391=0,"OK","Error?"))</f>
        <v>Error?</v>
      </c>
    </row>
    <row r="3392" spans="1:4" x14ac:dyDescent="0.2">
      <c r="A3392" s="5">
        <v>3331</v>
      </c>
      <c r="B3392" s="138">
        <f>'Expenditures 15-22'!K228</f>
        <v>15782</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9511773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824325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30535</v>
      </c>
      <c r="D3417" s="2" t="str">
        <f t="shared" si="52"/>
        <v>Error?</v>
      </c>
    </row>
    <row r="3418" spans="1:4" x14ac:dyDescent="0.2">
      <c r="A3418" s="10">
        <v>3357</v>
      </c>
      <c r="D3418" s="2" t="str">
        <f t="shared" si="52"/>
        <v>OK</v>
      </c>
    </row>
    <row r="3419" spans="1:4" x14ac:dyDescent="0.2">
      <c r="A3419" s="5">
        <v>3358</v>
      </c>
      <c r="B3419" s="138">
        <f>'Assets-Liab 5-6'!F4</f>
        <v>1025786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280359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7023955</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29137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153693</v>
      </c>
      <c r="C3446" s="2" t="s">
        <v>594</v>
      </c>
      <c r="D3446" s="2" t="str">
        <f t="shared" si="52"/>
        <v>Error?</v>
      </c>
    </row>
    <row r="3447" spans="1:4" x14ac:dyDescent="0.2">
      <c r="A3447" s="5">
        <v>3386</v>
      </c>
      <c r="B3447" s="138">
        <f>'Tax Sched 23'!D16</f>
        <v>74237</v>
      </c>
      <c r="C3447" s="2" t="s">
        <v>594</v>
      </c>
      <c r="D3447" s="2" t="str">
        <f t="shared" si="52"/>
        <v>Error?</v>
      </c>
    </row>
    <row r="3448" spans="1:4" x14ac:dyDescent="0.2">
      <c r="A3448" s="5">
        <v>3387</v>
      </c>
      <c r="B3448" s="138">
        <f>'Tax Sched 23'!C16</f>
        <v>79456</v>
      </c>
      <c r="D3448" s="2" t="str">
        <f t="shared" si="52"/>
        <v>Error?</v>
      </c>
    </row>
    <row r="3449" spans="1:4" x14ac:dyDescent="0.2">
      <c r="A3449" s="5">
        <v>3388</v>
      </c>
      <c r="B3449" s="138">
        <f>'Tax Sched 23'!F16</f>
        <v>87007</v>
      </c>
      <c r="C3449" s="2" t="s">
        <v>594</v>
      </c>
      <c r="D3449" s="2" t="str">
        <f t="shared" si="52"/>
        <v>Error?</v>
      </c>
    </row>
    <row r="3450" spans="1:4" x14ac:dyDescent="0.2">
      <c r="A3450" s="5">
        <v>3389</v>
      </c>
      <c r="B3450" s="138">
        <f>'Tax Sched 23'!E16</f>
        <v>166463</v>
      </c>
      <c r="D3450" s="2" t="str">
        <f t="shared" si="52"/>
        <v>Error?</v>
      </c>
    </row>
    <row r="3451" spans="1:4" x14ac:dyDescent="0.2">
      <c r="A3451" s="5">
        <v>3390</v>
      </c>
      <c r="B3451" s="138">
        <f>'Cap Outlay Deprec 26'!C15</f>
        <v>2572792</v>
      </c>
      <c r="D3451" s="2" t="str">
        <f t="shared" si="52"/>
        <v>Error?</v>
      </c>
    </row>
    <row r="3452" spans="1:4" x14ac:dyDescent="0.2">
      <c r="A3452" s="5">
        <v>3391</v>
      </c>
      <c r="B3452" s="138">
        <f>'Cap Outlay Deprec 26'!D15</f>
        <v>25826337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28399129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28399129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911356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911356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911356</v>
      </c>
      <c r="D3567" s="2" t="str">
        <f t="shared" si="54"/>
        <v>Error?</v>
      </c>
    </row>
    <row r="3568" spans="1:4" x14ac:dyDescent="0.2">
      <c r="A3568" s="5">
        <v>3507</v>
      </c>
      <c r="B3568" s="138">
        <f>'Assets-Liab 5-6'!K41</f>
        <v>911356</v>
      </c>
      <c r="C3568" s="2" t="s">
        <v>594</v>
      </c>
      <c r="D3568" s="2" t="str">
        <f t="shared" si="54"/>
        <v>Error?</v>
      </c>
    </row>
    <row r="3569" spans="1:4" x14ac:dyDescent="0.2">
      <c r="A3569" s="5">
        <v>3508</v>
      </c>
      <c r="B3569" s="138">
        <f>'Acct Summary 7-8'!K4</f>
        <v>131972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131972</v>
      </c>
      <c r="C3571" s="2" t="s">
        <v>594</v>
      </c>
      <c r="D3571" s="2" t="str">
        <f t="shared" si="54"/>
        <v>Error?</v>
      </c>
    </row>
    <row r="3572" spans="1:4" x14ac:dyDescent="0.2">
      <c r="A3572" s="5">
        <v>3511</v>
      </c>
      <c r="B3572" s="138">
        <f>'Acct Summary 7-8'!K13</f>
        <v>106310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106310</v>
      </c>
      <c r="C3575" s="2" t="s">
        <v>594</v>
      </c>
      <c r="D3575" s="2" t="str">
        <f t="shared" si="54"/>
        <v>Error?</v>
      </c>
    </row>
    <row r="3576" spans="1:4" x14ac:dyDescent="0.2">
      <c r="A3576" s="5">
        <v>3515</v>
      </c>
      <c r="B3576" s="138">
        <f>'Acct Summary 7-8'!K20</f>
        <v>25662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25662</v>
      </c>
      <c r="C3588" s="2" t="s">
        <v>594</v>
      </c>
      <c r="D3588" s="2" t="str">
        <f t="shared" si="55"/>
        <v>Error?</v>
      </c>
    </row>
    <row r="3589" spans="1:4" x14ac:dyDescent="0.2">
      <c r="A3589" s="5">
        <v>3528</v>
      </c>
      <c r="B3589" s="138">
        <f>'Acct Summary 7-8'!K79</f>
        <v>885694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911356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77675</v>
      </c>
      <c r="D3632" s="2" t="str">
        <f t="shared" si="55"/>
        <v>Error?</v>
      </c>
    </row>
    <row r="3633" spans="1:4" x14ac:dyDescent="0.2">
      <c r="A3633" s="5">
        <v>3572</v>
      </c>
      <c r="B3633" s="138">
        <f>'Expenditures 15-22'!E350</f>
        <v>77675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77675</v>
      </c>
      <c r="C3635" s="2" t="s">
        <v>594</v>
      </c>
      <c r="D3635" s="2" t="str">
        <f t="shared" si="55"/>
        <v>Error?</v>
      </c>
    </row>
    <row r="3636" spans="1:4" x14ac:dyDescent="0.2">
      <c r="A3636" s="5">
        <v>3575</v>
      </c>
      <c r="B3636" s="138">
        <f>'Expenditures 15-22'!E367</f>
        <v>77675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28635</v>
      </c>
      <c r="D3639" s="2" t="str">
        <f t="shared" si="55"/>
        <v>Error?</v>
      </c>
    </row>
    <row r="3640" spans="1:4" x14ac:dyDescent="0.2">
      <c r="A3640" s="5">
        <v>3579</v>
      </c>
      <c r="B3640" s="138">
        <f>'Expenditures 15-22'!F350</f>
        <v>28635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28635</v>
      </c>
      <c r="C3642" s="2" t="s">
        <v>594</v>
      </c>
      <c r="D3642" s="2" t="str">
        <f t="shared" si="55"/>
        <v>Error?</v>
      </c>
    </row>
    <row r="3643" spans="1:4" x14ac:dyDescent="0.2">
      <c r="A3643" s="5">
        <v>3582</v>
      </c>
      <c r="B3643" s="138">
        <f>'Expenditures 15-22'!F367</f>
        <v>28635</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106310</v>
      </c>
      <c r="C3669" s="2" t="s">
        <v>594</v>
      </c>
      <c r="D3669" s="2" t="str">
        <f t="shared" si="56"/>
        <v>Error?</v>
      </c>
    </row>
    <row r="3670" spans="1:4" x14ac:dyDescent="0.2">
      <c r="A3670" s="5">
        <v>3609</v>
      </c>
      <c r="B3670" s="138">
        <f>'Expenditures 15-22'!K350</f>
        <v>106310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106310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106310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25662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131972</v>
      </c>
      <c r="C3725" s="2" t="s">
        <v>594</v>
      </c>
      <c r="D3725" s="2" t="str">
        <f t="shared" si="57"/>
        <v>Error?</v>
      </c>
    </row>
    <row r="3726" spans="1:4" x14ac:dyDescent="0.2">
      <c r="A3726" s="5">
        <v>3665</v>
      </c>
      <c r="B3726" s="138">
        <f>'Tax Sched 23'!D13</f>
        <v>64063</v>
      </c>
      <c r="C3726" s="2" t="s">
        <v>594</v>
      </c>
      <c r="D3726" s="2" t="str">
        <f t="shared" si="57"/>
        <v>Error?</v>
      </c>
    </row>
    <row r="3727" spans="1:4" x14ac:dyDescent="0.2">
      <c r="A3727" s="5">
        <v>3666</v>
      </c>
      <c r="B3727" s="138">
        <f>'Tax Sched 23'!C13</f>
        <v>67909</v>
      </c>
      <c r="D3727" s="2" t="str">
        <f t="shared" si="57"/>
        <v>Error?</v>
      </c>
    </row>
    <row r="3728" spans="1:4" x14ac:dyDescent="0.2">
      <c r="A3728" s="5">
        <v>3667</v>
      </c>
      <c r="B3728" s="138">
        <f>'Tax Sched 23'!F13</f>
        <v>74362</v>
      </c>
      <c r="C3728" s="2" t="s">
        <v>594</v>
      </c>
      <c r="D3728" s="2" t="str">
        <f t="shared" si="57"/>
        <v>Error?</v>
      </c>
    </row>
    <row r="3729" spans="1:4" x14ac:dyDescent="0.2">
      <c r="A3729" s="5">
        <v>3668</v>
      </c>
      <c r="B3729" s="138">
        <f>'Tax Sched 23'!E13</f>
        <v>142271</v>
      </c>
      <c r="D3729" s="2" t="str">
        <f t="shared" si="57"/>
        <v>Error?</v>
      </c>
    </row>
    <row r="3730" spans="1:4" x14ac:dyDescent="0.2">
      <c r="A3730" s="5">
        <v>3669</v>
      </c>
      <c r="B3730" s="138">
        <f>'ICR Computation 30'!E10</f>
        <v>188677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3090</v>
      </c>
      <c r="D4083" s="2" t="str">
        <f t="shared" si="62"/>
        <v>Error?</v>
      </c>
    </row>
    <row r="4084" spans="1:4" x14ac:dyDescent="0.2">
      <c r="A4084" s="5">
        <v>4023</v>
      </c>
      <c r="B4084" s="138">
        <f>'Expenditures 15-22'!F180</f>
        <v>2659</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5749</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366747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8519489</v>
      </c>
      <c r="C4122" s="2" t="s">
        <v>594</v>
      </c>
      <c r="D4122" s="2" t="str">
        <f t="shared" si="63"/>
        <v>Error?</v>
      </c>
    </row>
    <row r="4123" spans="1:4" x14ac:dyDescent="0.2">
      <c r="A4123" s="5">
        <v>4062</v>
      </c>
      <c r="B4123" s="138">
        <f>'Acct Summary 7-8'!D10</f>
        <v>2273855</v>
      </c>
      <c r="C4123" s="2" t="s">
        <v>594</v>
      </c>
      <c r="D4123" s="2" t="str">
        <f t="shared" si="63"/>
        <v>Error?</v>
      </c>
    </row>
    <row r="4124" spans="1:4" x14ac:dyDescent="0.2">
      <c r="A4124" s="5">
        <v>4063</v>
      </c>
      <c r="B4124" s="138">
        <f>'Acct Summary 7-8'!E10</f>
        <v>62266</v>
      </c>
      <c r="C4124" s="2" t="s">
        <v>594</v>
      </c>
      <c r="D4124" s="2" t="str">
        <f t="shared" si="63"/>
        <v>Error?</v>
      </c>
    </row>
    <row r="4125" spans="1:4" x14ac:dyDescent="0.2">
      <c r="A4125" s="5">
        <v>4064</v>
      </c>
      <c r="B4125" s="138">
        <f>'Acct Summary 7-8'!F10</f>
        <v>671919</v>
      </c>
      <c r="C4125" s="2" t="s">
        <v>594</v>
      </c>
      <c r="D4125" s="2" t="str">
        <f t="shared" si="63"/>
        <v>Error?</v>
      </c>
    </row>
    <row r="4126" spans="1:4" x14ac:dyDescent="0.2">
      <c r="A4126" s="5">
        <v>4065</v>
      </c>
      <c r="B4126" s="138">
        <f>'Acct Summary 7-8'!G10</f>
        <v>389821</v>
      </c>
      <c r="C4126" s="2" t="s">
        <v>594</v>
      </c>
      <c r="D4126" s="2" t="str">
        <f t="shared" si="63"/>
        <v>Error?</v>
      </c>
    </row>
    <row r="4127" spans="1:4" x14ac:dyDescent="0.2">
      <c r="A4127" s="5">
        <v>4066</v>
      </c>
      <c r="B4127" s="138">
        <f>'Acct Summary 7-8'!H10</f>
        <v>242605</v>
      </c>
      <c r="C4127" s="2" t="s">
        <v>594</v>
      </c>
      <c r="D4127" s="2" t="str">
        <f t="shared" si="63"/>
        <v>Error?</v>
      </c>
    </row>
    <row r="4128" spans="1:4" x14ac:dyDescent="0.2">
      <c r="A4128" s="5">
        <v>4067</v>
      </c>
      <c r="B4128" s="138">
        <f>'Acct Summary 7-8'!I10</f>
        <v>108180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131972</v>
      </c>
      <c r="C4130" s="2" t="s">
        <v>594</v>
      </c>
      <c r="D4130" s="2" t="str">
        <f t="shared" si="63"/>
        <v>Error?</v>
      </c>
    </row>
    <row r="4131" spans="1:4" x14ac:dyDescent="0.2">
      <c r="A4131" s="5">
        <v>4070</v>
      </c>
      <c r="B4131" s="138">
        <f>'Acct Summary 7-8'!C18</f>
        <v>366747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7061466</v>
      </c>
      <c r="C4136" s="2" t="s">
        <v>594</v>
      </c>
      <c r="D4136" s="2" t="str">
        <f t="shared" si="63"/>
        <v>Error?</v>
      </c>
    </row>
    <row r="4137" spans="1:4" x14ac:dyDescent="0.2">
      <c r="A4137" s="5">
        <v>4076</v>
      </c>
      <c r="B4137" s="138">
        <f>'Acct Summary 7-8'!D19</f>
        <v>860067</v>
      </c>
      <c r="C4137" s="2" t="s">
        <v>594</v>
      </c>
      <c r="D4137" s="2" t="str">
        <f t="shared" si="63"/>
        <v>Error?</v>
      </c>
    </row>
    <row r="4138" spans="1:4" x14ac:dyDescent="0.2">
      <c r="A4138" s="5">
        <v>4077</v>
      </c>
      <c r="B4138" s="138">
        <f>'Acct Summary 7-8'!E19</f>
        <v>2348705</v>
      </c>
      <c r="C4138" s="2" t="s">
        <v>594</v>
      </c>
      <c r="D4138" s="2" t="str">
        <f t="shared" si="63"/>
        <v>Error?</v>
      </c>
    </row>
    <row r="4139" spans="1:4" x14ac:dyDescent="0.2">
      <c r="A4139" s="5">
        <v>4078</v>
      </c>
      <c r="B4139" s="138">
        <f>'Acct Summary 7-8'!F19</f>
        <v>795513</v>
      </c>
      <c r="C4139" s="2" t="s">
        <v>594</v>
      </c>
      <c r="D4139" s="2" t="str">
        <f t="shared" si="63"/>
        <v>Error?</v>
      </c>
    </row>
    <row r="4140" spans="1:4" x14ac:dyDescent="0.2">
      <c r="A4140" s="5">
        <v>4079</v>
      </c>
      <c r="B4140" s="138">
        <f>'Acct Summary 7-8'!G19</f>
        <v>285464</v>
      </c>
      <c r="C4140" s="2" t="s">
        <v>594</v>
      </c>
      <c r="D4140" s="2" t="str">
        <f t="shared" si="63"/>
        <v>Error?</v>
      </c>
    </row>
    <row r="4141" spans="1:4" x14ac:dyDescent="0.2">
      <c r="A4141" s="5">
        <v>4080</v>
      </c>
      <c r="B4141" s="138">
        <f>'Acct Summary 7-8'!H19</f>
        <v>25826337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106310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34625000</v>
      </c>
      <c r="C4171" s="2" t="s">
        <v>594</v>
      </c>
      <c r="D4171" s="2" t="str">
        <f t="shared" si="64"/>
        <v>Error?</v>
      </c>
    </row>
    <row r="4172" spans="1:4" x14ac:dyDescent="0.2">
      <c r="A4172" s="5">
        <v>4111</v>
      </c>
      <c r="B4172" s="138">
        <f>'Short-Term Long-Term Debt 24'!J49</f>
        <v>34594465</v>
      </c>
      <c r="C4172" s="2" t="s">
        <v>594</v>
      </c>
      <c r="D4172" s="2" t="str">
        <f t="shared" si="64"/>
        <v>Error?</v>
      </c>
    </row>
    <row r="4173" spans="1:4" x14ac:dyDescent="0.2">
      <c r="A4173" s="5">
        <v>4112</v>
      </c>
      <c r="B4173" s="138">
        <f>'Short-Term Long-Term Debt 24'!H49</f>
        <v>670000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2127.7000000000003</v>
      </c>
      <c r="C4265" s="2" t="s">
        <v>594</v>
      </c>
      <c r="D4265" s="2" t="str">
        <f t="shared" si="65"/>
        <v>Error?</v>
      </c>
      <c r="E4265" s="128"/>
    </row>
    <row r="4266" spans="1:5" x14ac:dyDescent="0.2">
      <c r="A4266" s="12">
        <v>4205</v>
      </c>
      <c r="B4266" s="138">
        <f>('FP Info 3'!F10)*100000</f>
        <v>268.3</v>
      </c>
      <c r="C4266" s="2" t="s">
        <v>594</v>
      </c>
      <c r="D4266" s="2" t="str">
        <f t="shared" si="65"/>
        <v>Error?</v>
      </c>
      <c r="E4266" s="128"/>
    </row>
    <row r="4267" spans="1:5" x14ac:dyDescent="0.2">
      <c r="A4267" s="12">
        <v>4206</v>
      </c>
      <c r="B4267" s="138">
        <f>('FP Info 3'!H10)*100000</f>
        <v>9.6999999999999993</v>
      </c>
      <c r="C4267" s="2" t="s">
        <v>594</v>
      </c>
      <c r="D4267" s="2" t="str">
        <f t="shared" si="65"/>
        <v>Error?</v>
      </c>
      <c r="E4267" s="128"/>
    </row>
    <row r="4268" spans="1:5" x14ac:dyDescent="0.2">
      <c r="A4268" s="12">
        <v>4207</v>
      </c>
      <c r="B4268" s="138">
        <f>('FP Info 3'!J10)*100000</f>
        <v>2406</v>
      </c>
      <c r="C4268" s="2" t="s">
        <v>594</v>
      </c>
      <c r="D4268" s="2" t="str">
        <f t="shared" si="65"/>
        <v>Error?</v>
      </c>
    </row>
    <row r="4269" spans="1:5" x14ac:dyDescent="0.2">
      <c r="A4269" s="12">
        <v>4208</v>
      </c>
      <c r="B4269" s="138">
        <f>'FP Info 3'!J16</f>
        <v>13643134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18597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26808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59223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287998151</v>
      </c>
      <c r="D4995" s="2" t="str">
        <f t="shared" si="77"/>
        <v>Error?</v>
      </c>
    </row>
    <row r="4996" spans="1:4" x14ac:dyDescent="0.2">
      <c r="A4996" s="12">
        <v>4935</v>
      </c>
      <c r="B4996" s="138">
        <f>'FP Info 3'!H31</f>
        <v>19871872.419000003</v>
      </c>
      <c r="D4996" s="2" t="str">
        <f t="shared" si="77"/>
        <v>Error?</v>
      </c>
    </row>
    <row r="4997" spans="1:4" x14ac:dyDescent="0.2">
      <c r="A4997" s="12">
        <v>4936</v>
      </c>
      <c r="B4997" s="138">
        <f>'FP Info 3'!H37</f>
        <v>34625000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131972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5449788</v>
      </c>
      <c r="D5061" s="2" t="str">
        <f t="shared" si="78"/>
        <v>Error?</v>
      </c>
    </row>
    <row r="5062" spans="1:4" x14ac:dyDescent="0.2">
      <c r="A5062" s="10">
        <v>5001</v>
      </c>
      <c r="D5062" s="2" t="str">
        <f t="shared" si="78"/>
        <v>OK</v>
      </c>
    </row>
    <row r="5063" spans="1:4" x14ac:dyDescent="0.2">
      <c r="A5063" s="5">
        <v>5002</v>
      </c>
      <c r="B5063" s="138">
        <f>'Revenues 9-14'!C7</f>
        <v>54371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5636131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50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50</v>
      </c>
      <c r="C5087" s="2" t="s">
        <v>594</v>
      </c>
      <c r="D5087" s="2" t="str">
        <f t="shared" si="78"/>
        <v>Error?</v>
      </c>
    </row>
    <row r="5088" spans="1:4" x14ac:dyDescent="0.2">
      <c r="A5088" s="5">
        <v>5027</v>
      </c>
      <c r="B5088" s="138">
        <f>'Revenues 9-14'!C65</f>
        <v>69822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69822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181</v>
      </c>
      <c r="D5094" s="2" t="str">
        <f t="shared" si="78"/>
        <v>Error?</v>
      </c>
    </row>
    <row r="5095" spans="1:4" x14ac:dyDescent="0.2">
      <c r="A5095" s="5">
        <v>5034</v>
      </c>
      <c r="B5095" s="138">
        <f>'Revenues 9-14'!C74</f>
        <v>571</v>
      </c>
      <c r="D5095" s="2" t="str">
        <f t="shared" si="78"/>
        <v>Error?</v>
      </c>
    </row>
    <row r="5096" spans="1:4" x14ac:dyDescent="0.2">
      <c r="A5096" s="5">
        <v>5035</v>
      </c>
      <c r="B5096" s="138">
        <f>'Revenues 9-14'!C75</f>
        <v>752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2449</v>
      </c>
      <c r="D5101" s="2" t="str">
        <f t="shared" si="78"/>
        <v>Error?</v>
      </c>
    </row>
    <row r="5102" spans="1:4" x14ac:dyDescent="0.2">
      <c r="A5102" s="5">
        <v>5041</v>
      </c>
      <c r="B5102" s="138">
        <f>'Revenues 9-14'!C82</f>
        <v>3437</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195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92454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14790</v>
      </c>
      <c r="D5119" s="2" t="str">
        <f t="shared" ref="D5119:D5182" si="79">IF(ISBLANK(B5119),"OK",IF(A5119-B5119=0,"OK","Error?"))</f>
        <v>Error?</v>
      </c>
    </row>
    <row r="5120" spans="1:4" x14ac:dyDescent="0.2">
      <c r="A5120" s="5">
        <v>5059</v>
      </c>
      <c r="B5120" s="138">
        <f>'Revenues 9-14'!C108</f>
        <v>107244</v>
      </c>
      <c r="C5120" s="2" t="s">
        <v>594</v>
      </c>
      <c r="D5120" s="2" t="str">
        <f t="shared" si="79"/>
        <v>Error?</v>
      </c>
    </row>
    <row r="5121" spans="1:4" x14ac:dyDescent="0.2">
      <c r="A5121" s="5">
        <v>5060</v>
      </c>
      <c r="B5121" s="138">
        <f>'Revenues 9-14'!C109</f>
        <v>5817631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1002326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1002326</v>
      </c>
      <c r="C5132" s="2" t="s">
        <v>594</v>
      </c>
      <c r="D5132" s="2" t="str">
        <f t="shared" si="79"/>
        <v>Error?</v>
      </c>
    </row>
    <row r="5133" spans="1:4" x14ac:dyDescent="0.2">
      <c r="A5133" s="5">
        <v>5072</v>
      </c>
      <c r="B5133" s="138">
        <f>'Revenues 9-14'!C124</f>
        <v>565</v>
      </c>
      <c r="D5133" s="2" t="str">
        <f t="shared" si="79"/>
        <v>Error?</v>
      </c>
    </row>
    <row r="5134" spans="1:4" x14ac:dyDescent="0.2">
      <c r="A5134" s="5">
        <v>5073</v>
      </c>
      <c r="B5134" s="138">
        <f>'Revenues 9-14'!C125</f>
        <v>30117</v>
      </c>
      <c r="D5134" s="2" t="str">
        <f t="shared" si="79"/>
        <v>Error?</v>
      </c>
    </row>
    <row r="5135" spans="1:4" x14ac:dyDescent="0.2">
      <c r="A5135" s="5">
        <v>5074</v>
      </c>
      <c r="B5135" s="138">
        <f>'Revenues 9-14'!C126</f>
        <v>23198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53880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22702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22702</v>
      </c>
      <c r="C5165" s="2" t="s">
        <v>594</v>
      </c>
      <c r="D5165" s="2" t="str">
        <f t="shared" si="79"/>
        <v>Error?</v>
      </c>
    </row>
    <row r="5166" spans="1:4" x14ac:dyDescent="0.2">
      <c r="A5166" s="10">
        <v>5105</v>
      </c>
      <c r="D5166" s="2" t="str">
        <f t="shared" si="79"/>
        <v>OK</v>
      </c>
    </row>
    <row r="5167" spans="1:4" x14ac:dyDescent="0.2">
      <c r="A5167" s="5">
        <v>5106</v>
      </c>
      <c r="B5167" s="138">
        <f>'Revenues 9-14'!C145</f>
        <v>5059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519373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660237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1662563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181693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111437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10468</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319495</v>
      </c>
      <c r="C5246" s="2" t="s">
        <v>594</v>
      </c>
      <c r="D5246" s="2" t="str">
        <f t="shared" si="80"/>
        <v>Error?</v>
      </c>
    </row>
    <row r="5247" spans="1:4" x14ac:dyDescent="0.2">
      <c r="A5247" s="5">
        <v>5186</v>
      </c>
      <c r="B5247" s="138">
        <f>'Revenues 9-14'!C203</f>
        <v>218279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218279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79310</v>
      </c>
      <c r="D5278" s="2" t="str">
        <f t="shared" si="81"/>
        <v>Error?</v>
      </c>
    </row>
    <row r="5279" spans="1:4" x14ac:dyDescent="0.2">
      <c r="A5279" s="5">
        <v>5218</v>
      </c>
      <c r="B5279" s="138">
        <f>'Revenues 9-14'!C221</f>
        <v>59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79369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672548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672548</v>
      </c>
      <c r="C5326" s="2" t="s">
        <v>594</v>
      </c>
      <c r="D5326" s="2" t="str">
        <f t="shared" si="82"/>
        <v>Error?</v>
      </c>
    </row>
    <row r="5327" spans="1:4" x14ac:dyDescent="0.2">
      <c r="A5327" s="5">
        <v>5266</v>
      </c>
      <c r="B5327" s="138">
        <f>'Revenues 9-14'!C275</f>
        <v>8152742</v>
      </c>
      <c r="C5327" s="2" t="s">
        <v>594</v>
      </c>
      <c r="D5327" s="2" t="str">
        <f t="shared" si="82"/>
        <v>Error?</v>
      </c>
    </row>
    <row r="5328" spans="1:4" x14ac:dyDescent="0.2">
      <c r="A5328" s="5">
        <v>5267</v>
      </c>
      <c r="B5328" s="138">
        <f>'Revenues 9-14'!D5</f>
        <v>687219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687219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1566194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1566194</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20442</v>
      </c>
      <c r="D5354" s="2" t="str">
        <f t="shared" si="82"/>
        <v>Error?</v>
      </c>
    </row>
    <row r="5355" spans="1:4" x14ac:dyDescent="0.2">
      <c r="A5355" s="5">
        <v>5294</v>
      </c>
      <c r="B5355" s="138">
        <f>'Revenues 9-14'!D108</f>
        <v>20442</v>
      </c>
      <c r="C5355" s="2" t="s">
        <v>594</v>
      </c>
      <c r="D5355" s="2" t="str">
        <f t="shared" si="82"/>
        <v>Error?</v>
      </c>
    </row>
    <row r="5356" spans="1:4" x14ac:dyDescent="0.2">
      <c r="A5356" s="5">
        <v>5295</v>
      </c>
      <c r="B5356" s="138">
        <f>'Revenues 9-14'!D109</f>
        <v>2273855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2273855</v>
      </c>
      <c r="C5508" s="2" t="s">
        <v>594</v>
      </c>
      <c r="D5508" s="2" t="str">
        <f t="shared" si="85"/>
        <v>Error?</v>
      </c>
    </row>
    <row r="5509" spans="1:4" x14ac:dyDescent="0.2">
      <c r="A5509" s="5">
        <v>5448</v>
      </c>
      <c r="B5509" s="138">
        <f>'Revenues 9-14'!E5</f>
        <v>62266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62266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62266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62266</v>
      </c>
      <c r="C5552" s="2" t="s">
        <v>594</v>
      </c>
      <c r="D5552" s="2" t="str">
        <f t="shared" si="85"/>
        <v>Error?</v>
      </c>
    </row>
    <row r="5553" spans="1:4" x14ac:dyDescent="0.2">
      <c r="A5553" s="5">
        <v>5492</v>
      </c>
      <c r="B5553" s="138">
        <f>'Revenues 9-14'!F5</f>
        <v>166615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166615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106</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34401</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34507</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353</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353</v>
      </c>
      <c r="C5587" s="2" t="s">
        <v>594</v>
      </c>
      <c r="D5587" s="2" t="str">
        <f t="shared" si="86"/>
        <v>Error?</v>
      </c>
    </row>
    <row r="5588" spans="1:4" x14ac:dyDescent="0.2">
      <c r="A5588" s="5">
        <v>5527</v>
      </c>
      <c r="B5588" s="138">
        <f>'Revenues 9-14'!F109</f>
        <v>201474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102092</v>
      </c>
      <c r="D5615" s="2" t="str">
        <f t="shared" si="86"/>
        <v>Error?</v>
      </c>
    </row>
    <row r="5616" spans="1:4" x14ac:dyDescent="0.2">
      <c r="A5616" s="10">
        <v>5555</v>
      </c>
      <c r="D5616" s="2" t="str">
        <f t="shared" si="86"/>
        <v>OK</v>
      </c>
    </row>
    <row r="5617" spans="1:4" x14ac:dyDescent="0.2">
      <c r="A5617" s="5">
        <v>5556</v>
      </c>
      <c r="B5617" s="138">
        <f>'Revenues 9-14'!F152</f>
        <v>368353</v>
      </c>
      <c r="D5617" s="2" t="str">
        <f t="shared" si="86"/>
        <v>Error?</v>
      </c>
    </row>
    <row r="5618" spans="1:4" x14ac:dyDescent="0.2">
      <c r="A5618" s="5">
        <v>5557</v>
      </c>
      <c r="B5618" s="138">
        <f>'Revenues 9-14'!F154</f>
        <v>470445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470445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470445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671919</v>
      </c>
      <c r="C5720" s="2" t="s">
        <v>594</v>
      </c>
      <c r="D5720" s="2" t="str">
        <f t="shared" si="88"/>
        <v>Error?</v>
      </c>
    </row>
    <row r="5721" spans="1:4" x14ac:dyDescent="0.2">
      <c r="A5721" s="5">
        <v>5660</v>
      </c>
      <c r="B5721" s="138">
        <f>'Revenues 9-14'!G5</f>
        <v>153693</v>
      </c>
      <c r="D5721" s="2" t="str">
        <f t="shared" si="88"/>
        <v>Error?</v>
      </c>
    </row>
    <row r="5722" spans="1:4" x14ac:dyDescent="0.2">
      <c r="A5722" s="5">
        <v>5661</v>
      </c>
      <c r="B5722" s="138">
        <f>'Revenues 9-14'!G7</f>
        <v>0</v>
      </c>
      <c r="D5722" s="2" t="str">
        <f t="shared" si="88"/>
        <v>Error?</v>
      </c>
    </row>
    <row r="5723" spans="1:4" x14ac:dyDescent="0.2">
      <c r="A5723" s="5">
        <v>5662</v>
      </c>
      <c r="B5723" s="138">
        <f>'Revenues 9-14'!G8</f>
        <v>153693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307386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82435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82435</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389821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242605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242605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242605</v>
      </c>
      <c r="C5915" s="2" t="s">
        <v>594</v>
      </c>
      <c r="D5915" s="2" t="str">
        <f t="shared" si="91"/>
        <v>Error?</v>
      </c>
    </row>
    <row r="5916" spans="1:4" x14ac:dyDescent="0.2">
      <c r="A5916" s="5">
        <v>5855</v>
      </c>
      <c r="B5916" s="138">
        <f>'Revenues 9-14'!I5</f>
        <v>108180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108180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108180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131972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131972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131972</v>
      </c>
      <c r="C6023" s="2" t="s">
        <v>594</v>
      </c>
      <c r="D6023" s="2" t="str">
        <f t="shared" si="93"/>
        <v>Error?</v>
      </c>
    </row>
    <row r="6024" spans="1:5" x14ac:dyDescent="0.2">
      <c r="A6024" s="5">
        <v>5963</v>
      </c>
      <c r="B6024" s="138">
        <f>'Revenues 9-14'!G109</f>
        <v>389821</v>
      </c>
      <c r="C6024" s="2" t="s">
        <v>594</v>
      </c>
      <c r="D6024" s="2" t="str">
        <f t="shared" si="93"/>
        <v>Error?</v>
      </c>
    </row>
    <row r="6025" spans="1:5" x14ac:dyDescent="0.2">
      <c r="A6025" s="5">
        <v>5964</v>
      </c>
      <c r="B6025" s="138">
        <f>'Revenues 9-14'!H109</f>
        <v>242605</v>
      </c>
      <c r="C6025" s="2" t="s">
        <v>594</v>
      </c>
      <c r="D6025" s="2" t="str">
        <f t="shared" si="93"/>
        <v>Error?</v>
      </c>
    </row>
    <row r="6026" spans="1:5" x14ac:dyDescent="0.2">
      <c r="A6026" s="5">
        <v>5965</v>
      </c>
      <c r="B6026" s="138">
        <f>'Revenues 9-14'!I109</f>
        <v>108180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131972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18759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423.86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385407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385407</v>
      </c>
      <c r="D6215" s="2" t="str">
        <f t="shared" si="96"/>
        <v>Error?</v>
      </c>
      <c r="E6215" s="2" t="s">
        <v>199</v>
      </c>
    </row>
    <row r="6216" spans="1:5" x14ac:dyDescent="0.2">
      <c r="A6216">
        <v>6155</v>
      </c>
      <c r="B6216" s="138">
        <f>'Assets-Liab 5-6'!J41</f>
        <v>385407</v>
      </c>
      <c r="D6216" s="2" t="str">
        <f t="shared" si="96"/>
        <v>Error?</v>
      </c>
      <c r="E6216" s="2" t="s">
        <v>199</v>
      </c>
    </row>
    <row r="6217" spans="1:5" x14ac:dyDescent="0.2">
      <c r="A6217">
        <v>6156</v>
      </c>
      <c r="B6217" s="138">
        <f>'Assets-Liab 5-6'!J4</f>
        <v>385407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157462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157462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157462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122742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122742</v>
      </c>
      <c r="D6229" s="2" t="str">
        <f t="shared" si="96"/>
        <v>Error?</v>
      </c>
      <c r="E6229" s="2" t="s">
        <v>199</v>
      </c>
    </row>
    <row r="6230" spans="1:5" x14ac:dyDescent="0.2">
      <c r="A6230">
        <v>6169</v>
      </c>
      <c r="B6230" s="138">
        <f>'Acct Summary 7-8'!J20</f>
        <v>34720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34720</v>
      </c>
      <c r="D6263" s="2" t="str">
        <f t="shared" si="96"/>
        <v>Error?</v>
      </c>
      <c r="E6263" s="2" t="s">
        <v>199</v>
      </c>
    </row>
    <row r="6264" spans="1:5" x14ac:dyDescent="0.2">
      <c r="A6264">
        <v>6203</v>
      </c>
      <c r="B6264" s="138">
        <f>'Acct Summary 7-8'!J79</f>
        <v>350687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385407</v>
      </c>
      <c r="D6266" s="2" t="str">
        <f t="shared" si="96"/>
        <v>Error?</v>
      </c>
      <c r="E6266" s="2" t="s">
        <v>199</v>
      </c>
    </row>
    <row r="6267" spans="1:5" x14ac:dyDescent="0.2">
      <c r="A6267">
        <v>6206</v>
      </c>
      <c r="B6267" s="138">
        <f>'Acct Summary 7-8'!C82</f>
        <v>1566203</v>
      </c>
      <c r="D6267" s="2" t="str">
        <f t="shared" si="96"/>
        <v>Error?</v>
      </c>
      <c r="E6267" s="2" t="s">
        <v>199</v>
      </c>
    </row>
    <row r="6268" spans="1:5" x14ac:dyDescent="0.2">
      <c r="A6268">
        <v>6207</v>
      </c>
      <c r="B6268" s="138">
        <f>'Acct Summary 7-8'!D82</f>
        <v>-873135</v>
      </c>
      <c r="D6268" s="2" t="str">
        <f t="shared" si="96"/>
        <v>Error?</v>
      </c>
      <c r="E6268" s="2" t="s">
        <v>199</v>
      </c>
    </row>
    <row r="6269" spans="1:5" x14ac:dyDescent="0.2">
      <c r="A6269">
        <v>6208</v>
      </c>
      <c r="B6269" s="138">
        <f>'Acct Summary 7-8'!E82</f>
        <v>484</v>
      </c>
      <c r="D6269" s="2" t="str">
        <f t="shared" si="96"/>
        <v>Error?</v>
      </c>
      <c r="E6269" s="2" t="s">
        <v>199</v>
      </c>
    </row>
    <row r="6270" spans="1:5" x14ac:dyDescent="0.2">
      <c r="A6270">
        <v>6209</v>
      </c>
      <c r="B6270" s="138">
        <f>'Acct Summary 7-8'!F82</f>
        <v>-123594</v>
      </c>
      <c r="D6270" s="2" t="str">
        <f t="shared" si="96"/>
        <v>Error?</v>
      </c>
      <c r="E6270" s="2" t="s">
        <v>199</v>
      </c>
    </row>
    <row r="6271" spans="1:5" x14ac:dyDescent="0.2">
      <c r="A6271">
        <v>6210</v>
      </c>
      <c r="B6271" s="138">
        <f>'Acct Summary 7-8'!G82</f>
        <v>104357</v>
      </c>
      <c r="D6271" s="2" t="str">
        <f t="shared" ref="D6271:D6334" si="97">IF(ISBLANK(B6271),"OK",IF(A6271-B6271=0,"OK","Error?"))</f>
        <v>Error?</v>
      </c>
      <c r="E6271" s="2" t="s">
        <v>199</v>
      </c>
    </row>
    <row r="6272" spans="1:5" x14ac:dyDescent="0.2">
      <c r="A6272">
        <v>6211</v>
      </c>
      <c r="B6272" s="138">
        <f>'Acct Summary 7-8'!H82</f>
        <v>-25583732</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34720</v>
      </c>
      <c r="D6274" s="2" t="str">
        <f t="shared" si="97"/>
        <v>Error?</v>
      </c>
      <c r="E6274" s="2" t="s">
        <v>199</v>
      </c>
    </row>
    <row r="6275" spans="1:5" x14ac:dyDescent="0.2">
      <c r="A6275">
        <v>6214</v>
      </c>
      <c r="B6275" s="138">
        <f>'Acct Summary 7-8'!K82</f>
        <v>25662</v>
      </c>
      <c r="D6275" s="2" t="str">
        <f t="shared" si="97"/>
        <v>Error?</v>
      </c>
      <c r="E6275" s="2" t="s">
        <v>199</v>
      </c>
    </row>
    <row r="6276" spans="1:5" x14ac:dyDescent="0.2">
      <c r="A6276">
        <v>6215</v>
      </c>
      <c r="B6276" s="138">
        <f>'Acct Summary 7-8'!C83</f>
        <v>0.13280137702096267</v>
      </c>
      <c r="D6276" s="2" t="str">
        <f t="shared" si="97"/>
        <v>Error?</v>
      </c>
      <c r="E6276" s="2" t="s">
        <v>199</v>
      </c>
    </row>
    <row r="6277" spans="1:5" x14ac:dyDescent="0.2">
      <c r="A6277">
        <v>6216</v>
      </c>
      <c r="B6277" s="138">
        <f>'Acct Summary 7-8'!D83</f>
        <v>-1.0599154141042855</v>
      </c>
      <c r="D6277" s="2" t="str">
        <f t="shared" si="97"/>
        <v>Error?</v>
      </c>
      <c r="E6277" s="2" t="s">
        <v>199</v>
      </c>
    </row>
    <row r="6278" spans="1:5" x14ac:dyDescent="0.2">
      <c r="A6278">
        <v>6217</v>
      </c>
      <c r="B6278" s="138">
        <f>'Acct Summary 7-8'!E83</f>
        <v>1.5850663173407564E-2</v>
      </c>
      <c r="D6278" s="2" t="str">
        <f t="shared" si="97"/>
        <v>Error?</v>
      </c>
      <c r="E6278" s="2" t="s">
        <v>199</v>
      </c>
    </row>
    <row r="6279" spans="1:5" x14ac:dyDescent="0.2">
      <c r="A6279">
        <v>6218</v>
      </c>
      <c r="B6279" s="138">
        <f>'Acct Summary 7-8'!F83</f>
        <v>-0.12048770644026356</v>
      </c>
      <c r="D6279" s="2" t="str">
        <f t="shared" si="97"/>
        <v>Error?</v>
      </c>
      <c r="E6279" s="2" t="s">
        <v>199</v>
      </c>
    </row>
    <row r="6280" spans="1:5" x14ac:dyDescent="0.2">
      <c r="A6280">
        <v>6219</v>
      </c>
      <c r="B6280" s="138">
        <f>'Acct Summary 7-8'!G83</f>
        <v>0.37222632410587853</v>
      </c>
      <c r="D6280" s="2" t="str">
        <f t="shared" si="97"/>
        <v>Error?</v>
      </c>
      <c r="E6280" s="2" t="s">
        <v>199</v>
      </c>
    </row>
    <row r="6281" spans="1:5" x14ac:dyDescent="0.2">
      <c r="A6281">
        <v>6220</v>
      </c>
      <c r="B6281" s="138">
        <f>'Acct Summary 7-8'!H83</f>
        <v>-3.642354200731639</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9.0086583793236766E-2</v>
      </c>
      <c r="D6283" s="2" t="str">
        <f t="shared" si="97"/>
        <v>Error?</v>
      </c>
      <c r="E6283" s="2" t="s">
        <v>199</v>
      </c>
    </row>
    <row r="6284" spans="1:5" x14ac:dyDescent="0.2">
      <c r="A6284">
        <v>6223</v>
      </c>
      <c r="B6284" s="138">
        <f>'Acct Summary 7-8'!K83</f>
        <v>2.8158041423987992E-2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625000</v>
      </c>
      <c r="D6287" s="2" t="str">
        <f t="shared" si="97"/>
        <v>Error?</v>
      </c>
      <c r="E6287" s="2" t="s">
        <v>199</v>
      </c>
    </row>
    <row r="6288" spans="1:5" x14ac:dyDescent="0.2">
      <c r="A6288">
        <v>6227</v>
      </c>
      <c r="B6288" s="138">
        <f>'Acct Summary 7-8'!E40</f>
        <v>1661923</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148337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148337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9125</v>
      </c>
      <c r="D6350" s="2" t="str">
        <f t="shared" si="98"/>
        <v>Error?</v>
      </c>
      <c r="E6350" s="2" t="s">
        <v>199</v>
      </c>
    </row>
    <row r="6351" spans="1:5" x14ac:dyDescent="0.2">
      <c r="A6351">
        <v>6290</v>
      </c>
      <c r="B6351" s="138">
        <f>'Revenues 9-14'!J108</f>
        <v>9125</v>
      </c>
      <c r="D6351" s="2" t="str">
        <f t="shared" si="98"/>
        <v>Error?</v>
      </c>
      <c r="E6351" s="2" t="s">
        <v>199</v>
      </c>
    </row>
    <row r="6352" spans="1:5" x14ac:dyDescent="0.2">
      <c r="A6352">
        <v>6291</v>
      </c>
      <c r="B6352" s="138">
        <f>'Revenues 9-14'!J109</f>
        <v>157462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140666</v>
      </c>
      <c r="D6983" s="2" t="str">
        <f t="shared" si="108"/>
        <v>Error?</v>
      </c>
    </row>
    <row r="6984" spans="1:4" x14ac:dyDescent="0.2">
      <c r="A6984">
        <v>6923</v>
      </c>
      <c r="B6984" s="138">
        <f>'Expenditures 15-22'!K86</f>
        <v>140666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140666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122742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157462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72317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72317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25000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25000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25425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25425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25000</v>
      </c>
      <c r="D7200" s="2" t="str">
        <f t="shared" si="111"/>
        <v>Error?</v>
      </c>
    </row>
    <row r="7201" spans="1:4" x14ac:dyDescent="0.2">
      <c r="A7201">
        <v>7140</v>
      </c>
      <c r="B7201" s="138">
        <f>'Expenditures 15-22'!E330</f>
        <v>97742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122742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25000</v>
      </c>
      <c r="D7217" s="2" t="str">
        <f t="shared" si="111"/>
        <v>Error?</v>
      </c>
    </row>
    <row r="7218" spans="1:4" x14ac:dyDescent="0.2">
      <c r="A7218">
        <v>7157</v>
      </c>
      <c r="B7218" s="138">
        <f>'Expenditures 15-22'!E342</f>
        <v>97742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122742</v>
      </c>
      <c r="D7224" s="2" t="str">
        <f t="shared" si="111"/>
        <v>Error?</v>
      </c>
    </row>
    <row r="7225" spans="1:4" x14ac:dyDescent="0.2">
      <c r="A7225">
        <v>7164</v>
      </c>
      <c r="B7225" s="138">
        <f>'Expenditures 15-22'!K343</f>
        <v>34720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453687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625000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1661923</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15897</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54371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108180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652790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0" t="s">
        <v>1253</v>
      </c>
      <c r="B2" s="2390"/>
      <c r="C2" s="2390"/>
      <c r="D2" s="2390"/>
      <c r="E2" s="2390"/>
      <c r="F2" s="2390"/>
      <c r="G2" s="2390"/>
      <c r="H2" s="2390"/>
      <c r="I2" s="2390"/>
      <c r="J2" s="2390"/>
      <c r="K2" s="2390"/>
      <c r="L2" s="2390"/>
    </row>
    <row r="3" spans="1:29" ht="13.5" customHeight="1" x14ac:dyDescent="0.2">
      <c r="A3" s="2421" t="s">
        <v>1252</v>
      </c>
      <c r="B3" s="2421"/>
      <c r="C3" s="2421"/>
      <c r="D3" s="2421"/>
      <c r="E3" s="2421"/>
      <c r="F3" s="2421"/>
      <c r="G3" s="2421"/>
      <c r="H3" s="2421"/>
      <c r="I3" s="2421"/>
      <c r="J3" s="2421"/>
      <c r="K3" s="2421"/>
      <c r="L3" s="2421"/>
    </row>
    <row r="4" spans="1:29" ht="13.5" customHeight="1" x14ac:dyDescent="0.2">
      <c r="A4" s="2390" t="s">
        <v>1799</v>
      </c>
      <c r="B4" s="2411"/>
      <c r="C4" s="2411"/>
      <c r="D4" s="2411"/>
      <c r="E4" s="2411"/>
      <c r="F4" s="2411"/>
      <c r="G4" s="2411"/>
      <c r="H4" s="2411"/>
      <c r="I4" s="2411"/>
      <c r="J4" s="2411"/>
      <c r="K4" s="2411"/>
      <c r="L4" s="2411"/>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12" t="str">
        <f>COVER!A17</f>
        <v>Laraway CCSD 70C</v>
      </c>
      <c r="B7" s="2413"/>
      <c r="C7" s="2413"/>
      <c r="D7" s="2414"/>
      <c r="E7" s="2415" t="str">
        <f>COVER!A13</f>
        <v>56-099-070C-04</v>
      </c>
      <c r="F7" s="2416"/>
      <c r="G7" s="2422" t="str">
        <f>COVER!T23</f>
        <v>066-004945</v>
      </c>
      <c r="H7" s="2423"/>
      <c r="I7" s="2423"/>
      <c r="J7" s="2423"/>
      <c r="K7" s="2423"/>
      <c r="L7" s="2424"/>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5"/>
      <c r="B9" s="2426"/>
      <c r="C9" s="2426"/>
      <c r="D9" s="2426"/>
      <c r="E9" s="2426"/>
      <c r="F9" s="2427"/>
      <c r="G9" s="2396" t="str">
        <f>COVER!T13</f>
        <v>GASSENSMITH &amp; MICHALESKO, LTD</v>
      </c>
      <c r="H9" s="2428"/>
      <c r="I9" s="2428"/>
      <c r="J9" s="2428"/>
      <c r="K9" s="2428"/>
      <c r="L9" s="2429"/>
    </row>
    <row r="10" spans="1:29" ht="13.5" customHeight="1" x14ac:dyDescent="0.2">
      <c r="A10" s="2402" t="str">
        <f>COVER!A38</f>
        <v>DR. JOSEPH R SALMIERI III</v>
      </c>
      <c r="B10" s="2403"/>
      <c r="C10" s="2403"/>
      <c r="D10" s="2403"/>
      <c r="E10" s="2403"/>
      <c r="F10" s="2404"/>
      <c r="G10" s="2396" t="str">
        <f>COVER!T17</f>
        <v>323 SPRINGFIELD AVENUE</v>
      </c>
      <c r="H10" s="2397"/>
      <c r="I10" s="2397"/>
      <c r="J10" s="2397"/>
      <c r="K10" s="2397"/>
      <c r="L10" s="2398"/>
    </row>
    <row r="11" spans="1:29" ht="13.5" customHeight="1" x14ac:dyDescent="0.2">
      <c r="A11" s="1173" t="s">
        <v>1599</v>
      </c>
      <c r="B11" s="1174"/>
      <c r="C11" s="1175"/>
      <c r="D11" s="1180"/>
      <c r="E11" s="1175"/>
      <c r="F11" s="1179"/>
      <c r="G11" s="2396" t="str">
        <f>COVER!T19</f>
        <v>JOLIET</v>
      </c>
      <c r="H11" s="2397"/>
      <c r="I11" s="2397"/>
      <c r="J11" s="2397"/>
      <c r="K11" s="2397"/>
      <c r="L11" s="2398"/>
    </row>
    <row r="12" spans="1:29" ht="13.5" customHeight="1" x14ac:dyDescent="0.2">
      <c r="A12" s="2405" t="s">
        <v>1598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1600</v>
      </c>
      <c r="H13" s="2392"/>
      <c r="I13" s="2408">
        <f>COVER!T25</f>
        <v>0</v>
      </c>
      <c r="J13" s="2409"/>
      <c r="K13" s="2409"/>
      <c r="L13" s="2410"/>
    </row>
    <row r="14" spans="1:29" ht="13.5" customHeight="1" x14ac:dyDescent="0.2">
      <c r="A14" s="2396" t="str">
        <f>COVER!A19</f>
        <v>1705 RICHARDS STREET</v>
      </c>
      <c r="B14" s="2397"/>
      <c r="C14" s="2397"/>
      <c r="D14" s="2397"/>
      <c r="E14" s="2397"/>
      <c r="F14" s="2398"/>
      <c r="G14" s="1184" t="s">
        <v>1247</v>
      </c>
      <c r="H14" s="1182"/>
      <c r="I14" s="1182"/>
      <c r="J14" s="1182"/>
      <c r="K14" s="1182"/>
      <c r="L14" s="1183"/>
    </row>
    <row r="15" spans="1:29" ht="13.5" customHeight="1" x14ac:dyDescent="0.2">
      <c r="A15" s="2396" t="str">
        <f>COVER!A21</f>
        <v>JOLIET</v>
      </c>
      <c r="B15" s="2397"/>
      <c r="C15" s="2397"/>
      <c r="D15" s="2397"/>
      <c r="E15" s="2397"/>
      <c r="F15" s="2398"/>
      <c r="G15" s="2393" t="str">
        <f>COVER!T15</f>
        <v>JOHN MICHALESKO</v>
      </c>
      <c r="H15" s="2394"/>
      <c r="I15" s="2394"/>
      <c r="J15" s="2394"/>
      <c r="K15" s="2394"/>
      <c r="L15" s="2395"/>
    </row>
    <row r="16" spans="1:29" ht="12.2" customHeight="1" x14ac:dyDescent="0.2">
      <c r="A16" s="2418">
        <f>COVER!A25</f>
        <v>60436</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84" t="s">
        <v>1246</v>
      </c>
      <c r="H17" s="1182"/>
      <c r="I17" s="1182"/>
      <c r="J17" s="1182"/>
      <c r="K17" s="1186" t="s">
        <v>1245</v>
      </c>
      <c r="L17" s="1179"/>
      <c r="M17" s="1172"/>
    </row>
    <row r="18" spans="1:13" ht="12.2" customHeight="1" x14ac:dyDescent="0.2">
      <c r="A18" s="2402"/>
      <c r="B18" s="2403"/>
      <c r="C18" s="2403"/>
      <c r="D18" s="2403"/>
      <c r="E18" s="2403"/>
      <c r="F18" s="2404"/>
      <c r="G18" s="2412" t="str">
        <f>COVER!T21</f>
        <v>815-744-6200</v>
      </c>
      <c r="H18" s="2413"/>
      <c r="I18" s="2413"/>
      <c r="J18" s="2413"/>
      <c r="K18" s="2412" t="str">
        <f>COVER!X21</f>
        <v>815-744-3822</v>
      </c>
      <c r="L18" s="2417"/>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4" t="str">
        <f>'Single Audit Cover'!A7</f>
        <v>Laraway CCSD 70C</v>
      </c>
      <c r="B1" s="2411"/>
      <c r="C1" s="2411"/>
      <c r="D1" s="2411"/>
    </row>
    <row r="2" spans="1:11" s="1203" customFormat="1" ht="12.75" x14ac:dyDescent="0.2">
      <c r="A2" s="2435" t="str">
        <f>'Single Audit Cover'!E7</f>
        <v>56-099-070C-04</v>
      </c>
      <c r="B2" s="2436"/>
      <c r="C2" s="2436"/>
      <c r="D2" s="2436"/>
    </row>
    <row r="3" spans="1:11" s="1203" customFormat="1" ht="12.75" x14ac:dyDescent="0.2">
      <c r="A3" s="2434" t="s">
        <v>1593</v>
      </c>
      <c r="B3" s="2411"/>
      <c r="C3" s="2411"/>
      <c r="D3" s="2411"/>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8" t="str">
        <f>'Single Audit Cover'!A7</f>
        <v>Laraway CCSD 70C</v>
      </c>
      <c r="B1" s="2438"/>
      <c r="C1" s="2438"/>
      <c r="D1" s="2438"/>
      <c r="E1" s="2438"/>
    </row>
    <row r="2" spans="1:5" x14ac:dyDescent="0.2">
      <c r="A2" s="2439" t="str">
        <f>'Single Audit Cover'!E7</f>
        <v>56-099-070C-04</v>
      </c>
      <c r="B2" s="2439"/>
      <c r="C2" s="2439"/>
      <c r="D2" s="2439"/>
      <c r="E2" s="2439"/>
    </row>
    <row r="3" spans="1:5" ht="4.5" customHeight="1" x14ac:dyDescent="0.2"/>
    <row r="4" spans="1:5" x14ac:dyDescent="0.2">
      <c r="A4" s="2438" t="s">
        <v>1307</v>
      </c>
      <c r="B4" s="2438"/>
      <c r="C4" s="2438"/>
      <c r="D4" s="2438"/>
      <c r="E4" s="2438"/>
    </row>
    <row r="5" spans="1:5" x14ac:dyDescent="0.2">
      <c r="A5" s="2441" t="str">
        <f>'Single Audit Cover'!A4</f>
        <v>Year Ending June 30, 2018</v>
      </c>
      <c r="B5" s="2441"/>
      <c r="C5" s="2441"/>
      <c r="D5" s="2441"/>
      <c r="E5" s="2441"/>
    </row>
    <row r="6" spans="1:5" x14ac:dyDescent="0.2">
      <c r="A6" s="2438" t="s">
        <v>1306</v>
      </c>
      <c r="B6" s="2438"/>
      <c r="C6" s="2438"/>
      <c r="D6" s="2438"/>
      <c r="E6" s="2438"/>
    </row>
    <row r="8" spans="1:5" x14ac:dyDescent="0.2">
      <c r="A8" s="1248" t="s">
        <v>1305</v>
      </c>
    </row>
    <row r="10" spans="1:5" x14ac:dyDescent="0.2">
      <c r="A10" s="1249" t="s">
        <v>1304</v>
      </c>
      <c r="B10" s="1250" t="s">
        <v>1303</v>
      </c>
      <c r="C10" s="1250"/>
      <c r="D10" s="1251">
        <f>SUM('Acct Summary 7-8'!C7:K7)</f>
        <v>672548</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18759</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0</v>
      </c>
    </row>
    <row r="19" spans="1:4" ht="13.5" thickBot="1" x14ac:dyDescent="0.25">
      <c r="A19" s="1253" t="s">
        <v>1297</v>
      </c>
      <c r="D19" s="1254">
        <f>SUM(D10:D17)</f>
        <v>691307</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0"/>
      <c r="B24" s="2440"/>
      <c r="D24" s="1256"/>
    </row>
    <row r="25" spans="1:4" x14ac:dyDescent="0.2">
      <c r="A25" s="2437"/>
      <c r="B25" s="2437"/>
      <c r="D25" s="1256"/>
    </row>
    <row r="26" spans="1:4" x14ac:dyDescent="0.2">
      <c r="A26" s="2437"/>
      <c r="B26" s="2437"/>
      <c r="D26" s="1256"/>
    </row>
    <row r="27" spans="1:4" x14ac:dyDescent="0.2">
      <c r="A27" s="2437"/>
      <c r="B27" s="2437"/>
      <c r="D27" s="1256"/>
    </row>
    <row r="28" spans="1:4" x14ac:dyDescent="0.2">
      <c r="A28" s="2437"/>
      <c r="B28" s="2437"/>
      <c r="D28" s="1256"/>
    </row>
    <row r="29" spans="1:4" x14ac:dyDescent="0.2">
      <c r="A29" s="2437"/>
      <c r="B29" s="2437"/>
      <c r="D29" s="1256"/>
    </row>
    <row r="30" spans="1:4" x14ac:dyDescent="0.2">
      <c r="A30" s="2437"/>
      <c r="B30" s="2437"/>
      <c r="D30" s="1256"/>
    </row>
    <row r="32" spans="1:4" x14ac:dyDescent="0.2">
      <c r="A32" s="1248" t="s">
        <v>1295</v>
      </c>
      <c r="D32" s="1251">
        <f>SUM(D19:D30)</f>
        <v>691307</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7"/>
      <c r="B40" s="2437"/>
      <c r="D40" s="1256"/>
    </row>
    <row r="41" spans="1:4" x14ac:dyDescent="0.2">
      <c r="A41" s="2437"/>
      <c r="B41" s="2437"/>
      <c r="D41" s="1259"/>
    </row>
    <row r="42" spans="1:4" x14ac:dyDescent="0.2">
      <c r="A42" s="2437"/>
      <c r="B42" s="2437"/>
      <c r="D42" s="1259"/>
    </row>
    <row r="43" spans="1:4" x14ac:dyDescent="0.2">
      <c r="A43" s="2437"/>
      <c r="B43" s="2437"/>
      <c r="D43" s="1259"/>
    </row>
    <row r="44" spans="1:4" x14ac:dyDescent="0.2">
      <c r="A44" s="2437"/>
      <c r="B44" s="2437"/>
      <c r="D44" s="1259"/>
    </row>
    <row r="45" spans="1:4" x14ac:dyDescent="0.2">
      <c r="A45" s="2437"/>
      <c r="B45" s="2437"/>
      <c r="D45" s="1259"/>
    </row>
    <row r="47" spans="1:4" x14ac:dyDescent="0.2">
      <c r="B47" s="1260" t="s">
        <v>1289</v>
      </c>
      <c r="C47" s="1260"/>
      <c r="D47" s="1261">
        <f>SUM(D35:D45)</f>
        <v>0</v>
      </c>
    </row>
    <row r="49" spans="2:4" x14ac:dyDescent="0.2">
      <c r="B49" s="1260" t="s">
        <v>1288</v>
      </c>
      <c r="C49" s="1260"/>
      <c r="D49" s="1261">
        <f>D32-D47</f>
        <v>691307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Laraway CCSD 70C</v>
      </c>
      <c r="B1" s="2451"/>
      <c r="C1" s="2451"/>
      <c r="D1" s="2451"/>
      <c r="E1" s="2451"/>
      <c r="F1" s="2451"/>
    </row>
    <row r="2" spans="1:7" ht="13.5" customHeight="1" x14ac:dyDescent="0.2">
      <c r="A2" s="2452" t="str">
        <f>'Single Audit Cover'!E7</f>
        <v>56-099-070C-04</v>
      </c>
      <c r="B2" s="2452"/>
      <c r="C2" s="2452"/>
      <c r="D2" s="2452"/>
      <c r="E2" s="2452"/>
      <c r="F2" s="2452"/>
      <c r="G2" s="1263"/>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64" t="s">
        <v>1831</v>
      </c>
      <c r="C6" s="317"/>
      <c r="D6" s="317"/>
    </row>
    <row r="7" spans="1:7" ht="60.95" customHeight="1" x14ac:dyDescent="0.2">
      <c r="A7" s="2450" t="s">
        <v>1832</v>
      </c>
      <c r="B7" s="2450"/>
      <c r="C7" s="2450"/>
      <c r="D7" s="2450"/>
      <c r="E7" s="2450"/>
      <c r="F7" s="2450"/>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5"/>
      <c r="D11" s="1268"/>
      <c r="E11" s="1915"/>
      <c r="F11" s="1268"/>
      <c r="G11" s="1266"/>
    </row>
    <row r="12" spans="1:7" x14ac:dyDescent="0.2">
      <c r="A12" s="1264" t="s">
        <v>1669</v>
      </c>
      <c r="C12" s="1248"/>
      <c r="D12" s="1248"/>
    </row>
    <row r="13" spans="1:7" ht="15" customHeight="1" x14ac:dyDescent="0.2">
      <c r="A13" s="2450" t="s">
        <v>1834</v>
      </c>
      <c r="B13" s="2450"/>
      <c r="C13" s="2450"/>
      <c r="D13" s="2450"/>
      <c r="E13" s="2450"/>
      <c r="F13" s="2450"/>
    </row>
    <row r="14" spans="1:7" ht="9.75" customHeight="1" x14ac:dyDescent="0.2">
      <c r="C14" s="1248"/>
      <c r="D14" s="1248"/>
    </row>
    <row r="15" spans="1:7" ht="13.5" customHeight="1" x14ac:dyDescent="0.2">
      <c r="C15" s="1859" t="s">
        <v>1332</v>
      </c>
      <c r="D15" s="2448" t="s">
        <v>1331</v>
      </c>
      <c r="E15" s="2448"/>
      <c r="F15" s="2448"/>
    </row>
    <row r="16" spans="1:7" ht="13.5" customHeight="1" x14ac:dyDescent="0.2">
      <c r="A16" s="1270"/>
      <c r="B16" s="1264" t="s">
        <v>1330</v>
      </c>
      <c r="C16" s="1859" t="s">
        <v>1329</v>
      </c>
      <c r="D16" s="2449" t="s">
        <v>1670</v>
      </c>
      <c r="E16" s="2449"/>
      <c r="F16" s="2449"/>
    </row>
    <row r="17" spans="1:6" ht="20.45" customHeight="1" x14ac:dyDescent="0.2">
      <c r="A17" s="1271"/>
      <c r="B17" s="1272"/>
      <c r="C17" s="1273"/>
      <c r="D17" s="2443"/>
      <c r="E17" s="2443"/>
      <c r="F17" s="2443"/>
    </row>
    <row r="18" spans="1:6" ht="20.65" customHeight="1" x14ac:dyDescent="0.2">
      <c r="A18" s="1271"/>
      <c r="B18" s="1272"/>
      <c r="C18" s="1273"/>
      <c r="D18" s="2443"/>
      <c r="E18" s="2443"/>
      <c r="F18" s="2443"/>
    </row>
    <row r="19" spans="1:6" ht="20.65" customHeight="1" x14ac:dyDescent="0.2">
      <c r="A19" s="1271"/>
      <c r="B19" s="1272"/>
      <c r="C19" s="1273"/>
      <c r="D19" s="2443"/>
      <c r="E19" s="2443"/>
      <c r="F19" s="2443"/>
    </row>
    <row r="20" spans="1:6" ht="20.65" customHeight="1" x14ac:dyDescent="0.2">
      <c r="A20" s="1271"/>
      <c r="B20" s="1272"/>
      <c r="C20" s="1273"/>
      <c r="D20" s="2443"/>
      <c r="E20" s="2443"/>
      <c r="F20" s="2443"/>
    </row>
    <row r="21" spans="1:6" ht="20.65" customHeight="1" x14ac:dyDescent="0.2">
      <c r="A21" s="1271"/>
      <c r="B21" s="1272"/>
      <c r="C21" s="1273"/>
      <c r="D21" s="2443"/>
      <c r="E21" s="2443"/>
      <c r="F21" s="2443"/>
    </row>
    <row r="22" spans="1:6" ht="20.65" customHeight="1" x14ac:dyDescent="0.2">
      <c r="A22" s="1271"/>
      <c r="B22" s="1272"/>
      <c r="C22" s="1273"/>
      <c r="D22" s="2443"/>
      <c r="E22" s="2443"/>
      <c r="F22" s="2443"/>
    </row>
    <row r="23" spans="1:6" ht="20.65" customHeight="1" x14ac:dyDescent="0.2">
      <c r="A23" s="1271"/>
      <c r="B23" s="1272"/>
      <c r="C23" s="1273"/>
      <c r="D23" s="2443"/>
      <c r="E23" s="2443"/>
      <c r="F23" s="2443"/>
    </row>
    <row r="24" spans="1:6" ht="20.65" customHeight="1" x14ac:dyDescent="0.2">
      <c r="A24" s="1271"/>
      <c r="B24" s="1272"/>
      <c r="C24" s="1273"/>
      <c r="D24" s="2443"/>
      <c r="E24" s="2443"/>
      <c r="F24" s="2443"/>
    </row>
    <row r="25" spans="1:6" ht="20.65" customHeight="1" x14ac:dyDescent="0.2">
      <c r="A25" s="1271"/>
      <c r="B25" s="1272"/>
      <c r="C25" s="1273"/>
      <c r="D25" s="2443"/>
      <c r="E25" s="2443"/>
      <c r="F25" s="2443"/>
    </row>
    <row r="26" spans="1:6" ht="20.65" customHeight="1" x14ac:dyDescent="0.2">
      <c r="A26" s="1271"/>
      <c r="B26" s="1272"/>
      <c r="C26" s="1273"/>
      <c r="D26" s="2443"/>
      <c r="E26" s="2443"/>
      <c r="F26" s="2443"/>
    </row>
    <row r="27" spans="1:6" ht="20.65" customHeight="1" x14ac:dyDescent="0.2">
      <c r="A27" s="1271"/>
      <c r="B27" s="1272"/>
      <c r="C27" s="1273"/>
      <c r="D27" s="2443"/>
      <c r="E27" s="2443"/>
      <c r="F27" s="2443"/>
    </row>
    <row r="28" spans="1:6" ht="20.65" customHeight="1" x14ac:dyDescent="0.2">
      <c r="A28" s="1271"/>
      <c r="B28" s="1272"/>
      <c r="C28" s="1273"/>
      <c r="D28" s="2443"/>
      <c r="E28" s="2443"/>
      <c r="F28" s="2443"/>
    </row>
    <row r="29" spans="1:6" ht="20.65" customHeight="1" x14ac:dyDescent="0.2">
      <c r="A29" s="1271"/>
      <c r="B29" s="1272"/>
      <c r="C29" s="1273"/>
      <c r="D29" s="2443"/>
      <c r="E29" s="2443"/>
      <c r="F29" s="2443"/>
    </row>
    <row r="30" spans="1:6" ht="12" customHeight="1" x14ac:dyDescent="0.2">
      <c r="A30" s="328"/>
      <c r="B30" s="328"/>
      <c r="C30" s="1466"/>
      <c r="D30" s="1916"/>
      <c r="E30" s="1274"/>
    </row>
    <row r="31" spans="1:6" ht="12" customHeight="1" x14ac:dyDescent="0.2">
      <c r="A31" s="1275" t="s">
        <v>1630</v>
      </c>
      <c r="B31" s="328"/>
      <c r="C31" s="1466"/>
      <c r="D31" s="1916"/>
      <c r="E31" s="1274"/>
    </row>
    <row r="32" spans="1:6" ht="30" customHeight="1" x14ac:dyDescent="0.2">
      <c r="A32" s="2444" t="s">
        <v>1835</v>
      </c>
      <c r="B32" s="2444"/>
      <c r="C32" s="2444"/>
      <c r="D32" s="2444"/>
      <c r="E32" s="2444"/>
      <c r="F32" s="2444"/>
    </row>
    <row r="33" spans="1:6" ht="13.5" customHeight="1" x14ac:dyDescent="0.2">
      <c r="A33" s="328" t="s">
        <v>1509</v>
      </c>
      <c r="B33" s="328"/>
      <c r="C33" s="1276">
        <v>0</v>
      </c>
      <c r="D33" s="1916"/>
      <c r="E33" s="1274"/>
    </row>
    <row r="34" spans="1:6" ht="13.5" customHeight="1" x14ac:dyDescent="0.2">
      <c r="A34" s="328" t="s">
        <v>1949</v>
      </c>
      <c r="B34" s="328"/>
      <c r="C34" s="1277">
        <v>0</v>
      </c>
      <c r="D34" s="1916" t="s">
        <v>1671</v>
      </c>
      <c r="E34" s="2445">
        <f>+C33+C34</f>
        <v>0</v>
      </c>
      <c r="F34" s="2446"/>
    </row>
    <row r="35" spans="1:6" ht="12" customHeight="1" x14ac:dyDescent="0.2">
      <c r="A35" s="328"/>
      <c r="B35" s="328"/>
      <c r="C35" s="1917"/>
      <c r="D35" s="1916"/>
      <c r="E35" s="1278"/>
      <c r="F35" s="1279"/>
    </row>
    <row r="36" spans="1:6" ht="13.5" customHeight="1" x14ac:dyDescent="0.2">
      <c r="A36" s="1275" t="s">
        <v>1631</v>
      </c>
      <c r="B36" s="328"/>
      <c r="C36" s="1466"/>
      <c r="D36" s="1916"/>
      <c r="E36" s="1274"/>
    </row>
    <row r="37" spans="1:6" ht="14.25" customHeight="1" x14ac:dyDescent="0.2">
      <c r="A37" s="328" t="s">
        <v>1563</v>
      </c>
      <c r="B37" s="328"/>
      <c r="C37" s="1918"/>
      <c r="D37" s="1916"/>
      <c r="E37" s="1274"/>
    </row>
    <row r="38" spans="1:6" ht="14.25" customHeight="1" x14ac:dyDescent="0.2">
      <c r="A38" s="328"/>
      <c r="B38" s="328" t="s">
        <v>1510</v>
      </c>
      <c r="C38" s="1280"/>
      <c r="D38" s="1916"/>
      <c r="E38" s="1274"/>
    </row>
    <row r="39" spans="1:6" ht="14.25" customHeight="1" x14ac:dyDescent="0.2">
      <c r="A39" s="328"/>
      <c r="B39" s="328" t="s">
        <v>1511</v>
      </c>
      <c r="C39" s="1280"/>
      <c r="D39" s="1916"/>
      <c r="E39" s="1274"/>
    </row>
    <row r="40" spans="1:6" ht="14.25" customHeight="1" x14ac:dyDescent="0.2">
      <c r="A40" s="328"/>
      <c r="B40" s="328" t="s">
        <v>1512</v>
      </c>
      <c r="C40" s="1280"/>
      <c r="D40" s="1916"/>
      <c r="E40" s="1274"/>
    </row>
    <row r="41" spans="1:6" ht="14.25" customHeight="1" x14ac:dyDescent="0.2">
      <c r="A41" s="328"/>
      <c r="B41" s="328" t="s">
        <v>1513</v>
      </c>
      <c r="C41" s="1280"/>
      <c r="D41" s="1916"/>
      <c r="E41" s="1274"/>
    </row>
    <row r="42" spans="1:6" ht="14.25" customHeight="1" x14ac:dyDescent="0.2">
      <c r="A42" s="328" t="s">
        <v>1514</v>
      </c>
      <c r="B42" s="328"/>
      <c r="C42" s="1914"/>
      <c r="D42" s="1916"/>
      <c r="E42" s="1274"/>
    </row>
    <row r="43" spans="1:6" ht="14.25" customHeight="1" x14ac:dyDescent="0.2">
      <c r="A43" s="328" t="s">
        <v>1515</v>
      </c>
      <c r="B43" s="328"/>
      <c r="C43" s="1281"/>
      <c r="D43" s="1916"/>
      <c r="E43" s="1274"/>
    </row>
    <row r="44" spans="1:6" ht="14.25" customHeight="1" x14ac:dyDescent="0.2">
      <c r="A44" s="328"/>
      <c r="B44" s="328"/>
      <c r="C44" s="1918" t="s">
        <v>1516</v>
      </c>
      <c r="D44" s="1916"/>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47" t="s">
        <v>1672</v>
      </c>
      <c r="C49" s="2447"/>
      <c r="D49" s="2447"/>
      <c r="E49" s="1387"/>
    </row>
    <row r="50" spans="1:5" s="1288" customFormat="1" ht="3.75" customHeight="1" x14ac:dyDescent="0.2">
      <c r="A50" s="1287"/>
      <c r="B50" s="1858"/>
      <c r="C50" s="1858"/>
      <c r="D50" s="1858"/>
      <c r="E50" s="1387"/>
    </row>
    <row r="51" spans="1:5" s="1288" customFormat="1" ht="20.25" customHeight="1" x14ac:dyDescent="0.2">
      <c r="A51" s="1289">
        <v>6</v>
      </c>
      <c r="B51" s="2442" t="s">
        <v>1632</v>
      </c>
      <c r="C51" s="2442"/>
      <c r="D51" s="2442"/>
    </row>
    <row r="52" spans="1:5" ht="14.25" customHeight="1" x14ac:dyDescent="0.2">
      <c r="A52" s="1289"/>
      <c r="B52" s="2442"/>
      <c r="C52" s="2442"/>
      <c r="D52" s="24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21" t="str">
        <f>'Single Audit Cover'!A7</f>
        <v>Laraway CCSD 70C</v>
      </c>
      <c r="C1" s="2455"/>
      <c r="D1" s="2455"/>
      <c r="E1" s="2455"/>
      <c r="F1" s="2455"/>
      <c r="G1" s="2455"/>
      <c r="H1" s="2455"/>
      <c r="I1" s="2455"/>
      <c r="J1" s="2455"/>
      <c r="K1" s="2455"/>
      <c r="L1" s="2455"/>
      <c r="M1" s="2455"/>
    </row>
    <row r="2" spans="2:14" ht="15" x14ac:dyDescent="0.2">
      <c r="B2" s="2452" t="str">
        <f>'Single Audit Cover'!E7</f>
        <v>56-099-070C-04</v>
      </c>
      <c r="C2" s="2452"/>
      <c r="D2" s="2452"/>
      <c r="E2" s="2452"/>
      <c r="F2" s="2452"/>
      <c r="G2" s="2452"/>
      <c r="H2" s="2452"/>
      <c r="I2" s="2452"/>
      <c r="J2" s="2452"/>
      <c r="K2" s="2452"/>
      <c r="L2" s="2452"/>
      <c r="M2" s="2452"/>
      <c r="N2" s="1290"/>
    </row>
    <row r="3" spans="2:14" ht="15" x14ac:dyDescent="0.2">
      <c r="B3" s="2456" t="s">
        <v>1281</v>
      </c>
      <c r="C3" s="2456"/>
      <c r="D3" s="2456"/>
      <c r="E3" s="2456"/>
      <c r="F3" s="2456"/>
      <c r="G3" s="2456"/>
      <c r="H3" s="2456"/>
      <c r="I3" s="2456"/>
      <c r="J3" s="2456"/>
      <c r="K3" s="2456"/>
      <c r="L3" s="2456"/>
      <c r="M3" s="2456"/>
      <c r="N3" s="1290"/>
    </row>
    <row r="4" spans="2:14" ht="15" x14ac:dyDescent="0.2">
      <c r="B4" s="2457" t="str">
        <f>'Single Audit Cover'!A4</f>
        <v>Year Ending June 30, 2018</v>
      </c>
      <c r="C4" s="2457"/>
      <c r="D4" s="2457"/>
      <c r="E4" s="2457"/>
      <c r="F4" s="2457"/>
      <c r="G4" s="2457"/>
      <c r="H4" s="2457"/>
      <c r="I4" s="2457"/>
      <c r="J4" s="2457"/>
      <c r="K4" s="2457"/>
      <c r="L4" s="2457"/>
      <c r="M4" s="2457"/>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Laraway CCSD 70C</v>
      </c>
      <c r="C1" s="2470"/>
      <c r="D1" s="2470"/>
      <c r="E1" s="2470"/>
      <c r="F1" s="2470"/>
      <c r="G1" s="2470"/>
      <c r="H1" s="2470"/>
      <c r="I1" s="2470"/>
      <c r="J1" s="1410"/>
    </row>
    <row r="2" spans="2:10" s="317" customFormat="1" ht="12.75" customHeight="1" x14ac:dyDescent="0.2">
      <c r="B2" s="2471" t="str">
        <f>'Single Audit Cover'!E7</f>
        <v>56-099-070C-04</v>
      </c>
      <c r="C2" s="2472"/>
      <c r="D2" s="2472"/>
      <c r="E2" s="2472"/>
      <c r="F2" s="2472"/>
      <c r="G2" s="2472"/>
      <c r="H2" s="2472"/>
      <c r="I2" s="2472"/>
      <c r="J2" s="1410"/>
    </row>
    <row r="3" spans="2:10" s="317" customFormat="1" ht="12.75" customHeight="1" x14ac:dyDescent="0.2">
      <c r="B3" s="2473" t="s">
        <v>1347</v>
      </c>
      <c r="C3" s="2474"/>
      <c r="D3" s="2474"/>
      <c r="E3" s="2474"/>
      <c r="F3" s="2474"/>
      <c r="G3" s="2474"/>
      <c r="H3" s="2474"/>
      <c r="I3" s="2474"/>
      <c r="J3" s="1411"/>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73" t="s">
        <v>1346</v>
      </c>
      <c r="C7" s="2474"/>
      <c r="D7" s="2474"/>
      <c r="E7" s="2474"/>
      <c r="F7" s="2474"/>
      <c r="G7" s="2474"/>
      <c r="H7" s="2474"/>
      <c r="I7" s="2474"/>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75"/>
      <c r="D11" s="2475"/>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76"/>
      <c r="E29" s="2476"/>
      <c r="F29" s="2476"/>
      <c r="G29" s="2476"/>
      <c r="H29" s="2476"/>
      <c r="I29" s="2476"/>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77" t="s">
        <v>1854</v>
      </c>
      <c r="D37" s="2478"/>
      <c r="E37" s="2478"/>
      <c r="F37" s="2479"/>
      <c r="G37" s="2477" t="s">
        <v>1674</v>
      </c>
      <c r="H37" s="2478"/>
      <c r="I37" s="2479"/>
    </row>
    <row r="38" spans="2:9" ht="16.5" customHeight="1" x14ac:dyDescent="0.2">
      <c r="B38" s="1432"/>
      <c r="C38" s="2465"/>
      <c r="D38" s="2466"/>
      <c r="E38" s="2466"/>
      <c r="F38" s="2467"/>
      <c r="G38" s="2480"/>
      <c r="H38" s="2481"/>
      <c r="I38" s="2482"/>
    </row>
    <row r="39" spans="2:9" ht="16.5" customHeight="1" x14ac:dyDescent="0.2">
      <c r="B39" s="1432"/>
      <c r="C39" s="2465"/>
      <c r="D39" s="2466"/>
      <c r="E39" s="2466"/>
      <c r="F39" s="2467"/>
      <c r="G39" s="2468"/>
      <c r="H39" s="2468"/>
      <c r="I39" s="2468"/>
    </row>
    <row r="40" spans="2:9" ht="16.5" customHeight="1" x14ac:dyDescent="0.2">
      <c r="B40" s="1432"/>
      <c r="C40" s="2465"/>
      <c r="D40" s="2466"/>
      <c r="E40" s="2466"/>
      <c r="F40" s="2467"/>
      <c r="G40" s="2468"/>
      <c r="H40" s="2468"/>
      <c r="I40" s="2468"/>
    </row>
    <row r="41" spans="2:9" ht="16.5" customHeight="1" x14ac:dyDescent="0.2">
      <c r="B41" s="1432"/>
      <c r="C41" s="2465"/>
      <c r="D41" s="2466"/>
      <c r="E41" s="2466"/>
      <c r="F41" s="2467"/>
      <c r="G41" s="2468"/>
      <c r="H41" s="2468"/>
      <c r="I41" s="2468"/>
    </row>
    <row r="42" spans="2:9" ht="16.5" customHeight="1" x14ac:dyDescent="0.2">
      <c r="B42" s="1432"/>
      <c r="C42" s="2465"/>
      <c r="D42" s="2466"/>
      <c r="E42" s="2466"/>
      <c r="F42" s="2467"/>
      <c r="G42" s="2468"/>
      <c r="H42" s="2468"/>
      <c r="I42" s="2468"/>
    </row>
    <row r="43" spans="2:9" ht="16.5" customHeight="1" x14ac:dyDescent="0.2">
      <c r="B43" s="1432"/>
      <c r="C43" s="2458" t="s">
        <v>1675</v>
      </c>
      <c r="D43" s="2459"/>
      <c r="E43" s="2459"/>
      <c r="F43" s="2460"/>
      <c r="G43" s="2461">
        <f>SUM(G38:I42)</f>
        <v>0</v>
      </c>
      <c r="H43" s="2461"/>
      <c r="I43" s="2461"/>
    </row>
    <row r="44" spans="2:9" ht="12.75" customHeight="1" x14ac:dyDescent="0.2"/>
    <row r="45" spans="2:9" ht="12.75" customHeight="1" x14ac:dyDescent="0.2">
      <c r="B45" s="1423" t="s">
        <v>1952</v>
      </c>
      <c r="D45" s="2462">
        <v>0</v>
      </c>
      <c r="E45" s="2463"/>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64"/>
      <c r="F49" s="2464"/>
      <c r="G49" s="2464"/>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Laraway CCSD 70C</v>
      </c>
      <c r="C1" s="2469"/>
      <c r="D1" s="2469"/>
      <c r="E1" s="2469"/>
      <c r="F1" s="2469"/>
      <c r="G1" s="2469"/>
      <c r="H1" s="2469"/>
      <c r="I1" s="2469"/>
      <c r="J1" s="2469"/>
      <c r="K1" s="2469"/>
      <c r="L1" s="1362"/>
      <c r="M1" s="1362"/>
    </row>
    <row r="2" spans="1:13" ht="12" customHeight="1" x14ac:dyDescent="0.2">
      <c r="B2" s="2471" t="str">
        <f>'Single Audit Cover'!E7</f>
        <v>56-099-070C-04</v>
      </c>
      <c r="C2" s="2471"/>
      <c r="D2" s="2471"/>
      <c r="E2" s="2471"/>
      <c r="F2" s="2471"/>
      <c r="G2" s="2471"/>
      <c r="H2" s="2471"/>
      <c r="I2" s="2471"/>
      <c r="J2" s="2471"/>
      <c r="K2" s="2471"/>
      <c r="L2" s="1363"/>
      <c r="M2" s="1364"/>
    </row>
    <row r="3" spans="1:13" ht="10.35" customHeight="1" x14ac:dyDescent="0.2">
      <c r="B3" s="2485" t="s">
        <v>1347</v>
      </c>
      <c r="C3" s="2485"/>
      <c r="D3" s="2485"/>
      <c r="E3" s="2485"/>
      <c r="F3" s="2485"/>
      <c r="G3" s="2485"/>
      <c r="H3" s="2485"/>
      <c r="I3" s="2485"/>
      <c r="J3" s="2485"/>
      <c r="K3" s="2485"/>
      <c r="L3" s="1365"/>
      <c r="M3" s="1365"/>
    </row>
    <row r="4" spans="1:13" ht="14.25" customHeight="1" x14ac:dyDescent="0.2">
      <c r="B4" s="2486" t="str">
        <f>'Single Audit Cover'!A4</f>
        <v>Year Ending June 30, 2018</v>
      </c>
      <c r="C4" s="2486"/>
      <c r="D4" s="2486"/>
      <c r="E4" s="2486"/>
      <c r="F4" s="2486"/>
      <c r="G4" s="2486"/>
      <c r="H4" s="2486"/>
      <c r="I4" s="2486"/>
      <c r="J4" s="2486"/>
      <c r="K4" s="2486"/>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6" t="s">
        <v>1363</v>
      </c>
      <c r="C7" s="2486"/>
      <c r="D7" s="2487"/>
      <c r="E7" s="2487"/>
      <c r="F7" s="2487"/>
      <c r="G7" s="2487"/>
      <c r="H7" s="2487"/>
      <c r="I7" s="2487"/>
      <c r="J7" s="2487"/>
      <c r="K7" s="2487"/>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4"/>
      <c r="C14" s="2484"/>
      <c r="D14" s="2484"/>
      <c r="E14" s="2484"/>
      <c r="F14" s="2484"/>
      <c r="G14" s="2484"/>
      <c r="H14" s="2484"/>
      <c r="I14" s="2484"/>
      <c r="J14" s="2484"/>
      <c r="K14" s="2484"/>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4"/>
      <c r="C17" s="2484"/>
      <c r="D17" s="2484"/>
      <c r="E17" s="2484"/>
      <c r="F17" s="2484"/>
      <c r="G17" s="2484"/>
      <c r="H17" s="2484"/>
      <c r="I17" s="2484"/>
      <c r="J17" s="2484"/>
      <c r="K17" s="2484"/>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8"/>
      <c r="C20" s="2488"/>
      <c r="D20" s="2484"/>
      <c r="E20" s="2484"/>
      <c r="F20" s="2484"/>
      <c r="G20" s="2484"/>
      <c r="H20" s="2484"/>
      <c r="I20" s="2484"/>
      <c r="J20" s="2484"/>
      <c r="K20" s="2484"/>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4"/>
      <c r="C23" s="2484"/>
      <c r="D23" s="2484"/>
      <c r="E23" s="2484"/>
      <c r="F23" s="2484"/>
      <c r="G23" s="2484"/>
      <c r="H23" s="2484"/>
      <c r="I23" s="2484"/>
      <c r="J23" s="2484"/>
      <c r="K23" s="2484"/>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4"/>
      <c r="C26" s="2484"/>
      <c r="D26" s="2484"/>
      <c r="E26" s="2484"/>
      <c r="F26" s="2484"/>
      <c r="G26" s="2484"/>
      <c r="H26" s="2484"/>
      <c r="I26" s="2484"/>
      <c r="J26" s="2484"/>
      <c r="K26" s="2484"/>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3"/>
      <c r="C29" s="2483"/>
      <c r="D29" s="2484"/>
      <c r="E29" s="2484"/>
      <c r="F29" s="2484"/>
      <c r="G29" s="2484"/>
      <c r="H29" s="2484"/>
      <c r="I29" s="2484"/>
      <c r="J29" s="2484"/>
      <c r="K29" s="2484"/>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3"/>
      <c r="C32" s="2483"/>
      <c r="D32" s="2484"/>
      <c r="E32" s="2484"/>
      <c r="F32" s="2484"/>
      <c r="G32" s="2484"/>
      <c r="H32" s="2484"/>
      <c r="I32" s="2484"/>
      <c r="J32" s="2484"/>
      <c r="K32" s="2484"/>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Laraway CCSD 70C</v>
      </c>
      <c r="C1" s="2492"/>
      <c r="D1" s="2492"/>
      <c r="E1" s="2492"/>
      <c r="F1" s="2492"/>
      <c r="G1" s="2492"/>
      <c r="H1" s="2492"/>
      <c r="I1" s="2492"/>
      <c r="J1" s="2492"/>
      <c r="K1" s="2492"/>
      <c r="L1" s="1453"/>
    </row>
    <row r="2" spans="1:12" ht="12.75" customHeight="1" x14ac:dyDescent="0.2">
      <c r="B2" s="2493" t="str">
        <f>'Single Audit Cover'!E7</f>
        <v>56-099-070C-04</v>
      </c>
      <c r="C2" s="2493"/>
      <c r="D2" s="2493"/>
      <c r="E2" s="2493"/>
      <c r="F2" s="2493"/>
      <c r="G2" s="2493"/>
      <c r="H2" s="2493"/>
      <c r="I2" s="2493"/>
      <c r="J2" s="2493"/>
      <c r="K2" s="2493"/>
      <c r="L2" s="1454"/>
    </row>
    <row r="3" spans="1:12" ht="12.75" customHeight="1" x14ac:dyDescent="0.2">
      <c r="B3" s="2485" t="s">
        <v>1347</v>
      </c>
      <c r="C3" s="2485"/>
      <c r="D3" s="2485"/>
      <c r="E3" s="2485"/>
      <c r="F3" s="2485"/>
      <c r="G3" s="2485"/>
      <c r="H3" s="2485"/>
      <c r="I3" s="2485"/>
      <c r="J3" s="2485"/>
      <c r="K3" s="2485"/>
      <c r="L3" s="1365"/>
    </row>
    <row r="4" spans="1:12" ht="12.75" customHeight="1" x14ac:dyDescent="0.2">
      <c r="B4" s="2485" t="str">
        <f>'Single Audit Cover'!A4</f>
        <v>Year Ending June 30, 2018</v>
      </c>
      <c r="C4" s="2485"/>
      <c r="D4" s="2485"/>
      <c r="E4" s="2485"/>
      <c r="F4" s="2485"/>
      <c r="G4" s="2485"/>
      <c r="H4" s="2485"/>
      <c r="I4" s="2485"/>
      <c r="J4" s="2485"/>
      <c r="K4" s="2485"/>
      <c r="L4" s="1365"/>
    </row>
    <row r="5" spans="1:12" ht="5.25" customHeight="1" x14ac:dyDescent="0.2">
      <c r="B5" s="1248" t="s">
        <v>1231</v>
      </c>
      <c r="C5" s="1248"/>
      <c r="L5" s="322"/>
    </row>
    <row r="6" spans="1:12" ht="30.75" customHeight="1" x14ac:dyDescent="0.2">
      <c r="A6" s="322"/>
      <c r="B6" s="2494" t="s">
        <v>1375</v>
      </c>
      <c r="C6" s="2494"/>
      <c r="D6" s="2494"/>
      <c r="E6" s="2494"/>
      <c r="F6" s="2494"/>
      <c r="G6" s="2494"/>
      <c r="H6" s="2494"/>
      <c r="I6" s="2494"/>
      <c r="J6" s="2494"/>
      <c r="K6" s="2494"/>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76"/>
      <c r="G12" s="2476"/>
      <c r="H12" s="2476"/>
      <c r="I12" s="2476"/>
      <c r="J12" s="2476"/>
      <c r="K12" s="2476"/>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89"/>
      <c r="E14" s="2489"/>
      <c r="F14" s="2489"/>
      <c r="H14" s="1463" t="s">
        <v>1370</v>
      </c>
      <c r="I14" s="2490"/>
      <c r="J14" s="2490"/>
      <c r="K14" s="2490"/>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90"/>
      <c r="E16" s="2490"/>
      <c r="F16" s="2490"/>
      <c r="G16" s="2490"/>
      <c r="H16" s="2490"/>
      <c r="I16" s="2490"/>
      <c r="J16" s="2490"/>
      <c r="K16" s="2490"/>
      <c r="L16" s="322"/>
    </row>
    <row r="17" spans="2:12" ht="13.5" customHeight="1" x14ac:dyDescent="0.2">
      <c r="B17" s="1375" t="s">
        <v>1368</v>
      </c>
      <c r="C17" s="1375"/>
      <c r="D17" s="2491"/>
      <c r="E17" s="2491"/>
      <c r="F17" s="2491"/>
      <c r="G17" s="2491"/>
      <c r="H17" s="2491"/>
      <c r="I17" s="2491"/>
      <c r="J17" s="2491"/>
      <c r="K17" s="2491"/>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4"/>
      <c r="C20" s="2484"/>
      <c r="D20" s="2484"/>
      <c r="E20" s="2484"/>
      <c r="F20" s="2484"/>
      <c r="G20" s="2484"/>
      <c r="H20" s="2484"/>
      <c r="I20" s="2484"/>
      <c r="J20" s="2484"/>
      <c r="K20" s="2484"/>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9" t="str">
        <f>'Single Audit Cover'!A7</f>
        <v>Laraway CCSD 70C</v>
      </c>
      <c r="C1" s="2469"/>
      <c r="D1" s="2469"/>
      <c r="E1" s="1479"/>
    </row>
    <row r="2" spans="2:5" s="1270" customFormat="1" ht="12.75" customHeight="1" x14ac:dyDescent="0.2">
      <c r="B2" s="2471" t="str">
        <f>'Single Audit Cover'!E7</f>
        <v>56-099-070C-04</v>
      </c>
      <c r="C2" s="2471"/>
      <c r="D2" s="2471"/>
      <c r="E2" s="1480"/>
    </row>
    <row r="3" spans="2:5" ht="12.75" customHeight="1" x14ac:dyDescent="0.2">
      <c r="B3" s="2485" t="s">
        <v>1869</v>
      </c>
      <c r="C3" s="2485"/>
      <c r="D3" s="2485"/>
      <c r="E3" s="1262"/>
    </row>
    <row r="4" spans="2:5" s="1270" customFormat="1" ht="12.75" customHeight="1" x14ac:dyDescent="0.2">
      <c r="B4" s="2495" t="str">
        <f>'Single Audit Cover'!A4</f>
        <v>Year Ending June 30, 2018</v>
      </c>
      <c r="C4" s="2495"/>
      <c r="D4" s="2495"/>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2018-09-05T19:32:56Z</cp:lastPrinted>
  <dcterms:created xsi:type="dcterms:W3CDTF">2003-10-29T19:06:34Z</dcterms:created>
  <dcterms:modified xsi:type="dcterms:W3CDTF">2018-10-12T19:40:20Z</dcterms:modified>
</cp:coreProperties>
</file>