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B2805" i="106" s="1"/>
  <c r="D2805" i="106" s="1"/>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c r="B5105" i="106"/>
  <c r="D5105" i="106"/>
  <c r="B5106" i="106"/>
  <c r="D5106" i="106"/>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c r="B6730" i="106"/>
  <c r="D6730" i="106" s="1"/>
  <c r="B6731" i="106"/>
  <c r="D6731" i="106" s="1"/>
  <c r="B6732" i="106"/>
  <c r="D6732" i="106" s="1"/>
  <c r="B6733" i="106"/>
  <c r="D6733" i="106" s="1"/>
  <c r="B6734" i="106"/>
  <c r="D6734" i="106" s="1"/>
  <c r="B6735" i="106"/>
  <c r="D6735" i="106" s="1"/>
  <c r="B6736" i="106"/>
  <c r="D6736" i="106" s="1"/>
  <c r="B6737" i="106"/>
  <c r="D6737" i="106"/>
  <c r="B6738" i="106"/>
  <c r="D6738" i="106" s="1"/>
  <c r="B6739" i="106"/>
  <c r="D6739" i="106" s="1"/>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s="1"/>
  <c r="B6752" i="106"/>
  <c r="D6752" i="106" s="1"/>
  <c r="B6753" i="106"/>
  <c r="D6753" i="106"/>
  <c r="B6754" i="106"/>
  <c r="D6754" i="106" s="1"/>
  <c r="B6755" i="106"/>
  <c r="D6755" i="106" s="1"/>
  <c r="B6756" i="106"/>
  <c r="D6756" i="106" s="1"/>
  <c r="B6757" i="106"/>
  <c r="D6757" i="106" s="1"/>
  <c r="B6758" i="106"/>
  <c r="D6758" i="106" s="1"/>
  <c r="B6759" i="106"/>
  <c r="D6759" i="106" s="1"/>
  <c r="B6760" i="106"/>
  <c r="D6760" i="106" s="1"/>
  <c r="B6761" i="106"/>
  <c r="D6761" i="106"/>
  <c r="B6762" i="106"/>
  <c r="D6762" i="106" s="1"/>
  <c r="B6763" i="106"/>
  <c r="D6763" i="106" s="1"/>
  <c r="B6764" i="106"/>
  <c r="D6764" i="106" s="1"/>
  <c r="B6765" i="106"/>
  <c r="D6765" i="106" s="1"/>
  <c r="B6766" i="106"/>
  <c r="D6766" i="106" s="1"/>
  <c r="B6767" i="106"/>
  <c r="D6767" i="106" s="1"/>
  <c r="B6768" i="106"/>
  <c r="D6768" i="106" s="1"/>
  <c r="B6769" i="106"/>
  <c r="D6769" i="106"/>
  <c r="B6770" i="106"/>
  <c r="D6770" i="106" s="1"/>
  <c r="B6771" i="106"/>
  <c r="D6771" i="106" s="1"/>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s="1"/>
  <c r="B6784" i="106"/>
  <c r="D6784" i="106" s="1"/>
  <c r="B6785" i="106"/>
  <c r="D6785" i="106"/>
  <c r="B6786" i="106"/>
  <c r="D6786" i="106" s="1"/>
  <c r="B6787" i="106"/>
  <c r="D6787" i="106" s="1"/>
  <c r="B6788" i="106"/>
  <c r="D6788" i="106" s="1"/>
  <c r="B6789" i="106"/>
  <c r="D6789" i="106" s="1"/>
  <c r="B6790" i="106"/>
  <c r="D6790" i="106" s="1"/>
  <c r="B6791" i="106"/>
  <c r="D6791" i="106" s="1"/>
  <c r="B6792" i="106"/>
  <c r="D6792" i="106" s="1"/>
  <c r="B6793" i="106"/>
  <c r="D6793" i="106"/>
  <c r="B6794" i="106"/>
  <c r="D6794" i="106" s="1"/>
  <c r="B6795" i="106"/>
  <c r="D6795" i="106" s="1"/>
  <c r="B6796" i="106"/>
  <c r="D6796" i="106" s="1"/>
  <c r="B6797" i="106"/>
  <c r="D6797" i="106" s="1"/>
  <c r="B6798" i="106"/>
  <c r="D6798" i="106" s="1"/>
  <c r="B6799" i="106"/>
  <c r="D6799" i="106" s="1"/>
  <c r="B6800" i="106"/>
  <c r="D6800" i="106" s="1"/>
  <c r="B6801" i="106"/>
  <c r="D6801" i="106"/>
  <c r="B6802" i="106"/>
  <c r="D6802" i="106" s="1"/>
  <c r="B6803" i="106"/>
  <c r="D6803" i="106" s="1"/>
  <c r="B6804" i="106"/>
  <c r="D6804" i="106" s="1"/>
  <c r="B6805" i="106"/>
  <c r="D6805" i="106" s="1"/>
  <c r="B6806" i="106"/>
  <c r="D6806" i="106" s="1"/>
  <c r="B6807" i="106"/>
  <c r="D6807" i="106" s="1"/>
  <c r="B6808" i="106"/>
  <c r="D6808" i="106" s="1"/>
  <c r="B6809" i="106"/>
  <c r="D6809" i="106"/>
  <c r="B6810" i="106"/>
  <c r="D6810" i="106" s="1"/>
  <c r="B6811" i="106"/>
  <c r="D6811" i="106" s="1"/>
  <c r="B6812" i="106"/>
  <c r="D6812" i="106" s="1"/>
  <c r="B6813" i="106"/>
  <c r="D6813" i="106" s="1"/>
  <c r="B6814" i="106"/>
  <c r="D6814" i="106" s="1"/>
  <c r="B6815" i="106"/>
  <c r="D6815" i="106" s="1"/>
  <c r="B6816" i="106"/>
  <c r="D6816" i="106" s="1"/>
  <c r="B6817" i="106"/>
  <c r="D6817" i="106"/>
  <c r="B6818" i="106"/>
  <c r="D6818" i="106" s="1"/>
  <c r="B6819" i="106"/>
  <c r="D6819" i="106" s="1"/>
  <c r="B6820" i="106"/>
  <c r="D6820" i="106" s="1"/>
  <c r="B6821" i="106"/>
  <c r="D6821" i="106" s="1"/>
  <c r="B6822" i="106"/>
  <c r="D6822" i="106" s="1"/>
  <c r="B6823" i="106"/>
  <c r="D6823" i="106" s="1"/>
  <c r="B6824" i="106"/>
  <c r="D6824" i="106" s="1"/>
  <c r="B6825" i="106"/>
  <c r="D6825" i="106"/>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E27" i="108"/>
  <c r="G27" i="108"/>
  <c r="E28" i="108"/>
  <c r="F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73" i="5" s="1"/>
  <c r="B5778" i="106" s="1"/>
  <c r="D5778"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9" i="7"/>
  <c r="B1767" i="106" s="1"/>
  <c r="D1767" i="106" s="1"/>
  <c r="F130" i="34"/>
  <c r="F127" i="34"/>
  <c r="B5752" i="106"/>
  <c r="D5752" i="106" s="1"/>
  <c r="H173" i="5"/>
  <c r="B5906" i="106" s="1"/>
  <c r="D5906" i="106" s="1"/>
  <c r="D7" i="7"/>
  <c r="B1763" i="106" s="1"/>
  <c r="D1763" i="106" s="1"/>
  <c r="B1746" i="106"/>
  <c r="D1746" i="106" s="1"/>
  <c r="D17" i="7"/>
  <c r="B4104" i="106" s="1"/>
  <c r="D4104" i="106" s="1"/>
  <c r="B6261" i="106" l="1"/>
  <c r="D6261" i="106" s="1"/>
  <c r="J77" i="4"/>
  <c r="B6262" i="106" s="1"/>
  <c r="D6262" i="106" s="1"/>
  <c r="B7041" i="106"/>
  <c r="D7041" i="106" s="1"/>
  <c r="G352" i="29"/>
  <c r="G367" i="29" s="1"/>
  <c r="B3650" i="106" s="1"/>
  <c r="D3650" i="106" s="1"/>
  <c r="B3647" i="106"/>
  <c r="D3647" i="106" s="1"/>
  <c r="D15" i="7"/>
  <c r="B1772" i="106" s="1"/>
  <c r="D1772" i="106" s="1"/>
  <c r="F106" i="34"/>
  <c r="F136" i="34"/>
  <c r="D5" i="7"/>
  <c r="B1761" i="106" s="1"/>
  <c r="D1761" i="106" s="1"/>
  <c r="G5" i="4"/>
  <c r="B3409" i="106" s="1"/>
  <c r="D3409" i="106" s="1"/>
  <c r="B5096" i="106"/>
  <c r="D5096" i="106" s="1"/>
  <c r="L367" i="29"/>
  <c r="B7727" i="106"/>
  <c r="D7727" i="106" s="1"/>
  <c r="F36" i="34"/>
  <c r="F34" i="34"/>
  <c r="D52" i="36"/>
  <c r="J352" i="29"/>
  <c r="J367" i="29" s="1"/>
  <c r="B7245" i="106" s="1"/>
  <c r="D7245" i="106" s="1"/>
  <c r="H342" i="29"/>
  <c r="B7221" i="106" s="1"/>
  <c r="D7221" i="106" s="1"/>
  <c r="B6289" i="106"/>
  <c r="D6289" i="106" s="1"/>
  <c r="F21" i="8"/>
  <c r="B3689" i="106"/>
  <c r="D3689" i="106" s="1"/>
  <c r="K76" i="4"/>
  <c r="B3586" i="106" s="1"/>
  <c r="D3586" i="106" s="1"/>
  <c r="K285" i="29"/>
  <c r="D12" i="7"/>
  <c r="B1769" i="106" s="1"/>
  <c r="D1769" i="106" s="1"/>
  <c r="H6" i="4"/>
  <c r="B2656" i="106" s="1"/>
  <c r="D2656" i="106" s="1"/>
  <c r="H109" i="5"/>
  <c r="B5770" i="106"/>
  <c r="D5770" i="106" s="1"/>
  <c r="I173" i="5"/>
  <c r="B4216" i="106" s="1"/>
  <c r="D4216" i="106" s="1"/>
  <c r="L312" i="29"/>
  <c r="K274" i="5"/>
  <c r="K7" i="4" s="1"/>
  <c r="B3718" i="106" s="1"/>
  <c r="D3718" i="106" s="1"/>
  <c r="F111" i="34"/>
  <c r="F131" i="34"/>
  <c r="F172" i="5"/>
  <c r="B5644" i="106" s="1"/>
  <c r="D5644" i="106" s="1"/>
  <c r="B7235" i="106"/>
  <c r="D7235" i="106" s="1"/>
  <c r="C342" i="29"/>
  <c r="B7216" i="106" s="1"/>
  <c r="D7216" i="106" s="1"/>
  <c r="B3649" i="106"/>
  <c r="D3649" i="106" s="1"/>
  <c r="K350" i="29"/>
  <c r="B3254" i="106"/>
  <c r="D3254" i="106" s="1"/>
  <c r="B1995" i="106"/>
  <c r="D1995" i="106" s="1"/>
  <c r="K24" i="12"/>
  <c r="J41" i="3"/>
  <c r="D51" i="36" s="1"/>
  <c r="B3621" i="106"/>
  <c r="D3621" i="106" s="1"/>
  <c r="C367" i="29"/>
  <c r="H365" i="29"/>
  <c r="D11" i="7"/>
  <c r="B1768" i="106" s="1"/>
  <c r="D1768" i="106" s="1"/>
  <c r="B1410" i="106"/>
  <c r="D1410" i="106" s="1"/>
  <c r="G109" i="5"/>
  <c r="G210" i="29"/>
  <c r="G29" i="108"/>
  <c r="E29" i="108"/>
  <c r="K184" i="29"/>
  <c r="F13" i="4" s="1"/>
  <c r="B2596" i="106" s="1"/>
  <c r="D2596" i="106" s="1"/>
  <c r="B1329" i="106"/>
  <c r="D1329" i="106" s="1"/>
  <c r="F61" i="34"/>
  <c r="E109" i="5"/>
  <c r="E4" i="4" s="1"/>
  <c r="B2630" i="106" s="1"/>
  <c r="D2630" i="106" s="1"/>
  <c r="B1223" i="106"/>
  <c r="D1223" i="106" s="1"/>
  <c r="D109" i="5"/>
  <c r="B5356" i="106" s="1"/>
  <c r="D5356" i="106" s="1"/>
  <c r="D27" i="108"/>
  <c r="D41" i="108" s="1"/>
  <c r="E43" i="108" s="1"/>
  <c r="C172" i="5"/>
  <c r="B5214" i="106" s="1"/>
  <c r="D5214" i="106" s="1"/>
  <c r="C109" i="5"/>
  <c r="B5121" i="106" s="1"/>
  <c r="D5121" i="106" s="1"/>
  <c r="D13" i="7"/>
  <c r="B3726" i="106" s="1"/>
  <c r="D3726" i="106" s="1"/>
  <c r="D4" i="7"/>
  <c r="B1760" i="106" s="1"/>
  <c r="D1760" i="106" s="1"/>
  <c r="L5" i="11"/>
  <c r="B2056" i="106" s="1"/>
  <c r="D2056" i="106" s="1"/>
  <c r="L342" i="29"/>
  <c r="D11" i="37"/>
  <c r="H29" i="118"/>
  <c r="K28" i="118" s="1"/>
  <c r="O27" i="118" s="1"/>
  <c r="O29" i="118" s="1"/>
  <c r="D31" i="36"/>
  <c r="L13" i="11"/>
  <c r="B2060" i="106" s="1"/>
  <c r="D2060" i="106" s="1"/>
  <c r="F19" i="7"/>
  <c r="B1807" i="106" s="1"/>
  <c r="D1807"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D274" i="5"/>
  <c r="B7270" i="106"/>
  <c r="B1879" i="106" l="1"/>
  <c r="D1879" i="106" s="1"/>
  <c r="H22" i="37"/>
  <c r="D19" i="7"/>
  <c r="B1775" i="106" s="1"/>
  <c r="D1775" i="106" s="1"/>
  <c r="B5914" i="106"/>
  <c r="D5914" i="106" s="1"/>
  <c r="K77" i="4"/>
  <c r="B3587" i="106" s="1"/>
  <c r="D3587" i="106" s="1"/>
  <c r="B1317" i="106"/>
  <c r="D1317" i="106" s="1"/>
  <c r="D7254" i="106"/>
  <c r="D7256" i="106"/>
  <c r="D7251" i="106"/>
  <c r="D7252" i="106"/>
  <c r="B6022" i="106"/>
  <c r="D6022" i="106" s="1"/>
  <c r="I6" i="4"/>
  <c r="B5011" i="106" s="1"/>
  <c r="D5011" i="106" s="1"/>
  <c r="F73" i="34"/>
  <c r="G15" i="4"/>
  <c r="B6032" i="106" s="1"/>
  <c r="D6032" i="106" s="1"/>
  <c r="B3670" i="106"/>
  <c r="D3670" i="106" s="1"/>
  <c r="K352" i="29"/>
  <c r="B6025" i="106"/>
  <c r="D6025" i="106" s="1"/>
  <c r="H4" i="4"/>
  <c r="H367" i="29"/>
  <c r="B3660" i="106" s="1"/>
  <c r="D3660" i="106" s="1"/>
  <c r="B7242" i="106"/>
  <c r="D7242" i="106" s="1"/>
  <c r="B7733" i="106"/>
  <c r="D7733" i="106" s="1"/>
  <c r="K26" i="12"/>
  <c r="B7743" i="106" s="1"/>
  <c r="D7743" i="106" s="1"/>
  <c r="D7250" i="106"/>
  <c r="F274" i="5"/>
  <c r="F275" i="5" s="1"/>
  <c r="B5720" i="106" s="1"/>
  <c r="D5720" i="106" s="1"/>
  <c r="K342" i="29"/>
  <c r="F13" i="34" s="1"/>
  <c r="B6024" i="106"/>
  <c r="D6024" i="106" s="1"/>
  <c r="G4" i="4"/>
  <c r="B2603" i="106" s="1"/>
  <c r="D2603" i="106" s="1"/>
  <c r="B1365" i="106"/>
  <c r="D1365" i="106" s="1"/>
  <c r="F65" i="34"/>
  <c r="D4" i="4"/>
  <c r="B2564" i="106" s="1"/>
  <c r="D2564" i="106" s="1"/>
  <c r="C114" i="29"/>
  <c r="B757" i="106" s="1"/>
  <c r="D757" i="106" s="1"/>
  <c r="C4" i="4"/>
  <c r="B2551" i="106" s="1"/>
  <c r="D2551" i="106" s="1"/>
  <c r="C173" i="5"/>
  <c r="L114"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5915" i="106"/>
  <c r="D5915" i="106" s="1"/>
  <c r="B6222" i="106"/>
  <c r="D6222" i="106" s="1"/>
  <c r="D7" i="4"/>
  <c r="B5507" i="106"/>
  <c r="D5507" i="106" s="1"/>
  <c r="B7298" i="106"/>
  <c r="B7299" i="106"/>
  <c r="J8" i="4" l="1"/>
  <c r="F7" i="4"/>
  <c r="B2594" i="106" s="1"/>
  <c r="D2594" i="106" s="1"/>
  <c r="F24" i="37"/>
  <c r="K13" i="4"/>
  <c r="B3572" i="106" s="1"/>
  <c r="D3572" i="106" s="1"/>
  <c r="B3672" i="106"/>
  <c r="D3672" i="106" s="1"/>
  <c r="B2655" i="106"/>
  <c r="D2655" i="106" s="1"/>
  <c r="H8" i="4"/>
  <c r="K367" i="29"/>
  <c r="K368" i="29" s="1"/>
  <c r="B3681" i="106" s="1"/>
  <c r="D3681" i="106" s="1"/>
  <c r="B7224" i="106"/>
  <c r="D7224" i="106" s="1"/>
  <c r="F8" i="4"/>
  <c r="F10" i="4" s="1"/>
  <c r="B4125" i="106" s="1"/>
  <c r="D4125" i="106" s="1"/>
  <c r="B1145" i="106"/>
  <c r="D1145" i="106" s="1"/>
  <c r="E41" i="108"/>
  <c r="E44" i="108" s="1"/>
  <c r="E45" i="108"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4" l="1"/>
  <c r="F76" i="34"/>
  <c r="K17" i="4"/>
  <c r="B2658" i="106"/>
  <c r="D2658" i="106" s="1"/>
  <c r="H10" i="4"/>
  <c r="B4127" i="106" s="1"/>
  <c r="D4127" i="106" s="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<sst xmlns="http://schemas.openxmlformats.org/spreadsheetml/2006/main" count="5050" uniqueCount="2121">
  <si>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</si>
  <si>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</si>
  <si>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</si>
  <si>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</si>
  <si>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</si>
  <si>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</si>
  <si>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</si>
  <si>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</si>
  <si>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</si>
  <si>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</si>
  <si>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</si>
  <si>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</si>
  <si>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</si>
  <si>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</si>
  <si>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</si>
  <si>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</si>
  <si>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</si>
  <si>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</si>
  <si>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</si>
  <si>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</si>
  <si>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</si>
  <si>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</si>
  <si>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</si>
  <si>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</si>
  <si>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</si>
  <si>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</si>
  <si>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</si>
  <si>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</si>
  <si>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</si>
  <si>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</si>
  <si>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</si>
  <si>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</si>
  <si>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</si>
  <si>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</si>
  <si>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</si>
  <si>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</si>
  <si>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</si>
  <si>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</si>
  <si>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</si>
  <si>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</si>
  <si>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</si>
  <si>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</si>
  <si>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</si>
  <si>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</si>
  <si>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</si>
  <si>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</si>
  <si>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</si>
  <si>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</si>
  <si>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</si>
  <si>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</si>
  <si>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</si>
  <si>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</si>
  <si>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</si>
  <si>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</si>
  <si>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</si>
  <si>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</si>
  <si>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</si>
  <si>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</si>
  <si>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</si>
  <si>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</si>
  <si>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</si>
  <si>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</si>
  <si>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</si>
  <si>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</si>
  <si>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</si>
  <si>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</si>
  <si>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</si>
  <si>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</si>
  <si>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</si>
  <si>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</si>
  <si>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</si>
  <si>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</si>
  <si>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</si>
  <si>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</si>
  <si>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</si>
  <si>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</si>
  <si>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</si>
  <si>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</si>
  <si>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</si>
  <si>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</si>
  <si>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</si>
  <si>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</si>
  <si>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</si>
  <si>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</si>
  <si>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</si>
  <si>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</si>
  <si>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</si>
  <si>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</si>
  <si>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</si>
  <si>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</si>
  <si>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</si>
  <si>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</si>
  <si>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</si>
  <si>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</si>
  <si>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</si>
  <si>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</si>
  <si>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</si>
  <si>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</si>
  <si>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</si>
  <si>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</si>
  <si>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</si>
  <si>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</si>
  <si>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</si>
  <si>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</si>
  <si>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</si>
  <si>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</si>
  <si>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</si>
  <si>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</si>
  <si>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</si>
  <si>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</si>
  <si>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</si>
  <si>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</si>
  <si>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</si>
  <si>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</si>
  <si>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</si>
  <si>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</si>
  <si>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</si>
  <si>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</si>
  <si>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</si>
  <si>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</si>
  <si>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</si>
  <si>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</si>
  <si>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</si>
  <si>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</si>
  <si>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</si>
  <si>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</si>
  <si>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</si>
  <si>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</si>
  <si>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</si>
  <si>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</si>
  <si>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</si>
  <si>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</si>
  <si>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</si>
  <si>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</si>
  <si>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</si>
  <si>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</si>
  <si>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</si>
  <si>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</si>
  <si>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</si>
  <si>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</si>
  <si>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</si>
  <si>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</si>
  <si>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</si>
  <si>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</si>
  <si>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</si>
  <si>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</si>
  <si>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</si>
  <si>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</si>
  <si>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</si>
  <si>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</si>
  <si>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</si>
  <si>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</si>
  <si>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</si>
  <si>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</si>
  <si>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</si>
  <si>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</si>
  <si>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</si>
  <si>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</si>
  <si>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</si>
  <si>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</si>
  <si>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</si>
  <si>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</si>
  <si>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</si>
  <si>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</si>
  <si>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</si>
  <si>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</si>
  <si>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</si>
  <si>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</si>
  <si>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</si>
  <si>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</si>
  <si>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</si>
  <si>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</si>
  <si>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</si>
  <si>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</si>
  <si>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</si>
  <si>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</si>
  <si>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</si>
  <si>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</si>
  <si>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</si>
  <si>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</si>
  <si>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</si>
  <si>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</si>
  <si>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</si>
  <si>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</si>
  <si>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</si>
  <si>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</si>
  <si>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</si>
  <si>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</si>
  <si>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</si>
  <si>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</si>
  <si>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</si>
  <si>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</si>
  <si>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</si>
  <si>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</si>
  <si>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</si>
  <si>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</si>
  <si>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</si>
  <si>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</si>
  <si>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</si>
  <si>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</si>
  <si>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</si>
  <si>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</si>
  <si>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</si>
  <si>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</si>
  <si>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</si>
  <si>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</si>
  <si>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</si>
  <si>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</si>
  <si>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</si>
  <si>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</si>
  <si>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</si>
  <si>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</si>
  <si>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</si>
  <si>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</si>
  <si>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</si>
  <si>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</si>
  <si>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</si>
  <si>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</si>
  <si>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</si>
  <si>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</si>
  <si>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</si>
  <si>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</si>
  <si>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</si>
  <si>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</si>
  <si>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</si>
  <si>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</si>
  <si>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</si>
  <si>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</si>
  <si>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</si>
  <si>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</si>
  <si>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</si>
  <si>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</si>
  <si>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</si>
  <si>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</si>
  <si>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</si>
  <si>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</si>
  <si>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</si>
  <si>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</si>
  <si>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</si>
  <si>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</si>
  <si>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</si>
  <si>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</si>
  <si>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</si>
  <si>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</si>
  <si>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</si>
  <si>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</si>
  <si>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</si>
  <si>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</si>
  <si>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</si>
  <si>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</si>
  <si>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</si>
  <si>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</si>
  <si>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</si>
  <si>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</si>
  <si>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</si>
  <si>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</si>
  <si>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</si>
  <si>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</si>
  <si>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</si>
  <si>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</si>
  <si>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</si>
  <si>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</si>
  <si>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</si>
  <si>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</si>
  <si>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</si>
  <si>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</si>
  <si>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</si>
  <si>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</si>
  <si>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</si>
  <si>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</si>
  <si>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</si>
  <si>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</si>
  <si>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</si>
  <si>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</si>
  <si>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</si>
  <si>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</si>
  <si>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</si>
  <si>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</si>
  <si>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</si>
  <si>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</si>
  <si>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</si>
  <si>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</si>
  <si>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</si>
  <si>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</si>
  <si>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</si>
  <si>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</si>
  <si>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</si>
  <si>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</si>
  <si>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</si>
  <si>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</si>
  <si>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</si>
  <si>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</si>
  <si>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</si>
  <si>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</si>
  <si>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</si>
  <si>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</si>
  <si>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</si>
  <si>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</si>
  <si>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</si>
  <si>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</si>
  <si>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</si>
  <si>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</si>
  <si>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</si>
  <si>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</si>
  <si>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</si>
  <si>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</si>
  <si>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</si>
  <si>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</si>
  <si>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</si>
  <si>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</si>
  <si>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</si>
  <si>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</si>
  <si>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</si>
  <si>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</si>
  <si>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</si>
  <si>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</si>
  <si>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</si>
  <si>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</si>
  <si>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</si>
  <si>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</si>
  <si>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</si>
  <si>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</si>
  <si>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</si>
  <si>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</si>
  <si>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</si>
  <si>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</si>
  <si>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</si>
  <si>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</si>
  <si>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</si>
  <si>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</si>
  <si>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</si>
  <si>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</si>
  <si>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</si>
  <si>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</si>
  <si>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</si>
  <si>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</si>
  <si>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</si>
  <si>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</si>
  <si>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</si>
  <si>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</si>
  <si>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</si>
  <si>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</si>
  <si>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</si>
  <si>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</si>
  <si>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</si>
  <si>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</si>
  <si>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</si>
  <si>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</si>
  <si>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</si>
  <si>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</si>
  <si>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</si>
  <si>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</si>
  <si>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</si>
  <si>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</si>
  <si>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</si>
  <si>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</si>
  <si>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</si>
  <si>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</si>
  <si>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</si>
  <si>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</si>
  <si>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</si>
  <si>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</si>
  <si>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</si>
  <si>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</si>
  <si>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</si>
  <si>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</si>
  <si>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</si>
  <si>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</si>
  <si>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</si>
  <si>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</si>
  <si>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</si>
  <si>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</si>
  <si>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</si>
  <si>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</si>
  <si>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</si>
  <si>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</si>
  <si>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</si>
  <si>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</si>
  <si>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</si>
  <si>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</si>
  <si>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</si>
  <si>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</si>
  <si>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</si>
  <si>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</si>
  <si>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</si>
  <si>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</si>
  <si>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</si>
  <si>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</si>
  <si>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</si>
  <si>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</si>
  <si>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</si>
  <si>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</si>
  <si>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</si>
  <si>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</si>
  <si>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</si>
  <si>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</si>
  <si>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</si>
  <si>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</si>
  <si>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</si>
  <si>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</si>
  <si>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</si>
  <si>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</si>
  <si>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</si>
  <si>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</si>
  <si>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</si>
  <si>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</si>
  <si>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</si>
  <si>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</si>
  <si>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</si>
  <si>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</si>
  <si>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</si>
  <si>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</si>
  <si>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</si>
  <si>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</si>
  <si>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</si>
  <si>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</si>
  <si>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</si>
  <si>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</si>
  <si>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</si>
  <si>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</si>
  <si>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</si>
  <si>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</si>
  <si>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</si>
  <si>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</si>
  <si>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</si>
  <si>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</si>
  <si>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</si>
  <si>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</si>
  <si>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</si>
  <si>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</si>
  <si>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</si>
  <si>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</si>
  <si>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</si>
  <si>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</si>
  <si>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</si>
  <si>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</si>
  <si>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</si>
  <si>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</si>
  <si>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</si>
  <si>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</si>
  <si>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</si>
  <si>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</si>
  <si>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</si>
  <si>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</si>
  <si>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</si>
  <si>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</si>
  <si>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</si>
  <si>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</si>
  <si>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</si>
  <si>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</si>
  <si>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</si>
  <si>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</si>
  <si>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</si>
  <si>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</si>
  <si>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</si>
  <si>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</si>
  <si>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</si>
  <si>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</si>
  <si>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</si>
  <si>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</si>
  <si>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</si>
  <si>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</si>
  <si>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</si>
  <si>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</si>
  <si>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</si>
  <si>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</si>
  <si>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</si>
  <si>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</si>
  <si>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</si>
  <si>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</si>
  <si>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</si>
  <si>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</si>
  <si>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</si>
  <si>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</si>
  <si>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</si>
  <si>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</si>
  <si>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</si>
  <si>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</si>
  <si>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</si>
  <si>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</si>
  <si>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</si>
  <si>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</si>
  <si>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</si>
  <si>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</si>
  <si>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</si>
  <si>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</si>
  <si>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</si>
  <si>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</si>
  <si>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</si>
  <si>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</si>
  <si>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</si>
  <si>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</si>
  <si>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</si>
  <si>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</si>
  <si>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</si>
  <si>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</si>
  <si>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</si>
  <si>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</si>
  <si>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</si>
  <si>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</si>
  <si>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</si>
  <si>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</si>
  <si>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</si>
  <si>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</si>
  <si>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</si>
  <si>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</si>
  <si>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</si>
  <si>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</si>
  <si>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</si>
  <si>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</si>
  <si>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</si>
  <si>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</si>
  <si>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</si>
  <si>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</si>
  <si>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</si>
  <si>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</si>
  <si>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</si>
  <si>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</si>
  <si>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</si>
  <si>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</si>
  <si>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</si>
  <si>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</si>
  <si>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</si>
  <si>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</si>
  <si>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</si>
  <si>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</si>
  <si>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</si>
  <si>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</si>
  <si>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</si>
  <si>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</si>
  <si>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</si>
  <si>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</si>
  <si>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</si>
  <si>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</si>
  <si>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</si>
  <si>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</si>
  <si>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</si>
  <si>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</si>
  <si>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</si>
  <si>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</si>
  <si>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</si>
  <si>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</si>
  <si>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</si>
  <si>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</si>
  <si>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</si>
  <si>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</si>
  <si>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</si>
  <si>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</si>
  <si>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</si>
  <si>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</si>
  <si>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</si>
  <si>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</si>
  <si>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</si>
  <si>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</si>
  <si>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</si>
  <si>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</si>
  <si>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</si>
  <si>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</si>
  <si>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</si>
  <si>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</si>
  <si>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</si>
  <si>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</si>
  <si>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</si>
  <si>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</si>
  <si>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</si>
  <si>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</si>
  <si>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</si>
  <si>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</si>
  <si>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</si>
  <si>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</si>
  <si>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</si>
  <si>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</si>
  <si>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</si>
  <si>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</si>
  <si>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</si>
  <si>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</si>
  <si>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</si>
  <si>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</si>
  <si>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</si>
  <si>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</si>
  <si>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</si>
  <si>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</si>
  <si>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</si>
  <si>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</si>
  <si>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</si>
  <si>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</si>
  <si>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</si>
  <si>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</si>
  <si>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</si>
  <si>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</si>
  <si>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</si>
  <si>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</si>
  <si>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</si>
  <si>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</si>
  <si>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</si>
  <si>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</si>
  <si>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</si>
  <si>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</si>
  <si>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</si>
  <si>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</si>
  <si>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</si>
  <si>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</si>
  <si>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</si>
  <si>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</si>
  <si>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</si>
  <si>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</si>
  <si>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</si>
  <si>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</si>
  <si>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</si>
  <si>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</si>
  <si>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</si>
  <si>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</si>
  <si>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</si>
  <si>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</si>
  <si>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</si>
  <si>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</si>
  <si>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</si>
  <si>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</si>
  <si>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</si>
  <si>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</si>
  <si>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</si>
  <si>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</si>
  <si>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</si>
  <si>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</si>
  <si>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</si>
  <si>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</si>
  <si>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</si>
  <si>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</si>
  <si>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</si>
  <si>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</si>
  <si>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</si>
  <si>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</si>
  <si>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</si>
  <si>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</si>
  <si>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</si>
  <si>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</si>
  <si>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</si>
  <si>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</si>
  <si>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</si>
  <si>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</si>
  <si>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</si>
  <si>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</si>
  <si>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</si>
  <si>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</si>
  <si>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</si>
  <si>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</si>
  <si>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</si>
  <si>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</si>
  <si>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</si>
  <si>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</si>
  <si>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</si>
  <si>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</si>
  <si>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</si>
  <si>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</si>
  <si>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</si>
  <si>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</si>
  <si>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</si>
  <si>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</si>
  <si>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</si>
  <si>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</si>
  <si>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</si>
  <si>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</si>
  <si>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</si>
  <si>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</si>
  <si>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</si>
  <si>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</si>
  <si>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</si>
  <si>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</si>
  <si>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</si>
  <si>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</si>
  <si>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</si>
  <si>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</si>
  <si>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</si>
  <si>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</si>
  <si>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</si>
  <si>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</si>
  <si>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</si>
  <si>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</si>
  <si>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</si>
  <si>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</si>
  <si>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</si>
  <si>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</si>
  <si>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</si>
  <si>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</si>
  <si>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</si>
  <si>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</si>
  <si>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</si>
  <si>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</si>
  <si>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</si>
  <si>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</si>
  <si>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</si>
  <si>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</si>
  <si>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</si>
  <si>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</si>
  <si>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</si>
  <si>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</si>
  <si>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</si>
  <si>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</si>
  <si>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</si>
  <si>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</si>
  <si>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</si>
  <si>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</si>
  <si>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</si>
  <si>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</si>
  <si>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</si>
  <si>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</si>
  <si>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</si>
  <si>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</si>
  <si>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</si>
  <si>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</si>
  <si>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</si>
  <si>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</si>
  <si>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</si>
  <si>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</si>
  <si>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</si>
  <si>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</si>
  <si>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</si>
  <si>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</si>
  <si>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</si>
  <si>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</si>
  <si>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</si>
  <si>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</si>
  <si>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</si>
  <si>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</si>
  <si>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</si>
  <si>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</si>
  <si>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</si>
  <si>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</si>
  <si>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</si>
  <si>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</si>
  <si>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</si>
  <si>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</si>
  <si>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</si>
  <si>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</si>
  <si>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</si>
  <si>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</si>
  <si>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</si>
  <si>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</si>
  <si>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</si>
  <si>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</si>
  <si>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</si>
  <si>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</si>
  <si>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</si>
  <si>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</si>
  <si>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</si>
  <si>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</si>
  <si>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</si>
  <si>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</si>
  <si>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</si>
  <si>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</si>
  <si>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</si>
  <si>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</si>
  <si>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</si>
  <si>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</si>
  <si>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</si>
  <si>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</si>
  <si>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</si>
  <si>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</si>
  <si>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</si>
  <si>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</si>
  <si>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</si>
  <si>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</si>
  <si>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</si>
  <si>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</si>
  <si>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</si>
  <si>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</si>
  <si>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</si>
  <si>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</si>
  <si>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</si>
  <si>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</si>
  <si>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</si>
  <si>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</si>
  <si>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</si>
  <si>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</si>
  <si>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</si>
  <si>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</si>
  <si>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</si>
  <si>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</si>
  <si>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</si>
  <si>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</si>
  <si>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</si>
  <si>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</si>
  <si>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</si>
  <si>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</si>
  <si>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</si>
  <si>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</si>
  <si>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</si>
  <si>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</si>
  <si>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</si>
  <si>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</si>
  <si>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</si>
  <si>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</si>
  <si>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</si>
  <si>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</si>
  <si>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</si>
  <si>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</si>
  <si>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</si>
  <si>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</si>
  <si>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</si>
  <si>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</si>
  <si>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</si>
  <si>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</si>
  <si>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</si>
  <si>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</si>
  <si>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</si>
  <si>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</si>
  <si>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</si>
  <si>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</si>
  <si>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</si>
  <si>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</si>
  <si>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</si>
  <si>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</si>
  <si>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</si>
  <si>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</si>
  <si>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</si>
  <si>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</si>
  <si>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</si>
  <si>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</si>
  <si>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</si>
  <si>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</si>
  <si>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</si>
  <si>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</si>
  <si>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</si>
  <si>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</si>
  <si>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</si>
  <si>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</si>
  <si>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</si>
  <si>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</si>
  <si>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</si>
  <si>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</si>
  <si>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</si>
  <si>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</si>
  <si>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</si>
  <si>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</si>
  <si>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</si>
  <si>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</si>
  <si>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</si>
  <si>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</si>
  <si>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</si>
  <si>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</si>
  <si>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</si>
  <si>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</si>
  <si>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</si>
  <si>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</si>
  <si>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</si>
  <si>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</si>
  <si>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</si>
  <si>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</si>
  <si>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</si>
  <si>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</si>
  <si>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</si>
  <si>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</si>
  <si>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</si>
  <si>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</si>
  <si>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</si>
  <si>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</si>
  <si>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</si>
  <si>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</si>
  <si>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</si>
  <si>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</si>
  <si>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</si>
  <si>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</si>
  <si>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</si>
  <si>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</si>
  <si>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</si>
  <si>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</si>
  <si>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</si>
  <si>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</si>
  <si>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</si>
  <si>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</si>
  <si>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</si>
  <si>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</si>
  <si>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</si>
  <si>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</si>
  <si>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</si>
  <si>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</si>
  <si>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</si>
  <si>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</si>
  <si>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</si>
  <si>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</si>
  <si>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</si>
  <si>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</si>
  <si>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</si>
  <si>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</si>
  <si>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</si>
  <si>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</si>
  <si>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</si>
  <si>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</si>
  <si>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</si>
  <si>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</si>
  <si>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</si>
  <si>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</si>
  <si>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</si>
  <si>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</si>
  <si>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</si>
  <si>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</si>
  <si>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</si>
  <si>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</si>
  <si>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</si>
  <si>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</si>
  <si>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</si>
  <si>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</si>
  <si>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</si>
  <si>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</si>
  <si>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</si>
  <si>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</si>
  <si>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</si>
  <si>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</si>
  <si>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</si>
  <si>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</si>
  <si>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</si>
  <si>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</si>
  <si>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</si>
  <si>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</si>
  <si>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</si>
  <si>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</si>
  <si>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</si>
  <si>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</si>
  <si>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</si>
  <si>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</si>
  <si>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</si>
  <si>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</si>
  <si>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</si>
  <si>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</si>
  <si>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</si>
  <si>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</si>
  <si>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</si>
  <si>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</si>
  <si>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</si>
  <si>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</si>
  <si>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</si>
  <si>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</si>
  <si>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</si>
  <si>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</si>
  <si>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</si>
  <si>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</si>
  <si>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</si>
  <si>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</si>
  <si>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</si>
  <si>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</si>
  <si>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</si>
  <si>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</si>
  <si>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</si>
  <si>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</si>
  <si>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</si>
  <si>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</si>
  <si>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</si>
  <si>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</si>
  <si>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</si>
  <si>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</si>
  <si>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</si>
  <si>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</si>
  <si>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</si>
  <si>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</si>
  <si>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</si>
  <si>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</si>
  <si>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</si>
  <si>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</si>
  <si>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</si>
  <si>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</si>
  <si>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</si>
  <si>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</si>
  <si>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</si>
  <si>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</si>
  <si>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</si>
  <si>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</si>
  <si>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</si>
  <si>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</si>
  <si>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</si>
  <si>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</si>
  <si>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</si>
  <si>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</si>
  <si>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</si>
  <si>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</si>
  <si>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</si>
  <si>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</si>
  <si>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</si>
  <si>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</si>
  <si>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</si>
  <si>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</si>
  <si>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</si>
  <si>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</si>
  <si>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</si>
  <si>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</si>
  <si>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</si>
  <si>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</si>
  <si>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</si>
  <si>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</si>
  <si>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</si>
  <si>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</si>
  <si>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</si>
  <si>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</si>
  <si>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</si>
  <si>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</si>
  <si>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</si>
  <si>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</si>
  <si>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</si>
  <si>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</si>
  <si>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</si>
  <si>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</si>
  <si>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</si>
  <si>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</si>
  <si>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</si>
  <si>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</si>
  <si>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</si>
  <si>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</si>
  <si>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</si>
  <si>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</si>
  <si>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</si>
  <si>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</si>
  <si>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</si>
  <si>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</si>
  <si>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</si>
  <si>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</si>
  <si>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</si>
  <si>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</si>
  <si>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</si>
  <si>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</si>
  <si>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</si>
  <si>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</si>
  <si>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</si>
  <si>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</si>
  <si>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</si>
  <si>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</si>
  <si>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</si>
  <si>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</si>
  <si>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</si>
  <si>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</si>
  <si>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</si>
  <si>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</si>
  <si>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</si>
  <si>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</si>
  <si>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</si>
  <si>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</si>
  <si>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</si>
  <si>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</si>
  <si>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</si>
  <si>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</si>
  <si>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</si>
  <si>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</si>
  <si>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</si>
  <si>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</si>
  <si>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</si>
  <si>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</si>
  <si>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</si>
  <si>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</si>
  <si>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</si>
  <si>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</si>
  <si>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</si>
  <si>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</si>
  <si>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</si>
  <si>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</si>
  <si>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</si>
  <si>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</si>
  <si>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</si>
  <si>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</si>
  <si>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</si>
  <si>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</si>
  <si>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</si>
  <si>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</si>
  <si>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</si>
  <si>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</si>
  <si>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</si>
  <si>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</si>
  <si>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</si>
  <si>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</si>
  <si>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</si>
  <si>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</si>
  <si>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</si>
  <si>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</si>
  <si>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</si>
  <si>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</si>
  <si>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</si>
  <si>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</si>
  <si>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</si>
  <si>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</si>
  <si>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</si>
  <si>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</si>
  <si>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</si>
  <si>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</si>
  <si>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</si>
  <si>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</si>
  <si>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</si>
  <si>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</si>
  <si>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</si>
  <si>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</si>
  <si>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</si>
  <si>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</si>
  <si>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</si>
  <si>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</si>
  <si>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</si>
  <si>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</si>
  <si>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</si>
  <si>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</si>
  <si>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</si>
  <si>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</si>
  <si>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</si>
  <si>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</si>
  <si>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</si>
  <si>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</si>
  <si>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</si>
  <si>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</si>
  <si>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</si>
  <si>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</si>
  <si>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</si>
  <si>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</si>
  <si>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</si>
  <si>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</si>
  <si>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</si>
  <si>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</si>
  <si>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</si>
  <si>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</si>
  <si>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</si>
  <si>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</si>
  <si>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</si>
  <si>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</si>
  <si>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</si>
  <si>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</si>
  <si>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</si>
  <si>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</si>
  <si>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</si>
  <si>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</si>
  <si>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</si>
  <si>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</si>
  <si>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</si>
  <si>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</si>
  <si>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</si>
  <si>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</si>
  <si>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</si>
  <si>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</si>
  <si>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</si>
  <si>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</si>
  <si>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</si>
  <si>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</si>
  <si>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</si>
  <si>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</si>
  <si>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</si>
  <si>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</si>
  <si>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</si>
  <si>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</si>
  <si>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</si>
  <si>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</si>
  <si>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</si>
  <si>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</si>
  <si>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</si>
  <si>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</si>
  <si>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</si>
  <si>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</si>
  <si>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</si>
  <si>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</si>
  <si>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</si>
  <si>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</si>
  <si>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</si>
  <si>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</si>
  <si>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</si>
  <si>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</si>
  <si>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</si>
  <si>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</si>
  <si>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</si>
  <si>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</si>
  <si>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</si>
  <si>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</si>
  <si>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</si>
  <si>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</si>
  <si>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</si>
  <si>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</si>
  <si>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</si>
  <si>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</si>
  <si>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</si>
  <si>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</si>
  <si>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</si>
  <si>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</si>
  <si>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</si>
  <si>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</si>
  <si>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</si>
  <si>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</si>
  <si>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</si>
  <si>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</si>
  <si>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</si>
  <si>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</si>
  <si>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</si>
  <si>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</si>
  <si>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</si>
  <si>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</si>
  <si>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</si>
  <si>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</si>
  <si>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</si>
  <si>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</si>
  <si>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</si>
  <si>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</si>
  <si>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</si>
  <si>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</si>
  <si>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</si>
  <si>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</si>
  <si>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</si>
  <si>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</si>
  <si>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</si>
  <si>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</si>
  <si>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</si>
  <si>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</si>
  <si>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</si>
  <si>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</si>
  <si>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</si>
  <si>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</si>
  <si>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</si>
  <si>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</si>
  <si>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</si>
  <si>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</si>
  <si>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</si>
  <si>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</si>
  <si>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</si>
  <si>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</si>
  <si>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</si>
  <si>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</si>
  <si>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</si>
  <si>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</si>
  <si>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</si>
  <si>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</si>
  <si>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</si>
  <si>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</si>
  <si>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</si>
  <si>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</si>
  <si>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</si>
  <si>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</si>
  <si>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</si>
  <si>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</si>
  <si>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</si>
  <si>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</si>
  <si>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</si>
  <si>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</si>
  <si>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</si>
  <si>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</si>
  <si>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</si>
  <si>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</si>
  <si>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</si>
  <si>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</si>
  <si>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</si>
  <si>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</si>
  <si>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</si>
  <si>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</si>
  <si>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</si>
  <si>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</si>
  <si>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</si>
  <si>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</si>
  <si>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</si>
  <si>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</si>
  <si>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</si>
  <si>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</si>
  <si>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</si>
  <si>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</si>
  <si>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</si>
  <si>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</si>
  <si>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</si>
  <si>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</si>
  <si>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</si>
  <si>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</si>
  <si>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</si>
  <si>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</si>
  <si>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</si>
  <si>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</si>
  <si>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</si>
  <si>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</si>
  <si>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</si>
  <si>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</si>
  <si>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</si>
  <si>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</si>
  <si>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</si>
  <si>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</si>
  <si>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</si>
  <si>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</si>
  <si>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</si>
  <si>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</si>
  <si>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</si>
  <si>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</si>
  <si>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</si>
  <si>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</si>
  <si>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</si>
  <si>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</si>
  <si>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</si>
  <si>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</si>
  <si>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</si>
  <si>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</si>
  <si>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</si>
  <si>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</si>
  <si>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</si>
  <si>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</si>
  <si>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</si>
  <si>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</si>
  <si>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</si>
  <si>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</si>
  <si>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</si>
  <si>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</si>
  <si>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</si>
  <si>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</si>
  <si>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</si>
  <si>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</si>
  <si>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</si>
  <si>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</si>
  <si>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</si>
  <si>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</si>
  <si>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</si>
  <si>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</si>
  <si>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</si>
  <si>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</si>
  <si>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</si>
  <si>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</si>
  <si>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</si>
  <si>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</si>
  <si>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</si>
  <si>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</si>
  <si>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</si>
  <si>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</si>
  <si>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</si>
  <si>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</si>
  <si>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</si>
  <si>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</si>
  <si>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</si>
  <si>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</si>
  <si>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</si>
  <si>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</si>
  <si>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</si>
  <si>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</si>
  <si>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</si>
  <si>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</si>
  <si>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</si>
  <si>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</si>
  <si>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</si>
  <si>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</si>
  <si>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</si>
  <si>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</si>
  <si>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</si>
  <si>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</si>
  <si>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</si>
  <si>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</si>
  <si>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</si>
  <si>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</si>
  <si>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</si>
  <si>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</si>
  <si>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</si>
  <si>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</si>
  <si>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</si>
  <si>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</si>
  <si>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</si>
  <si>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</si>
  <si>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</si>
  <si>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</si>
  <si>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</si>
  <si>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</si>
  <si>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</si>
  <si>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</si>
  <si>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</si>
  <si>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</si>
  <si>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</si>
  <si>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</si>
  <si>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</si>
  <si>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</si>
  <si>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</si>
  <si>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</si>
  <si>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</si>
  <si>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</si>
  <si>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</si>
  <si>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</si>
  <si>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</si>
  <si>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</si>
  <si>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</si>
  <si>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</si>
  <si>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</si>
  <si>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</si>
  <si>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</si>
  <si>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</si>
  <si>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</si>
  <si>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</si>
  <si>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</si>
  <si>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</si>
  <si>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</si>
  <si>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</si>
  <si>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</si>
  <si>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</si>
  <si>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</si>
  <si>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</si>
  <si>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</si>
  <si>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</si>
  <si>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</si>
  <si>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</si>
  <si>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</si>
  <si>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</si>
  <si>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</si>
  <si>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</si>
  <si>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</si>
  <si>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</si>
  <si>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</si>
  <si>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</si>
  <si>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</si>
  <si>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</si>
  <si>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</si>
  <si>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</si>
  <si>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</si>
  <si>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</si>
  <si>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</si>
  <si>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</si>
  <si>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</si>
  <si>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</si>
  <si>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</si>
  <si>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</si>
  <si>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</si>
  <si>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</si>
  <si>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</si>
  <si>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</si>
  <si>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</si>
  <si>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</si>
  <si>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</si>
  <si>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</si>
  <si>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</si>
  <si>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</si>
  <si>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</si>
  <si>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</si>
  <si>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</si>
  <si>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</si>
  <si>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</si>
  <si>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</si>
  <si>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</si>
  <si>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</si>
  <si>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</si>
  <si>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</si>
  <si>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</si>
  <si>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</si>
  <si>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</si>
  <si>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</si>
  <si>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</si>
  <si>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</si>
  <si>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</si>
  <si>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</si>
  <si>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</si>
  <si>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</si>
  <si>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</si>
  <si>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</si>
  <si>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</si>
  <si>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</si>
  <si>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</si>
  <si>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</si>
  <si>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</si>
  <si>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</si>
  <si>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</si>
  <si>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</si>
  <si>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</si>
  <si>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</si>
  <si>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</si>
  <si>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</si>
  <si>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</si>
  <si>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</si>
  <si>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</si>
  <si>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</si>
  <si>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</si>
  <si>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</si>
  <si>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</si>
  <si>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</si>
  <si>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</si>
  <si>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</si>
  <si>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</si>
  <si>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</si>
  <si>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</si>
  <si>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</si>
  <si>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</si>
  <si>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</si>
  <si>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</si>
  <si>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</si>
  <si>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</si>
  <si>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</si>
  <si>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</si>
  <si>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</si>
  <si>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</si>
  <si>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</si>
  <si>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</si>
  <si>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</si>
  <si>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</si>
  <si>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</si>
  <si>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</si>
  <si>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</si>
  <si>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</si>
  <si>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</si>
  <si>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</si>
  <si>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</si>
  <si>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</si>
  <si>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</si>
  <si>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</si>
  <si>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</si>
  <si>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</si>
  <si>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</si>
  <si>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</si>
  <si>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</si>
  <si>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</si>
  <si>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</si>
  <si>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</si>
  <si>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</si>
  <si>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</si>
  <si>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</si>
  <si>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</si>
  <si>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</si>
  <si>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</si>
  <si>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</si>
  <si>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</si>
  <si>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</si>
  <si>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</si>
  <si>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</si>
  <si>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</si>
  <si>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</si>
  <si>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</si>
  <si>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</si>
  <si>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</si>
  <si>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</si>
  <si>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</si>
  <si>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</si>
  <si>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</si>
  <si>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</si>
  <si>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</si>
  <si>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</si>
  <si>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</si>
  <si>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</si>
  <si>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</si>
  <si>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</si>
  <si>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</si>
  <si>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</si>
  <si>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</si>
  <si>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</si>
  <si>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</si>
  <si>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</si>
  <si>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</si>
  <si>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</si>
  <si>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</si>
  <si>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</si>
  <si>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</si>
  <si>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</si>
  <si>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</si>
  <si>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</si>
  <si>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</si>
  <si>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</si>
  <si>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</si>
  <si>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</si>
  <si>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</si>
  <si>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</si>
  <si>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</si>
  <si>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</si>
  <si>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</si>
  <si>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</si>
  <si>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</si>
  <si>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</si>
  <si>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</si>
  <si>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</si>
  <si>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</si>
  <si>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</si>
  <si>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</si>
  <si>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</si>
  <si>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</si>
  <si>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</si>
  <si>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</si>
  <si>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</si>
  <si>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</si>
  <si>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</si>
  <si>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</si>
  <si>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</si>
  <si>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</si>
  <si>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</si>
  <si>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</si>
  <si>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</si>
  <si>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</si>
  <si>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</si>
  <si>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</si>
  <si>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</si>
  <si>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</si>
  <si>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</si>
  <si>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</si>
  <si>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</si>
  <si>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</si>
  <si>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</si>
  <si>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</si>
  <si>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</si>
  <si>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</si>
  <si>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</si>
  <si>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</si>
  <si>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</si>
  <si>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</si>
  <si>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</si>
  <si>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</si>
  <si>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</si>
  <si>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</si>
  <si>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</si>
  <si>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</si>
  <si>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</si>
  <si>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</si>
  <si>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</si>
  <si>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</si>
  <si>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</si>
  <si>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</si>
  <si>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</si>
  <si>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</si>
  <si>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</si>
  <si>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</si>
  <si>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</si>
  <si>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</si>
  <si>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</si>
  <si>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</si>
  <si>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</si>
  <si>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</si>
  <si>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</si>
  <si>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</si>
  <si>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</si>
  <si>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</si>
  <si>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</si>
  <si>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</si>
  <si>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</si>
  <si>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</si>
  <si>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</si>
  <si>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</si>
  <si>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</si>
  <si>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</si>
  <si>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</si>
  <si>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</si>
  <si>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</si>
  <si>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</si>
  <si>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</si>
  <si>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</si>
  <si>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</si>
  <si>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</si>
  <si>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</si>
  <si>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</si>
  <si>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</si>
  <si>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</si>
  <si>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</si>
  <si>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</si>
  <si>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</si>
  <si>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</si>
  <si>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</si>
  <si>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</si>
  <si>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</si>
  <si>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</si>
  <si>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</si>
  <si>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</si>
  <si>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</si>
  <si>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</si>
  <si>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</si>
  <si>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</si>
  <si>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</si>
  <si>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</si>
  <si>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</si>
  <si>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</si>
  <si>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</si>
  <si>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</si>
  <si>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</si>
  <si>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</si>
  <si>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</si>
  <si>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</si>
  <si>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</si>
  <si>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</si>
  <si>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</si>
  <si>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</si>
  <si>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</si>
  <si>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</si>
  <si>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</si>
  <si>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</si>
  <si>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</si>
  <si>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</si>
  <si>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</si>
  <si>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</si>
  <si>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</si>
  <si>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</si>
  <si>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</si>
  <si>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</si>
  <si>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</si>
  <si>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</si>
  <si>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</si>
  <si>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</si>
  <si>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</si>
  <si>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</si>
  <si>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</si>
  <si>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</si>
  <si>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</si>
  <si>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</si>
  <si>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</si>
  <si>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</si>
  <si>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</si>
  <si>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</si>
  <si>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</si>
  <si>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</si>
  <si>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</si>
  <si>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</si>
  <si>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</si>
  <si>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</si>
  <si>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</si>
  <si>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</si>
  <si>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</si>
  <si>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</si>
  <si>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</si>
  <si>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</si>
  <si>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</si>
  <si>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</si>
  <si>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</si>
  <si>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</si>
  <si>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</si>
  <si>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</si>
  <si>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</si>
  <si>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</si>
  <si>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</si>
  <si>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</si>
  <si>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</si>
  <si>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</si>
  <si>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</si>
  <si>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</si>
  <si>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</si>
  <si>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</si>
  <si>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</si>
  <si>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</si>
  <si>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</si>
  <si>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</si>
  <si>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</si>
  <si>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</si>
  <si>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</si>
  <si>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</si>
  <si>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</si>
  <si>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</si>
  <si>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</si>
  <si>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</si>
  <si>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</si>
  <si>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</si>
  <si>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</si>
  <si>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</si>
  <si>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</si>
  <si>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</si>
  <si>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</si>
  <si>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</si>
  <si>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</si>
  <si>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</si>
  <si>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</si>
  <si>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</si>
  <si>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</si>
  <si>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</si>
  <si>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</si>
  <si>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</si>
  <si>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</si>
  <si>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</si>
  <si>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</si>
  <si>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</si>
  <si>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</si>
  <si>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</si>
  <si>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</si>
  <si>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</si>
  <si>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</si>
  <si>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</si>
  <si>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</si>
  <si>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</si>
  <si>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</si>
  <si>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</si>
  <si>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</si>
  <si>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</si>
  <si>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</si>
  <si>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</si>
  <si>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</si>
  <si>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</si>
  <si>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</si>
  <si>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</si>
  <si>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</si>
  <si>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</si>
  <si>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</si>
  <si>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</si>
  <si>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</si>
  <si>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</si>
  <si>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</si>
  <si>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</si>
  <si>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</si>
  <si>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</si>
  <si>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</si>
  <si>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</si>
  <si>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</si>
  <si>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</si>
  <si>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</si>
  <si>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</si>
  <si>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</si>
  <si>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</si>
  <si>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</si>
  <si>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</si>
  <si>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</si>
  <si>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</si>
  <si>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</si>
  <si>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</si>
  <si>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</si>
  <si>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</si>
  <si>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</si>
  <si>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</si>
  <si>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</si>
  <si>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</si>
  <si>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</si>
  <si>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</si>
  <si>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</si>
  <si>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</si>
  <si>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</si>
  <si>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</si>
  <si>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</si>
  <si>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</si>
  <si>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</si>
  <si>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</si>
  <si>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</si>
  <si>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</si>
  <si>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</si>
  <si>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</si>
  <si>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</si>
  <si>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</si>
  <si>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</si>
  <si>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</si>
  <si>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</si>
  <si>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</si>
  <si>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</si>
  <si>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</si>
  <si>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</si>
  <si>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</si>
  <si>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</si>
  <si>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</si>
  <si>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</si>
  <si>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</si>
  <si>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</si>
  <si>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</si>
  <si>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</si>
  <si>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</si>
  <si>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</si>
  <si>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</si>
  <si>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</si>
  <si>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</si>
  <si>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</si>
  <si>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</si>
  <si>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</si>
  <si>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</si>
  <si>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</si>
  <si>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</si>
  <si>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</si>
  <si>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</si>
  <si>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</si>
  <si>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</si>
  <si>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</si>
  <si>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</si>
  <si>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</si>
  <si>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</si>
  <si>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</si>
  <si>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</si>
  <si>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</si>
  <si>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</si>
  <si>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</si>
  <si>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</si>
  <si>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</si>
  <si>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</si>
  <si>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</si>
  <si>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</si>
  <si>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</si>
  <si>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</si>
  <si>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</si>
  <si>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</si>
  <si>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</si>
  <si>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</si>
  <si>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</si>
  <si>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</si>
  <si>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</si>
  <si>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</si>
  <si>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</si>
  <si>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</si>
  <si>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</si>
  <si>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</si>
  <si>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</si>
  <si>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</si>
  <si>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</si>
  <si>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</si>
  <si>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</si>
  <si>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</si>
  <si>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</si>
  <si>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</si>
  <si>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</si>
  <si>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</si>
  <si>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</si>
  <si>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</si>
  <si>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</si>
  <si>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</si>
  <si>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</si>
  <si>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</si>
  <si>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</si>
  <si>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</si>
  <si>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</si>
  <si>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</si>
  <si>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</si>
  <si>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</si>
  <si>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</si>
  <si>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</si>
  <si>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</si>
  <si>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</si>
  <si>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</si>
  <si>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</si>
  <si>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</si>
  <si>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</si>
  <si>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</si>
  <si>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</si>
  <si>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</si>
  <si>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</si>
  <si>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</si>
  <si>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</si>
  <si>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</si>
  <si>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</si>
  <si>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</si>
  <si>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</si>
  <si>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</si>
  <si>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</si>
  <si>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</si>
  <si>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</si>
  <si>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</si>
  <si>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</si>
  <si>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</si>
  <si>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</si>
  <si>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</si>
  <si>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</si>
  <si>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</si>
  <si>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</si>
  <si>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</si>
  <si>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</si>
  <si>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</si>
  <si>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</si>
  <si>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</si>
  <si>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</si>
  <si>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</si>
  <si>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</si>
  <si>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</si>
  <si>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</si>
  <si>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</si>
  <si>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</si>
  <si>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</si>
  <si>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</si>
  <si>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</si>
  <si>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</si>
  <si>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</si>
  <si>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</si>
  <si>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</si>
  <si>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</si>
  <si>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</si>
  <si>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</si>
  <si>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</si>
  <si>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</si>
  <si>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</si>
  <si>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</si>
  <si>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</si>
  <si>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</si>
  <si>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</si>
  <si>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</si>
  <si>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</si>
  <si>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</si>
  <si>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</si>
  <si>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</si>
  <si>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</si>
  <si>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</si>
  <si>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</si>
  <si>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</si>
  <si>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</si>
  <si>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</si>
  <si>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</si>
  <si>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</si>
  <si>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</si>
  <si>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</si>
  <si>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</si>
  <si>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</si>
  <si>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</si>
  <si>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</si>
  <si>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</si>
  <si>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</si>
  <si>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</si>
  <si>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</si>
  <si>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</si>
  <si>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</si>
  <si>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</si>
  <si>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</si>
  <si>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</si>
  <si>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</si>
  <si>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</si>
  <si>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</si>
  <si>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</si>
  <si>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</si>
  <si>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</si>
  <si>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</si>
  <si>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</si>
  <si>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</si>
  <si>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</si>
  <si>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</si>
  <si>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</si>
  <si>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</si>
  <si>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</si>
  <si>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</si>
  <si>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</si>
  <si>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</si>
  <si>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</si>
  <si>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</si>
  <si>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</si>
  <si>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</si>
  <si>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</si>
  <si>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</si>
  <si>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</si>
  <si>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</si>
  <si>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</si>
  <si>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</si>
  <si>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</si>
  <si>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</si>
  <si>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</si>
  <si>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</si>
  <si>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</si>
  <si>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</si>
  <si>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</si>
  <si>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</si>
  <si>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</si>
  <si>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</si>
  <si>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</si>
  <si>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</si>
  <si>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</si>
  <si>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</si>
  <si>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</si>
  <si>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</si>
  <si>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</si>
  <si>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</si>
  <si>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</si>
  <si>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</si>
  <si>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</si>
  <si>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</si>
  <si>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</si>
  <si>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</si>
  <si>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</si>
  <si>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</si>
  <si>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</si>
  <si>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</si>
  <si>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</si>
  <si>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</si>
  <si>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</si>
  <si>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</si>
  <si>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</si>
  <si>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</si>
  <si>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</si>
  <si>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</si>
  <si>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</si>
  <si>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</si>
  <si>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</si>
  <si>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</si>
  <si>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</si>
  <si>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</si>
  <si>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</si>
  <si>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</si>
  <si>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</si>
  <si>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</si>
  <si>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</si>
  <si>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</si>
  <si>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</si>
  <si>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</si>
  <si>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</si>
  <si>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</si>
  <si>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</si>
  <si>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</si>
  <si>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</si>
  <si>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</si>
  <si>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</si>
  <si>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</si>
  <si>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</si>
  <si>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</si>
  <si>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</si>
  <si>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</si>
  <si>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</si>
  <si>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</si>
  <si>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</si>
  <si>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</si>
  <si>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</si>
  <si>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</si>
  <si>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</si>
  <si>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</si>
  <si>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</si>
  <si>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</si>
  <si>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</si>
  <si>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</si>
  <si>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</si>
  <si>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</si>
  <si>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</si>
  <si>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</si>
  <si>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</si>
  <si>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RUSSELL LEIGH &amp; ASSOCIATES</t>
  </si>
  <si>
    <t>RUSS LEIGH</t>
  </si>
  <si>
    <t>228 E MAIN ST</t>
  </si>
  <si>
    <t>HOOPESTON</t>
  </si>
  <si>
    <t>IL</t>
  </si>
  <si>
    <t>217.283.9336</t>
  </si>
  <si>
    <t>217.283.9736</t>
  </si>
  <si>
    <t>065.018319</t>
  </si>
  <si>
    <t>admin@russleigh.com</t>
  </si>
  <si>
    <t>Russell Leigh &amp; Associates</t>
  </si>
  <si>
    <t>VERMILION</t>
  </si>
  <si>
    <t>12190 US ROUTE 150</t>
  </si>
  <si>
    <t>Gary Lewis</t>
  </si>
  <si>
    <t>lewisg@oakwood76.org</t>
  </si>
  <si>
    <t>217.446.6081</t>
  </si>
  <si>
    <t>217.446.6218</t>
  </si>
  <si>
    <t>2011 BOND</t>
  </si>
  <si>
    <t>1,3</t>
  </si>
  <si>
    <t>1,3,4</t>
  </si>
  <si>
    <t>2012 BOND</t>
  </si>
  <si>
    <t>2013 BOND</t>
  </si>
  <si>
    <t>Vermilion Association for Special Education</t>
  </si>
  <si>
    <t>Vermilion Vocational Education Deleivery System</t>
  </si>
  <si>
    <t>No Applicable Contracts</t>
  </si>
  <si>
    <t>Page 2 - Auditor's Questionnaire</t>
  </si>
  <si>
    <t>Part C - Other Issues</t>
  </si>
  <si>
    <t>Box 20 - Findings, other than those listed in Part A.</t>
  </si>
  <si>
    <t>-Over budget in the Education Fund, Operations &amp; Maintenance, Municipal Retirement Fund and Fire Prevention &amp; Safety Fund.</t>
  </si>
  <si>
    <t>-Cash was not reconciled on a monthly basis.</t>
  </si>
  <si>
    <t>Page 11 - Acct 1999 - Other Local Revenue</t>
  </si>
  <si>
    <t>Col 10 - Educational</t>
  </si>
  <si>
    <t>Refunds &amp; reimbursements $6,057</t>
  </si>
  <si>
    <t>Col 20 - Operations &amp; Maintenance</t>
  </si>
  <si>
    <t>Refunds &amp; reimbursements $8,641</t>
  </si>
  <si>
    <t>Col 40 - Transportation</t>
  </si>
  <si>
    <t>Refunds &amp; reimbursements $3,991</t>
  </si>
  <si>
    <t>Page 12 - Acct 3999 - Other Restricted Revenue from State Sources</t>
  </si>
  <si>
    <t>Acct 3800 - State Library Grant $750</t>
  </si>
  <si>
    <t>Acct 3999 - State Fair Premiums $750</t>
  </si>
  <si>
    <t>Page 18 - Funct #5400 Debt Servcies - Other</t>
  </si>
  <si>
    <t>Bond Fee $1,700</t>
  </si>
  <si>
    <t>Oakwood CUSD 76</t>
  </si>
  <si>
    <t>Oakwood,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</si>
</sst>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5" fillId="0" borderId="0" xfId="0" quotePrefix="1" applyFont="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22" sqref="A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7"/>
      <c r="K5" s="1987"/>
      <c r="L5" s="1987"/>
      <c r="M5" s="1987"/>
      <c r="N5" s="1987"/>
      <c r="O5" s="1987"/>
      <c r="P5" s="1987"/>
      <c r="Q5" s="1987"/>
      <c r="R5" s="1987"/>
      <c r="S5" s="1987"/>
    </row>
    <row r="6" spans="1:28" ht="14.1" customHeight="1" x14ac:dyDescent="0.2">
      <c r="B6" s="104"/>
      <c r="C6" s="26" t="s">
        <v>967</v>
      </c>
      <c r="D6" s="84"/>
      <c r="E6" s="84"/>
      <c r="I6" s="2042" t="s">
        <v>938</v>
      </c>
      <c r="J6" s="1987"/>
      <c r="K6" s="1987"/>
      <c r="L6" s="1987"/>
      <c r="M6" s="1987"/>
      <c r="N6" s="1987"/>
      <c r="O6" s="1987"/>
      <c r="P6" s="1987"/>
      <c r="Q6" s="1987"/>
      <c r="R6" s="1987"/>
      <c r="S6" s="1987"/>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54092076026</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2088</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1" t="s">
        <v>2119</v>
      </c>
      <c r="B17" s="2032"/>
      <c r="C17" s="2032"/>
      <c r="D17" s="2032"/>
      <c r="E17" s="2032"/>
      <c r="F17" s="2032"/>
      <c r="G17" s="2032"/>
      <c r="H17" s="2033"/>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2089</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60942</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2120</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c r="B23" s="2022"/>
      <c r="C23" s="2022"/>
      <c r="D23" s="2022"/>
      <c r="E23" s="2022"/>
      <c r="F23" s="2022"/>
      <c r="G23" s="2022"/>
      <c r="H23" s="2023"/>
      <c r="T23" s="1961" t="s">
        <v>2085</v>
      </c>
      <c r="U23" s="1962"/>
      <c r="V23" s="1962"/>
      <c r="W23" s="1962"/>
      <c r="X23" s="1977">
        <v>44469</v>
      </c>
      <c r="Y23" s="1978"/>
      <c r="Z23" s="1978"/>
      <c r="AA23" s="1979"/>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8">
        <v>61858</v>
      </c>
      <c r="B25" s="1999"/>
      <c r="C25" s="1999"/>
      <c r="D25" s="1999"/>
      <c r="E25" s="1999"/>
      <c r="F25" s="1999"/>
      <c r="G25" s="1999"/>
      <c r="H25" s="2000"/>
      <c r="I25" s="113"/>
      <c r="J25" s="2066"/>
      <c r="K25" s="2066"/>
      <c r="L25" s="2066"/>
      <c r="M25" s="2066"/>
      <c r="N25" s="2066"/>
      <c r="O25" s="2066"/>
      <c r="P25" s="2066"/>
      <c r="Q25" s="2066"/>
      <c r="R25" s="2066"/>
      <c r="S25" s="2067"/>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1" t="s">
        <v>2090</v>
      </c>
      <c r="B38" s="2032"/>
      <c r="C38" s="2032"/>
      <c r="D38" s="2032"/>
      <c r="E38" s="2032"/>
      <c r="F38" s="1999"/>
      <c r="G38" s="1999"/>
      <c r="H38" s="2000"/>
      <c r="I38" s="2051"/>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2091</v>
      </c>
      <c r="B40" s="2059"/>
      <c r="C40" s="2060"/>
      <c r="D40" s="2060"/>
      <c r="E40" s="2060"/>
      <c r="F40" s="2061"/>
      <c r="G40" s="2061"/>
      <c r="H40" s="2062"/>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2092</v>
      </c>
      <c r="B42" s="2049"/>
      <c r="C42" s="2050"/>
      <c r="D42" s="2063" t="s">
        <v>2093</v>
      </c>
      <c r="E42" s="2049"/>
      <c r="F42" s="2049"/>
      <c r="G42" s="2049"/>
      <c r="H42" s="2050"/>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2087</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81938564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2.52E-2</v>
      </c>
      <c r="E10" s="356" t="s">
        <v>1062</v>
      </c>
      <c r="F10" s="355">
        <v>6.0000000000000001E-3</v>
      </c>
      <c r="G10" s="356" t="s">
        <v>1062</v>
      </c>
      <c r="H10" s="355">
        <v>2E-3</v>
      </c>
      <c r="I10" s="356" t="s">
        <v>1063</v>
      </c>
      <c r="J10" s="1754">
        <f>ROUND(D10+F10+H10,5)</f>
        <v>3.32E-2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8252017</v>
      </c>
      <c r="E16" s="356"/>
      <c r="F16" s="1755">
        <f>SUM('Acct Summary 7-8'!C17,'Acct Summary 7-8'!D17,'Acct Summary 7-8'!F17)</f>
        <v>7901568</v>
      </c>
      <c r="G16" s="356"/>
      <c r="H16" s="1755">
        <f>SUM(D16-F16)</f>
        <v>350449</v>
      </c>
      <c r="I16" s="222"/>
      <c r="J16" s="1755">
        <f>SUM('Acct Summary 7-8'!C81,'Acct Summary 7-8'!D81,'Acct Summary 7-8'!F81,'Acct Summary 7-8'!I81)</f>
        <v>1636230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11307521.832</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7185000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Oakwood CUSD 76</v>
      </c>
      <c r="E7" s="391"/>
      <c r="G7" s="252"/>
      <c r="H7" s="387"/>
      <c r="I7" s="387"/>
      <c r="J7" s="387"/>
      <c r="K7" s="387"/>
      <c r="L7" s="329"/>
      <c r="M7" s="329"/>
      <c r="N7" s="329"/>
      <c r="O7" s="329"/>
      <c r="P7" s="329"/>
    </row>
    <row r="8" spans="1:18" ht="12.75" x14ac:dyDescent="0.2">
      <c r="A8" s="329"/>
      <c r="B8" s="329"/>
      <c r="C8" s="389" t="s">
        <v>1187</v>
      </c>
      <c r="D8" s="392">
        <f>COVER!A13</f>
        <v>54092076026</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1636230</v>
      </c>
      <c r="I12" s="404"/>
      <c r="J12" s="404"/>
      <c r="K12" s="405">
        <f>TRUNC((H12/H13*100000),5)/100000</f>
        <v>0.19828243200000001</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8252017</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7901568</v>
      </c>
      <c r="I17" s="404"/>
      <c r="J17" s="416"/>
      <c r="K17" s="405">
        <f>TRUNC((H17/H18*100000),5)/100000</f>
        <v>0.9575317161000001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8252017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1636230</v>
      </c>
      <c r="I24" s="422"/>
      <c r="J24" s="422"/>
      <c r="K24" s="423">
        <f>TRUNC(((H24/H25*100000)/100000),2)</f>
        <v>74.540000000000006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21948.799999999999</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2312306.2760800002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7185000</v>
      </c>
      <c r="I32" s="420"/>
      <c r="J32" s="420"/>
      <c r="K32" s="423">
        <f>TRUNC(100-((((H32/H33*100))*100)/100),2)</f>
        <v>36.450000000000003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11307521.832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3.25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8" activePane="bottomLeft" state="frozen"/>
      <selection activeCell="A8" sqref="A8"/>
      <selection pane="bottomLeft" activeCell="L36" sqref="L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617041</v>
      </c>
      <c r="D4" s="466">
        <v>145869</v>
      </c>
      <c r="E4" s="466">
        <v>148575</v>
      </c>
      <c r="F4" s="466">
        <v>356895</v>
      </c>
      <c r="G4" s="466">
        <v>87601</v>
      </c>
      <c r="H4" s="466"/>
      <c r="I4" s="466">
        <v>440968</v>
      </c>
      <c r="J4" s="467">
        <v>434847</v>
      </c>
      <c r="K4" s="466">
        <v>6753</v>
      </c>
      <c r="L4" s="466">
        <v>203546</v>
      </c>
      <c r="M4" s="468"/>
      <c r="N4" s="469"/>
    </row>
    <row r="5" spans="1:14" x14ac:dyDescent="0.2">
      <c r="A5" s="463" t="s">
        <v>1049</v>
      </c>
      <c r="B5" s="470">
        <v>120</v>
      </c>
      <c r="C5" s="465">
        <v>175</v>
      </c>
      <c r="D5" s="466"/>
      <c r="E5" s="466">
        <v>3904</v>
      </c>
      <c r="F5" s="466">
        <v>620</v>
      </c>
      <c r="G5" s="466">
        <v>296</v>
      </c>
      <c r="H5" s="466"/>
      <c r="I5" s="466">
        <v>74662</v>
      </c>
      <c r="J5" s="467">
        <v>47799</v>
      </c>
      <c r="K5" s="471">
        <v>4826</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617216</v>
      </c>
      <c r="D13" s="1759">
        <f t="shared" ref="D13:L13" si="0">SUM(D4:D12)</f>
        <v>145869</v>
      </c>
      <c r="E13" s="1759">
        <f t="shared" si="0"/>
        <v>152479</v>
      </c>
      <c r="F13" s="1759">
        <f t="shared" si="0"/>
        <v>357515</v>
      </c>
      <c r="G13" s="1759">
        <f t="shared" si="0"/>
        <v>87897</v>
      </c>
      <c r="H13" s="1759">
        <f t="shared" si="0"/>
        <v>0</v>
      </c>
      <c r="I13" s="1759">
        <f t="shared" si="0"/>
        <v>515630</v>
      </c>
      <c r="J13" s="1759">
        <f t="shared" si="0"/>
        <v>482646</v>
      </c>
      <c r="K13" s="1759">
        <f t="shared" si="0"/>
        <v>11579</v>
      </c>
      <c r="L13" s="1759">
        <f t="shared" si="0"/>
        <v>203546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53601</v>
      </c>
      <c r="N16" s="484"/>
    </row>
    <row r="17" spans="1:14" s="485" customFormat="1" ht="12.75" customHeight="1" x14ac:dyDescent="0.2">
      <c r="A17" s="482" t="s">
        <v>1470</v>
      </c>
      <c r="B17" s="483">
        <v>230</v>
      </c>
      <c r="C17" s="477"/>
      <c r="D17" s="477"/>
      <c r="E17" s="477"/>
      <c r="F17" s="477"/>
      <c r="G17" s="477"/>
      <c r="H17" s="477"/>
      <c r="I17" s="477"/>
      <c r="J17" s="477"/>
      <c r="K17" s="477"/>
      <c r="L17" s="477"/>
      <c r="M17" s="467">
        <v>17665062</v>
      </c>
      <c r="N17" s="484"/>
    </row>
    <row r="18" spans="1:14" s="485" customFormat="1" ht="12.75" customHeight="1" x14ac:dyDescent="0.2">
      <c r="A18" s="482" t="s">
        <v>1471</v>
      </c>
      <c r="B18" s="483">
        <v>240</v>
      </c>
      <c r="C18" s="477"/>
      <c r="D18" s="477"/>
      <c r="E18" s="477"/>
      <c r="F18" s="477"/>
      <c r="G18" s="477"/>
      <c r="H18" s="477"/>
      <c r="I18" s="477"/>
      <c r="J18" s="477"/>
      <c r="K18" s="477"/>
      <c r="L18" s="477"/>
      <c r="M18" s="467">
        <v>1791136</v>
      </c>
      <c r="N18" s="484"/>
    </row>
    <row r="19" spans="1:14" s="485" customFormat="1" ht="12.75" customHeight="1" x14ac:dyDescent="0.2">
      <c r="A19" s="482" t="s">
        <v>1472</v>
      </c>
      <c r="B19" s="483">
        <v>250</v>
      </c>
      <c r="C19" s="477"/>
      <c r="D19" s="477"/>
      <c r="E19" s="477"/>
      <c r="F19" s="477"/>
      <c r="G19" s="477"/>
      <c r="H19" s="477"/>
      <c r="I19" s="477"/>
      <c r="J19" s="477"/>
      <c r="K19" s="477"/>
      <c r="L19" s="477"/>
      <c r="M19" s="467">
        <v>871018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152479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7032521</v>
      </c>
    </row>
    <row r="23" spans="1:14" ht="13.5" customHeight="1" thickBot="1" x14ac:dyDescent="0.25">
      <c r="A23" s="1758" t="s">
        <v>664</v>
      </c>
      <c r="B23" s="1763"/>
      <c r="C23" s="468"/>
      <c r="D23" s="468"/>
      <c r="E23" s="468"/>
      <c r="F23" s="468"/>
      <c r="G23" s="468"/>
      <c r="H23" s="468"/>
      <c r="I23" s="468"/>
      <c r="J23" s="468"/>
      <c r="K23" s="468"/>
      <c r="L23" s="468"/>
      <c r="M23" s="1710">
        <f>SUM(M15:M22)</f>
        <v>20380817</v>
      </c>
      <c r="N23" s="1710">
        <f>SUM(N21:N22)</f>
        <v>7185000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203546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203546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7185000</v>
      </c>
    </row>
    <row r="37" spans="1:14" ht="13.5" thickBot="1" x14ac:dyDescent="0.25">
      <c r="A37" s="1758" t="s">
        <v>674</v>
      </c>
      <c r="B37" s="1763"/>
      <c r="C37" s="477"/>
      <c r="D37" s="477"/>
      <c r="E37" s="477"/>
      <c r="F37" s="477"/>
      <c r="G37" s="477"/>
      <c r="H37" s="477"/>
      <c r="I37" s="477"/>
      <c r="J37" s="477"/>
      <c r="K37" s="477"/>
      <c r="L37" s="480"/>
      <c r="M37" s="468"/>
      <c r="N37" s="1710">
        <f>SUM(N36:N36)</f>
        <v>7185000</v>
      </c>
    </row>
    <row r="38" spans="1:14" s="329" customFormat="1" ht="13.5" customHeight="1" thickTop="1" x14ac:dyDescent="0.2">
      <c r="A38" s="496" t="s">
        <v>440</v>
      </c>
      <c r="B38" s="483">
        <v>714</v>
      </c>
      <c r="C38" s="466"/>
      <c r="D38" s="466"/>
      <c r="E38" s="466"/>
      <c r="F38" s="466"/>
      <c r="G38" s="466">
        <v>87897</v>
      </c>
      <c r="H38" s="466"/>
      <c r="I38" s="466"/>
      <c r="J38" s="467"/>
      <c r="K38" s="466"/>
      <c r="L38" s="481"/>
      <c r="M38" s="497"/>
      <c r="N38" s="497"/>
    </row>
    <row r="39" spans="1:14" s="329" customFormat="1" ht="13.5" customHeight="1" x14ac:dyDescent="0.2">
      <c r="A39" s="496" t="s">
        <v>360</v>
      </c>
      <c r="B39" s="483">
        <v>730</v>
      </c>
      <c r="C39" s="466">
        <v>617216</v>
      </c>
      <c r="D39" s="466">
        <v>145869</v>
      </c>
      <c r="E39" s="466">
        <v>152479</v>
      </c>
      <c r="F39" s="466">
        <v>357515</v>
      </c>
      <c r="G39" s="466"/>
      <c r="H39" s="466"/>
      <c r="I39" s="466">
        <v>515630</v>
      </c>
      <c r="J39" s="467">
        <v>482646</v>
      </c>
      <c r="K39" s="466">
        <v>11579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20380817</v>
      </c>
      <c r="N40" s="497"/>
    </row>
    <row r="41" spans="1:14" ht="13.5" customHeight="1" thickBot="1" x14ac:dyDescent="0.25">
      <c r="A41" s="1758" t="s">
        <v>676</v>
      </c>
      <c r="B41" s="1728"/>
      <c r="C41" s="1710">
        <f>(SUM(C34,C37,C38,C39))</f>
        <v>617216</v>
      </c>
      <c r="D41" s="1710">
        <f t="shared" ref="D41:L41" si="2">SUM(D34,D37,D38:D39)</f>
        <v>145869</v>
      </c>
      <c r="E41" s="1710">
        <f t="shared" si="2"/>
        <v>152479</v>
      </c>
      <c r="F41" s="1710">
        <f t="shared" si="2"/>
        <v>357515</v>
      </c>
      <c r="G41" s="1710">
        <f t="shared" si="2"/>
        <v>87897</v>
      </c>
      <c r="H41" s="1710">
        <f t="shared" si="2"/>
        <v>0</v>
      </c>
      <c r="I41" s="1710">
        <f t="shared" si="2"/>
        <v>515630</v>
      </c>
      <c r="J41" s="1710">
        <f t="shared" si="2"/>
        <v>482646</v>
      </c>
      <c r="K41" s="1710">
        <f t="shared" si="2"/>
        <v>11579</v>
      </c>
      <c r="L41" s="1710">
        <f t="shared" si="2"/>
        <v>203546</v>
      </c>
      <c r="M41" s="1710">
        <f>SUM(M40)</f>
        <v>20380817</v>
      </c>
      <c r="N41" s="1710">
        <f>SUM(N37)</f>
        <v>7185000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2580986</v>
      </c>
      <c r="D4" s="1764">
        <f>'Revenues 9-14'!D109</f>
        <v>486236</v>
      </c>
      <c r="E4" s="1764">
        <f>'Revenues 9-14'!E109</f>
        <v>625296</v>
      </c>
      <c r="F4" s="1764">
        <f>'Revenues 9-14'!F109</f>
        <v>162862</v>
      </c>
      <c r="G4" s="1764">
        <f>'Revenues 9-14'!G109</f>
        <v>395581</v>
      </c>
      <c r="H4" s="1764">
        <f>'Revenues 9-14'!H109</f>
        <v>0</v>
      </c>
      <c r="I4" s="1764">
        <f>'Revenues 9-14'!I109</f>
        <v>40121</v>
      </c>
      <c r="J4" s="1764">
        <f>'Revenues 9-14'!J109</f>
        <v>419930</v>
      </c>
      <c r="K4" s="1764">
        <f>'Revenues 9-14'!K109</f>
        <v>40862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3755811</v>
      </c>
      <c r="D6" s="1765">
        <f>'Revenues 9-14'!D173</f>
        <v>411060</v>
      </c>
      <c r="E6" s="1765">
        <f>'Revenues 9-14'!E173</f>
        <v>0</v>
      </c>
      <c r="F6" s="1765">
        <f>'Revenues 9-14'!F173</f>
        <v>445215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369726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6706523</v>
      </c>
      <c r="D8" s="1710">
        <f t="shared" ref="D8:K8" si="0">SUM(D4:D7)</f>
        <v>897296</v>
      </c>
      <c r="E8" s="1710">
        <f t="shared" si="0"/>
        <v>625296</v>
      </c>
      <c r="F8" s="1710">
        <f t="shared" si="0"/>
        <v>608077</v>
      </c>
      <c r="G8" s="1710">
        <f t="shared" si="0"/>
        <v>395581</v>
      </c>
      <c r="H8" s="1710">
        <f t="shared" si="0"/>
        <v>0</v>
      </c>
      <c r="I8" s="1710">
        <f t="shared" si="0"/>
        <v>40121</v>
      </c>
      <c r="J8" s="1710">
        <f t="shared" si="0"/>
        <v>419930</v>
      </c>
      <c r="K8" s="1710">
        <f t="shared" si="0"/>
        <v>40862</v>
      </c>
      <c r="L8" s="347"/>
    </row>
    <row r="9" spans="1:13" ht="15.75" thickTop="1" x14ac:dyDescent="0.2">
      <c r="A9" s="514" t="s">
        <v>1752</v>
      </c>
      <c r="B9" s="515">
        <v>3998</v>
      </c>
      <c r="C9" s="481">
        <v>2273700</v>
      </c>
      <c r="D9" s="516"/>
      <c r="E9" s="481"/>
      <c r="F9" s="481"/>
      <c r="G9" s="517"/>
      <c r="H9" s="481"/>
      <c r="I9" s="509" t="s">
        <v>1231</v>
      </c>
      <c r="J9" s="478"/>
      <c r="K9" s="481"/>
      <c r="L9" s="347"/>
    </row>
    <row r="10" spans="1:13" s="519" customFormat="1" ht="13.5" thickBot="1" x14ac:dyDescent="0.25">
      <c r="A10" s="1758" t="s">
        <v>1235</v>
      </c>
      <c r="B10" s="1731"/>
      <c r="C10" s="1710">
        <f>SUM(C8:C9)</f>
        <v>8980223</v>
      </c>
      <c r="D10" s="1710">
        <f t="shared" ref="D10:K10" si="1">SUM(D8:D9)</f>
        <v>897296</v>
      </c>
      <c r="E10" s="1710">
        <f t="shared" si="1"/>
        <v>625296</v>
      </c>
      <c r="F10" s="1710">
        <f t="shared" si="1"/>
        <v>608077</v>
      </c>
      <c r="G10" s="1710">
        <f t="shared" si="1"/>
        <v>395581</v>
      </c>
      <c r="H10" s="1710">
        <f t="shared" si="1"/>
        <v>0</v>
      </c>
      <c r="I10" s="1710">
        <f t="shared" si="1"/>
        <v>40121</v>
      </c>
      <c r="J10" s="1710">
        <f t="shared" si="1"/>
        <v>419930</v>
      </c>
      <c r="K10" s="1710">
        <f t="shared" si="1"/>
        <v>40862</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4227287</v>
      </c>
      <c r="D12" s="520" t="s">
        <v>1231</v>
      </c>
      <c r="E12" s="468" t="s">
        <v>1231</v>
      </c>
      <c r="F12" s="468" t="s">
        <v>1231</v>
      </c>
      <c r="G12" s="1764">
        <f>'Expenditures 15-22'!K229</f>
        <v>104036</v>
      </c>
      <c r="H12" s="521"/>
      <c r="I12" s="468" t="s">
        <v>1231</v>
      </c>
      <c r="J12" s="468" t="s">
        <v>1231</v>
      </c>
      <c r="K12" s="521" t="s">
        <v>1231</v>
      </c>
      <c r="L12" s="347"/>
    </row>
    <row r="13" spans="1:13" ht="15.75" customHeight="1" x14ac:dyDescent="0.2">
      <c r="A13" s="1598" t="s">
        <v>477</v>
      </c>
      <c r="B13" s="1600">
        <v>2000</v>
      </c>
      <c r="C13" s="1765">
        <f>'Expenditures 15-22'!K74</f>
        <v>1776527</v>
      </c>
      <c r="D13" s="1765">
        <f>'Expenditures 15-22'!K129</f>
        <v>945691</v>
      </c>
      <c r="E13" s="469" t="s">
        <v>1231</v>
      </c>
      <c r="F13" s="1765">
        <f>'Expenditures 15-22'!K184</f>
        <v>586831</v>
      </c>
      <c r="G13" s="1765">
        <f>'Expenditures 15-22'!K279</f>
        <v>243845</v>
      </c>
      <c r="H13" s="1765">
        <f>'Expenditures 15-22'!K303</f>
        <v>0</v>
      </c>
      <c r="I13" s="468" t="s">
        <v>1231</v>
      </c>
      <c r="J13" s="1765">
        <f>'Expenditures 15-22'!K330</f>
        <v>246869</v>
      </c>
      <c r="K13" s="1769">
        <f>'Expenditures 15-22'!K352</f>
        <v>32783</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365232</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635659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6369046</v>
      </c>
      <c r="D17" s="1710">
        <f t="shared" si="2"/>
        <v>945691</v>
      </c>
      <c r="E17" s="1710">
        <f t="shared" si="2"/>
        <v>635659</v>
      </c>
      <c r="F17" s="1710">
        <f t="shared" si="2"/>
        <v>586831</v>
      </c>
      <c r="G17" s="1710">
        <f t="shared" si="2"/>
        <v>347881</v>
      </c>
      <c r="H17" s="1710">
        <f t="shared" si="2"/>
        <v>0</v>
      </c>
      <c r="I17" s="468"/>
      <c r="J17" s="1710">
        <f>SUM(J12:J16)</f>
        <v>246869</v>
      </c>
      <c r="K17" s="1710">
        <f>SUM(K12:K16)</f>
        <v>32783</v>
      </c>
      <c r="L17" s="347"/>
    </row>
    <row r="18" spans="1:12" ht="15" customHeight="1" thickTop="1" x14ac:dyDescent="0.2">
      <c r="A18" s="1766" t="s">
        <v>1753</v>
      </c>
      <c r="B18" s="1767">
        <v>4180</v>
      </c>
      <c r="C18" s="1764">
        <f t="shared" ref="C18:H18" si="3">C9</f>
        <v>2273700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8642746</v>
      </c>
      <c r="D19" s="1710">
        <f t="shared" si="4"/>
        <v>945691</v>
      </c>
      <c r="E19" s="1710">
        <f t="shared" si="4"/>
        <v>635659</v>
      </c>
      <c r="F19" s="1710">
        <f t="shared" si="4"/>
        <v>586831</v>
      </c>
      <c r="G19" s="1710">
        <f t="shared" si="4"/>
        <v>347881</v>
      </c>
      <c r="H19" s="1710">
        <f t="shared" si="4"/>
        <v>0</v>
      </c>
      <c r="I19" s="468"/>
      <c r="J19" s="1710">
        <f>SUM(J17:J18)</f>
        <v>246869</v>
      </c>
      <c r="K19" s="1710">
        <f>SUM(K17:K18)</f>
        <v>32783</v>
      </c>
      <c r="L19" s="347"/>
    </row>
    <row r="20" spans="1:12" ht="16.5" thickTop="1" thickBot="1" x14ac:dyDescent="0.25">
      <c r="A20" s="2144" t="s">
        <v>1754</v>
      </c>
      <c r="B20" s="2145"/>
      <c r="C20" s="1768">
        <f>C8-C17</f>
        <v>337477</v>
      </c>
      <c r="D20" s="1768">
        <f t="shared" ref="D20:K20" si="5">D8-D17</f>
        <v>-48395</v>
      </c>
      <c r="E20" s="1768">
        <f t="shared" si="5"/>
        <v>-10363</v>
      </c>
      <c r="F20" s="1768">
        <f t="shared" si="5"/>
        <v>21246</v>
      </c>
      <c r="G20" s="1768">
        <f t="shared" si="5"/>
        <v>47700</v>
      </c>
      <c r="H20" s="1768">
        <f t="shared" si="5"/>
        <v>0</v>
      </c>
      <c r="I20" s="1768">
        <f t="shared" si="5"/>
        <v>40121</v>
      </c>
      <c r="J20" s="1768">
        <f t="shared" si="5"/>
        <v>173061</v>
      </c>
      <c r="K20" s="1768">
        <f t="shared" si="5"/>
        <v>8079</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v>150000</v>
      </c>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150000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150000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150000</v>
      </c>
      <c r="J76" s="1725">
        <f t="shared" si="7"/>
        <v>0</v>
      </c>
      <c r="K76" s="1725">
        <f t="shared" si="7"/>
        <v>0</v>
      </c>
      <c r="L76" s="524"/>
    </row>
    <row r="77" spans="1:12" ht="14.25" thickTop="1" thickBot="1" x14ac:dyDescent="0.25">
      <c r="A77" s="2136" t="s">
        <v>1239</v>
      </c>
      <c r="B77" s="2137"/>
      <c r="C77" s="1725">
        <f t="shared" ref="C77:K77" si="8">C44-C76</f>
        <v>0</v>
      </c>
      <c r="D77" s="1725">
        <f t="shared" si="8"/>
        <v>150000</v>
      </c>
      <c r="E77" s="1725">
        <f t="shared" si="8"/>
        <v>0</v>
      </c>
      <c r="F77" s="1725">
        <f t="shared" si="8"/>
        <v>0</v>
      </c>
      <c r="G77" s="1725">
        <f t="shared" si="8"/>
        <v>0</v>
      </c>
      <c r="H77" s="1725">
        <f t="shared" si="8"/>
        <v>0</v>
      </c>
      <c r="I77" s="1725">
        <f t="shared" si="8"/>
        <v>-150000</v>
      </c>
      <c r="J77" s="1725">
        <f t="shared" si="8"/>
        <v>0</v>
      </c>
      <c r="K77" s="1725">
        <f t="shared" si="8"/>
        <v>0</v>
      </c>
      <c r="L77" s="347"/>
    </row>
    <row r="78" spans="1:12" ht="21.75" customHeight="1" thickTop="1" thickBot="1" x14ac:dyDescent="0.25">
      <c r="A78" s="2140" t="s">
        <v>618</v>
      </c>
      <c r="B78" s="2141"/>
      <c r="C78" s="1724">
        <f t="shared" ref="C78:K78" si="9">C20+C77</f>
        <v>337477</v>
      </c>
      <c r="D78" s="1724">
        <f t="shared" si="9"/>
        <v>101605</v>
      </c>
      <c r="E78" s="1724">
        <f t="shared" si="9"/>
        <v>-10363</v>
      </c>
      <c r="F78" s="1724">
        <f t="shared" si="9"/>
        <v>21246</v>
      </c>
      <c r="G78" s="1724">
        <f t="shared" si="9"/>
        <v>47700</v>
      </c>
      <c r="H78" s="1724">
        <f t="shared" si="9"/>
        <v>0</v>
      </c>
      <c r="I78" s="1724">
        <f t="shared" si="9"/>
        <v>-109879</v>
      </c>
      <c r="J78" s="1724">
        <f t="shared" si="9"/>
        <v>173061</v>
      </c>
      <c r="K78" s="1724">
        <f t="shared" si="9"/>
        <v>8079</v>
      </c>
      <c r="L78" s="533"/>
    </row>
    <row r="79" spans="1:12" ht="13.5" thickTop="1" x14ac:dyDescent="0.2">
      <c r="A79" s="1516" t="s">
        <v>2071</v>
      </c>
      <c r="B79" s="534"/>
      <c r="C79" s="478">
        <v>279739</v>
      </c>
      <c r="D79" s="535">
        <v>44264</v>
      </c>
      <c r="E79" s="535">
        <v>162842</v>
      </c>
      <c r="F79" s="535">
        <v>336269</v>
      </c>
      <c r="G79" s="535">
        <v>40197</v>
      </c>
      <c r="H79" s="535"/>
      <c r="I79" s="535">
        <v>625509</v>
      </c>
      <c r="J79" s="535">
        <v>309585</v>
      </c>
      <c r="K79" s="535">
        <v>3500</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617216</v>
      </c>
      <c r="D81" s="1710">
        <f>SUM(D78:D80)</f>
        <v>145869</v>
      </c>
      <c r="E81" s="1710">
        <f t="shared" ref="E81:K81" si="10">SUM(E78:E80)</f>
        <v>152479</v>
      </c>
      <c r="F81" s="1710">
        <f t="shared" si="10"/>
        <v>357515</v>
      </c>
      <c r="G81" s="1710">
        <f t="shared" si="10"/>
        <v>87897</v>
      </c>
      <c r="H81" s="1710">
        <f t="shared" si="10"/>
        <v>0</v>
      </c>
      <c r="I81" s="1710">
        <f t="shared" si="10"/>
        <v>515630</v>
      </c>
      <c r="J81" s="1710">
        <f t="shared" si="10"/>
        <v>482646</v>
      </c>
      <c r="K81" s="1710">
        <f t="shared" si="10"/>
        <v>11579</v>
      </c>
      <c r="L81" s="347"/>
    </row>
    <row r="82" spans="1:12" ht="0.75" customHeight="1" thickTop="1" thickBot="1" x14ac:dyDescent="0.25">
      <c r="A82" s="536" t="s">
        <v>361</v>
      </c>
      <c r="B82" s="537"/>
      <c r="C82" s="538">
        <f>(C81-C79)</f>
        <v>337477</v>
      </c>
      <c r="D82" s="538">
        <f t="shared" ref="D82:K82" si="11">(D81-D79)</f>
        <v>101605</v>
      </c>
      <c r="E82" s="538">
        <f t="shared" si="11"/>
        <v>-10363</v>
      </c>
      <c r="F82" s="538">
        <f t="shared" si="11"/>
        <v>21246</v>
      </c>
      <c r="G82" s="538">
        <f t="shared" si="11"/>
        <v>47700</v>
      </c>
      <c r="H82" s="538">
        <f t="shared" si="11"/>
        <v>0</v>
      </c>
      <c r="I82" s="538">
        <f t="shared" si="11"/>
        <v>-109879</v>
      </c>
      <c r="J82" s="538">
        <f t="shared" si="11"/>
        <v>173061</v>
      </c>
      <c r="K82" s="538">
        <f t="shared" si="11"/>
        <v>8079</v>
      </c>
    </row>
    <row r="83" spans="1:12" ht="14.25" hidden="1" thickTop="1" thickBot="1" x14ac:dyDescent="0.25">
      <c r="A83" s="539" t="s">
        <v>362</v>
      </c>
      <c r="B83" s="464"/>
      <c r="C83" s="540">
        <f>C82/C81</f>
        <v>0.5467729287639983</v>
      </c>
      <c r="D83" s="540">
        <f t="shared" ref="D83:K83" si="12">D82/D81</f>
        <v>0.69654964385853058</v>
      </c>
      <c r="E83" s="540">
        <f t="shared" si="12"/>
        <v>-6.7963457262967361E-2</v>
      </c>
      <c r="F83" s="540">
        <f t="shared" si="12"/>
        <v>5.942687719396389E-2</v>
      </c>
      <c r="G83" s="540">
        <f t="shared" si="12"/>
        <v>0.54268063756442197</v>
      </c>
      <c r="H83" s="540" t="e">
        <f t="shared" si="12"/>
        <v>#DIV/0!</v>
      </c>
      <c r="I83" s="540">
        <f t="shared" si="12"/>
        <v>-0.21309660027539126</v>
      </c>
      <c r="J83" s="540">
        <f t="shared" si="12"/>
        <v>0.35856714859337901</v>
      </c>
      <c r="K83" s="540">
        <f t="shared" si="12"/>
        <v>0.69772864668796963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39" sqref="C39:K39"/>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1998877</v>
      </c>
      <c r="D5" s="481">
        <v>475926</v>
      </c>
      <c r="E5" s="466">
        <v>624956</v>
      </c>
      <c r="F5" s="548">
        <v>158641</v>
      </c>
      <c r="G5" s="466">
        <v>207018</v>
      </c>
      <c r="H5" s="466"/>
      <c r="I5" s="466">
        <v>39662</v>
      </c>
      <c r="J5" s="467">
        <v>418963</v>
      </c>
      <c r="K5" s="466">
        <v>40794</v>
      </c>
    </row>
    <row r="6" spans="1:12" ht="15" x14ac:dyDescent="0.2">
      <c r="A6" s="463" t="s">
        <v>1761</v>
      </c>
      <c r="B6" s="470">
        <v>1130</v>
      </c>
      <c r="C6" s="466">
        <v>39662</v>
      </c>
      <c r="D6" s="466"/>
      <c r="E6" s="475"/>
      <c r="F6" s="475"/>
      <c r="G6" s="468"/>
      <c r="H6" s="468"/>
      <c r="I6" s="468"/>
      <c r="J6" s="468"/>
      <c r="K6" s="468"/>
    </row>
    <row r="7" spans="1:12" x14ac:dyDescent="0.2">
      <c r="A7" s="463" t="s">
        <v>112</v>
      </c>
      <c r="B7" s="549">
        <v>1140</v>
      </c>
      <c r="C7" s="466">
        <v>31727</v>
      </c>
      <c r="D7" s="466"/>
      <c r="E7" s="468"/>
      <c r="F7" s="467"/>
      <c r="G7" s="467"/>
      <c r="H7" s="467"/>
      <c r="I7" s="468"/>
      <c r="J7" s="468"/>
      <c r="K7" s="468"/>
    </row>
    <row r="8" spans="1:12" x14ac:dyDescent="0.2">
      <c r="A8" s="463" t="s">
        <v>433</v>
      </c>
      <c r="B8" s="470">
        <v>1150</v>
      </c>
      <c r="C8" s="475"/>
      <c r="D8" s="475"/>
      <c r="E8" s="477"/>
      <c r="F8" s="477"/>
      <c r="G8" s="481">
        <v>157731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2070266</v>
      </c>
      <c r="D12" s="1729">
        <f t="shared" si="0"/>
        <v>475926</v>
      </c>
      <c r="E12" s="1729">
        <f t="shared" si="0"/>
        <v>624956</v>
      </c>
      <c r="F12" s="1729">
        <f t="shared" si="0"/>
        <v>158641</v>
      </c>
      <c r="G12" s="1729">
        <f t="shared" si="0"/>
        <v>364749</v>
      </c>
      <c r="H12" s="1729">
        <f t="shared" si="0"/>
        <v>0</v>
      </c>
      <c r="I12" s="1729">
        <f t="shared" si="0"/>
        <v>39662</v>
      </c>
      <c r="J12" s="1729">
        <f t="shared" si="0"/>
        <v>418963</v>
      </c>
      <c r="K12" s="1710">
        <f t="shared" si="0"/>
        <v>40794</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309004</v>
      </c>
      <c r="D16" s="466"/>
      <c r="E16" s="466"/>
      <c r="F16" s="466"/>
      <c r="G16" s="466">
        <v>30561</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309004</v>
      </c>
      <c r="D18" s="1732">
        <f t="shared" ref="D18:K18" si="1">SUM(D14:D17)</f>
        <v>0</v>
      </c>
      <c r="E18" s="1732">
        <f t="shared" si="1"/>
        <v>0</v>
      </c>
      <c r="F18" s="1732">
        <f t="shared" si="1"/>
        <v>0</v>
      </c>
      <c r="G18" s="1732">
        <f t="shared" si="1"/>
        <v>30561</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3190</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3190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1155</v>
      </c>
      <c r="D65" s="466">
        <v>1069</v>
      </c>
      <c r="E65" s="466">
        <v>340</v>
      </c>
      <c r="F65" s="467">
        <v>230</v>
      </c>
      <c r="G65" s="466">
        <v>271</v>
      </c>
      <c r="H65" s="466"/>
      <c r="I65" s="466">
        <v>459</v>
      </c>
      <c r="J65" s="467">
        <v>967</v>
      </c>
      <c r="K65" s="466">
        <v>68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1155</v>
      </c>
      <c r="D67" s="1710">
        <f t="shared" ref="D67:K67" si="2">SUM(D65:D66)</f>
        <v>1069</v>
      </c>
      <c r="E67" s="1710">
        <f t="shared" si="2"/>
        <v>340</v>
      </c>
      <c r="F67" s="1710">
        <f t="shared" si="2"/>
        <v>230</v>
      </c>
      <c r="G67" s="1710">
        <f t="shared" si="2"/>
        <v>271</v>
      </c>
      <c r="H67" s="1710">
        <f t="shared" si="2"/>
        <v>0</v>
      </c>
      <c r="I67" s="1710">
        <f t="shared" si="2"/>
        <v>459</v>
      </c>
      <c r="J67" s="1710">
        <f t="shared" si="2"/>
        <v>967</v>
      </c>
      <c r="K67" s="1710">
        <f t="shared" si="2"/>
        <v>68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100240</v>
      </c>
      <c r="D69" s="468"/>
      <c r="E69" s="468"/>
      <c r="F69" s="468"/>
      <c r="G69" s="468"/>
      <c r="H69" s="468"/>
      <c r="I69" s="468"/>
      <c r="J69" s="468"/>
      <c r="K69" s="468"/>
    </row>
    <row r="70" spans="1:11" ht="12.75" customHeight="1" x14ac:dyDescent="0.2">
      <c r="A70" s="463" t="s">
        <v>1054</v>
      </c>
      <c r="B70" s="470">
        <v>1612</v>
      </c>
      <c r="C70" s="551">
        <v>4446</v>
      </c>
      <c r="D70" s="468"/>
      <c r="E70" s="468"/>
      <c r="F70" s="468"/>
      <c r="G70" s="468"/>
      <c r="H70" s="468"/>
      <c r="I70" s="468"/>
      <c r="J70" s="468"/>
      <c r="K70" s="468"/>
    </row>
    <row r="71" spans="1:11" ht="12.75" customHeight="1" x14ac:dyDescent="0.2">
      <c r="A71" s="463" t="s">
        <v>291</v>
      </c>
      <c r="B71" s="470">
        <v>1613</v>
      </c>
      <c r="C71" s="551">
        <v>6005</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3028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113719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37252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37252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40322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21</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40343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600</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6057</v>
      </c>
      <c r="D107" s="466">
        <v>8641</v>
      </c>
      <c r="E107" s="466"/>
      <c r="F107" s="466">
        <v>3991</v>
      </c>
      <c r="G107" s="466"/>
      <c r="H107" s="466"/>
      <c r="I107" s="466"/>
      <c r="J107" s="467"/>
      <c r="K107" s="466"/>
    </row>
    <row r="108" spans="1:12" ht="12.75" customHeight="1" thickBot="1" x14ac:dyDescent="0.25">
      <c r="A108" s="1730" t="s">
        <v>508</v>
      </c>
      <c r="B108" s="1734"/>
      <c r="C108" s="1729">
        <f>SUM(C95:C107)</f>
        <v>6057</v>
      </c>
      <c r="D108" s="1729">
        <f t="shared" ref="D108:K108" si="3">SUM(D95:D107)</f>
        <v>9241</v>
      </c>
      <c r="E108" s="1729">
        <f t="shared" si="3"/>
        <v>0</v>
      </c>
      <c r="F108" s="1729">
        <f t="shared" si="3"/>
        <v>3991</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2580986</v>
      </c>
      <c r="D109" s="1737">
        <f t="shared" si="4"/>
        <v>486236</v>
      </c>
      <c r="E109" s="1737">
        <f t="shared" si="4"/>
        <v>625296</v>
      </c>
      <c r="F109" s="1737">
        <f t="shared" si="4"/>
        <v>162862</v>
      </c>
      <c r="G109" s="1737">
        <f t="shared" si="4"/>
        <v>395581</v>
      </c>
      <c r="H109" s="1737">
        <f t="shared" si="4"/>
        <v>0</v>
      </c>
      <c r="I109" s="1737">
        <f t="shared" si="4"/>
        <v>40121</v>
      </c>
      <c r="J109" s="1737">
        <f t="shared" si="4"/>
        <v>419930</v>
      </c>
      <c r="K109" s="1724">
        <f t="shared" si="4"/>
        <v>40862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3512485</v>
      </c>
      <c r="D117" s="481">
        <v>411060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3512485</v>
      </c>
      <c r="D121" s="1729">
        <f t="shared" si="5"/>
        <v>411060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66023</v>
      </c>
      <c r="D125" s="561"/>
      <c r="E125" s="468"/>
      <c r="F125" s="466"/>
      <c r="G125" s="468"/>
      <c r="H125" s="468"/>
      <c r="I125" s="468"/>
      <c r="J125" s="468"/>
      <c r="K125" s="468"/>
    </row>
    <row r="126" spans="1:11" ht="12.75" customHeight="1" x14ac:dyDescent="0.2">
      <c r="A126" s="463" t="s">
        <v>922</v>
      </c>
      <c r="B126" s="562">
        <v>3110</v>
      </c>
      <c r="C126" s="551">
        <v>74633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323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140979</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9245</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9245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2717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14449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347245</v>
      </c>
      <c r="G151" s="467"/>
      <c r="H151" s="468"/>
      <c r="I151" s="468"/>
      <c r="J151" s="468"/>
      <c r="K151" s="468"/>
    </row>
    <row r="152" spans="1:11" ht="12.75" customHeight="1" x14ac:dyDescent="0.2">
      <c r="A152" s="463" t="s">
        <v>1117</v>
      </c>
      <c r="B152" s="562">
        <v>3510</v>
      </c>
      <c r="C152" s="551"/>
      <c r="D152" s="466"/>
      <c r="E152" s="561"/>
      <c r="F152" s="466">
        <v>97970</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445215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74436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243326</v>
      </c>
      <c r="D172" s="1744">
        <f t="shared" si="6"/>
        <v>0</v>
      </c>
      <c r="E172" s="1744">
        <f t="shared" si="6"/>
        <v>0</v>
      </c>
      <c r="F172" s="1744">
        <f t="shared" si="6"/>
        <v>445215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3755811</v>
      </c>
      <c r="D173" s="1737">
        <f>SUM(D121,D172)</f>
        <v>411060</v>
      </c>
      <c r="E173" s="1737">
        <f>SUM(E121,E172)</f>
        <v>0</v>
      </c>
      <c r="F173" s="1737">
        <f t="shared" ref="F173:K173" si="7">SUM(F121,F172)</f>
        <v>445215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154966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33531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188497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105704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105704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7783</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7783</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1907</v>
      </c>
      <c r="D221" s="466"/>
      <c r="E221" s="468"/>
      <c r="F221" s="466"/>
      <c r="G221" s="466"/>
      <c r="H221" s="468"/>
      <c r="I221" s="468"/>
      <c r="J221" s="468"/>
      <c r="K221" s="468"/>
    </row>
    <row r="222" spans="1:11" ht="12.75" customHeight="1" x14ac:dyDescent="0.2">
      <c r="A222" s="463" t="s">
        <v>1115</v>
      </c>
      <c r="B222" s="470">
        <v>4630</v>
      </c>
      <c r="C222" s="551">
        <v>2852</v>
      </c>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4759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24282</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38701</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369726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369726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6706523</v>
      </c>
      <c r="D275" s="1737">
        <f t="shared" si="12"/>
        <v>897296</v>
      </c>
      <c r="E275" s="1737">
        <f t="shared" si="12"/>
        <v>625296</v>
      </c>
      <c r="F275" s="1737">
        <f t="shared" si="12"/>
        <v>608077</v>
      </c>
      <c r="G275" s="1737">
        <f t="shared" si="12"/>
        <v>395581</v>
      </c>
      <c r="H275" s="1737">
        <f t="shared" si="12"/>
        <v>0</v>
      </c>
      <c r="I275" s="1737">
        <f t="shared" si="12"/>
        <v>40121</v>
      </c>
      <c r="J275" s="1737">
        <f t="shared" si="12"/>
        <v>419930</v>
      </c>
      <c r="K275" s="1724">
        <f t="shared" si="12"/>
        <v>40862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C39" sqref="C39:K39"/>
      <selection pane="bottomLeft" activeCell="C4" sqref="C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2045979</v>
      </c>
      <c r="D5" s="466">
        <v>632389</v>
      </c>
      <c r="E5" s="466">
        <v>4169</v>
      </c>
      <c r="F5" s="466">
        <v>105179</v>
      </c>
      <c r="G5" s="466">
        <v>11247</v>
      </c>
      <c r="H5" s="466">
        <v>2275</v>
      </c>
      <c r="I5" s="467"/>
      <c r="J5" s="467"/>
      <c r="K5" s="1693">
        <f>SUM(C5:J5)</f>
        <v>2801238</v>
      </c>
      <c r="L5" s="466">
        <v>2616794</v>
      </c>
    </row>
    <row r="6" spans="1:14" x14ac:dyDescent="0.2">
      <c r="A6" s="1526" t="s">
        <v>1508</v>
      </c>
      <c r="B6" s="615" t="s">
        <v>1506</v>
      </c>
      <c r="C6" s="477"/>
      <c r="D6" s="477"/>
      <c r="E6" s="466"/>
      <c r="F6" s="477"/>
      <c r="G6" s="477"/>
      <c r="H6" s="477"/>
      <c r="I6" s="477"/>
      <c r="J6" s="477"/>
      <c r="K6" s="1693">
        <f>SUM(C6,E6)</f>
        <v>0</v>
      </c>
      <c r="L6" s="466">
        <v>480</v>
      </c>
    </row>
    <row r="7" spans="1:14" x14ac:dyDescent="0.2">
      <c r="A7" s="1526" t="s">
        <v>165</v>
      </c>
      <c r="B7" s="615" t="s">
        <v>1024</v>
      </c>
      <c r="C7" s="467">
        <v>57719</v>
      </c>
      <c r="D7" s="467">
        <v>19282</v>
      </c>
      <c r="E7" s="467">
        <v>7</v>
      </c>
      <c r="F7" s="467">
        <v>1246</v>
      </c>
      <c r="G7" s="467"/>
      <c r="H7" s="467"/>
      <c r="I7" s="467"/>
      <c r="J7" s="467"/>
      <c r="K7" s="1693">
        <f t="shared" ref="K7:K32" si="0">SUM(C7:J7)</f>
        <v>78254</v>
      </c>
      <c r="L7" s="466">
        <v>76772</v>
      </c>
    </row>
    <row r="8" spans="1:14" x14ac:dyDescent="0.2">
      <c r="A8" s="1526" t="s">
        <v>166</v>
      </c>
      <c r="B8" s="615">
        <v>1200</v>
      </c>
      <c r="C8" s="466">
        <v>563096</v>
      </c>
      <c r="D8" s="466">
        <v>176667</v>
      </c>
      <c r="E8" s="466">
        <v>2002</v>
      </c>
      <c r="F8" s="466">
        <v>3261</v>
      </c>
      <c r="G8" s="466"/>
      <c r="H8" s="466"/>
      <c r="I8" s="467"/>
      <c r="J8" s="467"/>
      <c r="K8" s="1693">
        <f t="shared" si="0"/>
        <v>745026</v>
      </c>
      <c r="L8" s="466">
        <v>848369</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91274</v>
      </c>
      <c r="D10" s="466">
        <v>14012</v>
      </c>
      <c r="E10" s="466">
        <v>3068</v>
      </c>
      <c r="F10" s="466">
        <v>38925</v>
      </c>
      <c r="G10" s="466"/>
      <c r="H10" s="466"/>
      <c r="I10" s="467"/>
      <c r="J10" s="467"/>
      <c r="K10" s="1693">
        <f t="shared" si="0"/>
        <v>147279</v>
      </c>
      <c r="L10" s="466">
        <v>115194</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135013</v>
      </c>
      <c r="D13" s="466">
        <v>28949</v>
      </c>
      <c r="E13" s="466"/>
      <c r="F13" s="466">
        <v>5499</v>
      </c>
      <c r="G13" s="466"/>
      <c r="H13" s="466">
        <v>29744</v>
      </c>
      <c r="I13" s="467"/>
      <c r="J13" s="467"/>
      <c r="K13" s="1693">
        <f t="shared" si="0"/>
        <v>199205</v>
      </c>
      <c r="L13" s="466">
        <v>205564</v>
      </c>
    </row>
    <row r="14" spans="1:14" x14ac:dyDescent="0.2">
      <c r="A14" s="1526" t="s">
        <v>1020</v>
      </c>
      <c r="B14" s="615">
        <v>1500</v>
      </c>
      <c r="C14" s="466">
        <v>107894</v>
      </c>
      <c r="D14" s="466">
        <v>1437</v>
      </c>
      <c r="E14" s="466">
        <v>21781</v>
      </c>
      <c r="F14" s="466">
        <v>46251</v>
      </c>
      <c r="G14" s="466"/>
      <c r="H14" s="466">
        <v>6080</v>
      </c>
      <c r="I14" s="467"/>
      <c r="J14" s="467"/>
      <c r="K14" s="1693">
        <f t="shared" si="0"/>
        <v>183443</v>
      </c>
      <c r="L14" s="466">
        <v>91465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41047</v>
      </c>
      <c r="D17" s="467">
        <v>13240</v>
      </c>
      <c r="E17" s="467">
        <v>65</v>
      </c>
      <c r="F17" s="467">
        <v>1990</v>
      </c>
      <c r="G17" s="467">
        <v>16500</v>
      </c>
      <c r="H17" s="467"/>
      <c r="I17" s="467"/>
      <c r="J17" s="467"/>
      <c r="K17" s="1693">
        <f t="shared" si="0"/>
        <v>72842</v>
      </c>
      <c r="L17" s="466">
        <v>73131</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3042022</v>
      </c>
      <c r="D33" s="1692">
        <f t="shared" ref="D33:L33" si="1">SUM(D5:D32)</f>
        <v>885976</v>
      </c>
      <c r="E33" s="1692">
        <f t="shared" si="1"/>
        <v>31092</v>
      </c>
      <c r="F33" s="1692">
        <f t="shared" si="1"/>
        <v>202351</v>
      </c>
      <c r="G33" s="1692">
        <f t="shared" si="1"/>
        <v>27747</v>
      </c>
      <c r="H33" s="1692">
        <f t="shared" si="1"/>
        <v>38099</v>
      </c>
      <c r="I33" s="1692">
        <f t="shared" si="1"/>
        <v>0</v>
      </c>
      <c r="J33" s="1692">
        <f t="shared" si="1"/>
        <v>0</v>
      </c>
      <c r="K33" s="1692">
        <f t="shared" si="1"/>
        <v>4227287</v>
      </c>
      <c r="L33" s="1692">
        <f t="shared" si="1"/>
        <v>4027769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60524</v>
      </c>
      <c r="D37" s="466">
        <v>15593</v>
      </c>
      <c r="E37" s="466">
        <v>224</v>
      </c>
      <c r="F37" s="466"/>
      <c r="G37" s="466"/>
      <c r="H37" s="466"/>
      <c r="I37" s="467"/>
      <c r="J37" s="467"/>
      <c r="K37" s="1693">
        <f t="shared" si="2"/>
        <v>76341</v>
      </c>
      <c r="L37" s="466">
        <v>76644</v>
      </c>
    </row>
    <row r="38" spans="1:14" x14ac:dyDescent="0.2">
      <c r="A38" s="1526" t="s">
        <v>207</v>
      </c>
      <c r="B38" s="615">
        <v>2130</v>
      </c>
      <c r="C38" s="466">
        <v>43643</v>
      </c>
      <c r="D38" s="466">
        <v>13324</v>
      </c>
      <c r="E38" s="466">
        <v>456</v>
      </c>
      <c r="F38" s="466">
        <v>669</v>
      </c>
      <c r="G38" s="466"/>
      <c r="H38" s="466">
        <v>25</v>
      </c>
      <c r="I38" s="467"/>
      <c r="J38" s="467"/>
      <c r="K38" s="1693">
        <f t="shared" si="2"/>
        <v>58117</v>
      </c>
      <c r="L38" s="466">
        <v>61123</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38372</v>
      </c>
      <c r="D40" s="466">
        <v>12833</v>
      </c>
      <c r="E40" s="466">
        <v>19</v>
      </c>
      <c r="F40" s="466">
        <v>95</v>
      </c>
      <c r="G40" s="466"/>
      <c r="H40" s="466"/>
      <c r="I40" s="467"/>
      <c r="J40" s="467"/>
      <c r="K40" s="1693">
        <f t="shared" si="2"/>
        <v>51319</v>
      </c>
      <c r="L40" s="466">
        <v>51109</v>
      </c>
    </row>
    <row r="41" spans="1:14" x14ac:dyDescent="0.2">
      <c r="A41" s="1526" t="s">
        <v>1768</v>
      </c>
      <c r="B41" s="615">
        <v>2190</v>
      </c>
      <c r="C41" s="466"/>
      <c r="D41" s="466"/>
      <c r="E41" s="466"/>
      <c r="F41" s="466"/>
      <c r="G41" s="466"/>
      <c r="H41" s="466"/>
      <c r="I41" s="467"/>
      <c r="J41" s="467"/>
      <c r="K41" s="1693">
        <f t="shared" si="2"/>
        <v>0</v>
      </c>
      <c r="L41" s="466">
        <v>3500</v>
      </c>
    </row>
    <row r="42" spans="1:14" ht="12.75" customHeight="1" thickBot="1" x14ac:dyDescent="0.25">
      <c r="A42" s="1690" t="s">
        <v>581</v>
      </c>
      <c r="B42" s="1691" t="s">
        <v>740</v>
      </c>
      <c r="C42" s="1692">
        <f>SUM(C36:C41)</f>
        <v>142539</v>
      </c>
      <c r="D42" s="1692">
        <f t="shared" ref="D42:L42" si="3">SUM(D36:D41)</f>
        <v>41750</v>
      </c>
      <c r="E42" s="1692">
        <f t="shared" si="3"/>
        <v>699</v>
      </c>
      <c r="F42" s="1692">
        <f t="shared" si="3"/>
        <v>764</v>
      </c>
      <c r="G42" s="1692">
        <f t="shared" si="3"/>
        <v>0</v>
      </c>
      <c r="H42" s="1692">
        <f t="shared" si="3"/>
        <v>25</v>
      </c>
      <c r="I42" s="1692">
        <f t="shared" si="3"/>
        <v>0</v>
      </c>
      <c r="J42" s="1692">
        <f t="shared" si="3"/>
        <v>0</v>
      </c>
      <c r="K42" s="1692">
        <f t="shared" si="3"/>
        <v>185777</v>
      </c>
      <c r="L42" s="1692">
        <f t="shared" si="3"/>
        <v>192376</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95133</v>
      </c>
      <c r="D44" s="481">
        <v>18006</v>
      </c>
      <c r="E44" s="481">
        <v>23548</v>
      </c>
      <c r="F44" s="481">
        <v>81373</v>
      </c>
      <c r="G44" s="481">
        <v>2086</v>
      </c>
      <c r="H44" s="481">
        <v>520</v>
      </c>
      <c r="I44" s="467"/>
      <c r="J44" s="467"/>
      <c r="K44" s="1694">
        <f>SUM(C44:J44)</f>
        <v>220666</v>
      </c>
      <c r="L44" s="481">
        <v>148512</v>
      </c>
    </row>
    <row r="45" spans="1:14" x14ac:dyDescent="0.2">
      <c r="A45" s="1526" t="s">
        <v>869</v>
      </c>
      <c r="B45" s="615">
        <v>2220</v>
      </c>
      <c r="C45" s="466">
        <v>55362</v>
      </c>
      <c r="D45" s="466">
        <v>21009</v>
      </c>
      <c r="E45" s="466"/>
      <c r="F45" s="466">
        <v>7385</v>
      </c>
      <c r="G45" s="466"/>
      <c r="H45" s="466"/>
      <c r="I45" s="467"/>
      <c r="J45" s="467"/>
      <c r="K45" s="1694">
        <f>SUM(C45:J45)</f>
        <v>83756</v>
      </c>
      <c r="L45" s="466">
        <v>91055</v>
      </c>
    </row>
    <row r="46" spans="1:14" x14ac:dyDescent="0.2">
      <c r="A46" s="1526" t="s">
        <v>870</v>
      </c>
      <c r="B46" s="615">
        <v>2230</v>
      </c>
      <c r="C46" s="466"/>
      <c r="D46" s="466"/>
      <c r="E46" s="466"/>
      <c r="F46" s="466">
        <v>8062</v>
      </c>
      <c r="G46" s="466"/>
      <c r="H46" s="466"/>
      <c r="I46" s="467"/>
      <c r="J46" s="467"/>
      <c r="K46" s="1694">
        <f>SUM(C46:J46)</f>
        <v>8062</v>
      </c>
      <c r="L46" s="466">
        <v>8065</v>
      </c>
    </row>
    <row r="47" spans="1:14" ht="12.75" customHeight="1" thickBot="1" x14ac:dyDescent="0.25">
      <c r="A47" s="1690" t="s">
        <v>582</v>
      </c>
      <c r="B47" s="1691" t="s">
        <v>32</v>
      </c>
      <c r="C47" s="1692">
        <f>SUM(C44:C46)</f>
        <v>150495</v>
      </c>
      <c r="D47" s="1692">
        <f t="shared" ref="D47:K47" si="4">SUM(D44:D46)</f>
        <v>39015</v>
      </c>
      <c r="E47" s="1692">
        <f t="shared" si="4"/>
        <v>23548</v>
      </c>
      <c r="F47" s="1692">
        <f t="shared" si="4"/>
        <v>96820</v>
      </c>
      <c r="G47" s="1692">
        <f t="shared" si="4"/>
        <v>2086</v>
      </c>
      <c r="H47" s="1692">
        <f t="shared" si="4"/>
        <v>520</v>
      </c>
      <c r="I47" s="1692">
        <f t="shared" si="4"/>
        <v>0</v>
      </c>
      <c r="J47" s="1692">
        <f t="shared" si="4"/>
        <v>0</v>
      </c>
      <c r="K47" s="1692">
        <f t="shared" si="4"/>
        <v>312484</v>
      </c>
      <c r="L47" s="1692">
        <f>SUM(L44:L46)</f>
        <v>247632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5006</v>
      </c>
      <c r="D49" s="481"/>
      <c r="E49" s="481">
        <v>7874</v>
      </c>
      <c r="F49" s="481">
        <v>5164</v>
      </c>
      <c r="G49" s="481"/>
      <c r="H49" s="481">
        <v>8853</v>
      </c>
      <c r="I49" s="467"/>
      <c r="J49" s="467"/>
      <c r="K49" s="1694">
        <f>SUM(C49:J49)</f>
        <v>26897</v>
      </c>
      <c r="L49" s="481">
        <v>29425</v>
      </c>
    </row>
    <row r="50" spans="1:14" x14ac:dyDescent="0.2">
      <c r="A50" s="1526" t="s">
        <v>872</v>
      </c>
      <c r="B50" s="615">
        <v>2320</v>
      </c>
      <c r="C50" s="466">
        <v>186986</v>
      </c>
      <c r="D50" s="466">
        <v>44545</v>
      </c>
      <c r="E50" s="466">
        <v>5461</v>
      </c>
      <c r="F50" s="466">
        <v>4855</v>
      </c>
      <c r="G50" s="466"/>
      <c r="H50" s="466">
        <v>11635</v>
      </c>
      <c r="I50" s="467"/>
      <c r="J50" s="467"/>
      <c r="K50" s="1694">
        <f>SUM(C50:J50)</f>
        <v>253482</v>
      </c>
      <c r="L50" s="466">
        <v>238354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191992</v>
      </c>
      <c r="D53" s="1692">
        <f t="shared" ref="D53:L53" si="5">SUM(D49:D52)</f>
        <v>44545</v>
      </c>
      <c r="E53" s="1692">
        <f t="shared" si="5"/>
        <v>13335</v>
      </c>
      <c r="F53" s="1692">
        <f t="shared" si="5"/>
        <v>10019</v>
      </c>
      <c r="G53" s="1692">
        <f t="shared" si="5"/>
        <v>0</v>
      </c>
      <c r="H53" s="1692">
        <f t="shared" si="5"/>
        <v>20488</v>
      </c>
      <c r="I53" s="1692">
        <f t="shared" si="5"/>
        <v>0</v>
      </c>
      <c r="J53" s="1692">
        <f t="shared" si="5"/>
        <v>0</v>
      </c>
      <c r="K53" s="1692">
        <f t="shared" si="5"/>
        <v>280379</v>
      </c>
      <c r="L53" s="1692">
        <f t="shared" si="5"/>
        <v>267779</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454803</v>
      </c>
      <c r="D55" s="481">
        <v>113188</v>
      </c>
      <c r="E55" s="481">
        <v>2756</v>
      </c>
      <c r="F55" s="481">
        <v>8474</v>
      </c>
      <c r="G55" s="481"/>
      <c r="H55" s="481">
        <v>4200</v>
      </c>
      <c r="I55" s="467"/>
      <c r="J55" s="467"/>
      <c r="K55" s="1694">
        <f>SUM(C55:J55)</f>
        <v>583421</v>
      </c>
      <c r="L55" s="481">
        <v>622124</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454803</v>
      </c>
      <c r="D57" s="1696">
        <f t="shared" ref="D57:K57" si="6">SUM(D55:D56)</f>
        <v>113188</v>
      </c>
      <c r="E57" s="1696">
        <f t="shared" si="6"/>
        <v>2756</v>
      </c>
      <c r="F57" s="1696">
        <f t="shared" si="6"/>
        <v>8474</v>
      </c>
      <c r="G57" s="1696">
        <f t="shared" si="6"/>
        <v>0</v>
      </c>
      <c r="H57" s="1696">
        <f t="shared" si="6"/>
        <v>4200</v>
      </c>
      <c r="I57" s="1696">
        <f t="shared" si="6"/>
        <v>0</v>
      </c>
      <c r="J57" s="1696">
        <f t="shared" si="6"/>
        <v>0</v>
      </c>
      <c r="K57" s="1696">
        <f t="shared" si="6"/>
        <v>583421</v>
      </c>
      <c r="L57" s="1692">
        <f>SUM(L55:L56)</f>
        <v>622124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38865</v>
      </c>
      <c r="D60" s="466">
        <v>6873</v>
      </c>
      <c r="E60" s="466"/>
      <c r="F60" s="466">
        <v>267</v>
      </c>
      <c r="G60" s="466"/>
      <c r="H60" s="466"/>
      <c r="I60" s="467"/>
      <c r="J60" s="467"/>
      <c r="K60" s="1694">
        <f t="shared" si="7"/>
        <v>46005</v>
      </c>
      <c r="L60" s="466">
        <v>47857</v>
      </c>
      <c r="M60" s="610"/>
      <c r="N60" s="610"/>
    </row>
    <row r="61" spans="1:14" s="343" customFormat="1" x14ac:dyDescent="0.2">
      <c r="A61" s="1526" t="s">
        <v>206</v>
      </c>
      <c r="B61" s="615">
        <v>2540</v>
      </c>
      <c r="C61" s="466"/>
      <c r="D61" s="466"/>
      <c r="E61" s="466">
        <v>22936</v>
      </c>
      <c r="F61" s="466">
        <v>997</v>
      </c>
      <c r="G61" s="466"/>
      <c r="H61" s="466"/>
      <c r="I61" s="467"/>
      <c r="J61" s="467"/>
      <c r="K61" s="1694">
        <f t="shared" si="7"/>
        <v>23933</v>
      </c>
      <c r="L61" s="466">
        <v>20000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140394</v>
      </c>
      <c r="D63" s="466">
        <v>39051</v>
      </c>
      <c r="E63" s="466">
        <v>1546</v>
      </c>
      <c r="F63" s="466">
        <v>161658</v>
      </c>
      <c r="G63" s="466">
        <v>1879</v>
      </c>
      <c r="H63" s="466"/>
      <c r="I63" s="467"/>
      <c r="J63" s="467"/>
      <c r="K63" s="1694">
        <f t="shared" si="7"/>
        <v>344528</v>
      </c>
      <c r="L63" s="466">
        <v>375076</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179259</v>
      </c>
      <c r="D65" s="1692">
        <f t="shared" ref="D65:L65" si="8">SUM(D59:D64)</f>
        <v>45924</v>
      </c>
      <c r="E65" s="1692">
        <f t="shared" si="8"/>
        <v>24482</v>
      </c>
      <c r="F65" s="1692">
        <f t="shared" si="8"/>
        <v>162922</v>
      </c>
      <c r="G65" s="1692">
        <f t="shared" si="8"/>
        <v>1879</v>
      </c>
      <c r="H65" s="1692">
        <f t="shared" si="8"/>
        <v>0</v>
      </c>
      <c r="I65" s="1692">
        <f t="shared" si="8"/>
        <v>0</v>
      </c>
      <c r="J65" s="1692">
        <f t="shared" si="8"/>
        <v>0</v>
      </c>
      <c r="K65" s="1692">
        <f t="shared" si="8"/>
        <v>414466</v>
      </c>
      <c r="L65" s="1692">
        <f t="shared" si="8"/>
        <v>442933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1119088</v>
      </c>
      <c r="D74" s="1699">
        <f t="shared" ref="D74:K74" si="10">SUM(D42,D47,D53,D57,D65,D72,D73)</f>
        <v>284422</v>
      </c>
      <c r="E74" s="1699">
        <f t="shared" si="10"/>
        <v>64820</v>
      </c>
      <c r="F74" s="1699">
        <f t="shared" si="10"/>
        <v>278999</v>
      </c>
      <c r="G74" s="1699">
        <f t="shared" si="10"/>
        <v>3965</v>
      </c>
      <c r="H74" s="1699">
        <f t="shared" si="10"/>
        <v>25233</v>
      </c>
      <c r="I74" s="1699">
        <f t="shared" si="10"/>
        <v>0</v>
      </c>
      <c r="J74" s="1699">
        <f t="shared" si="10"/>
        <v>0</v>
      </c>
      <c r="K74" s="1699">
        <f t="shared" si="10"/>
        <v>1776527</v>
      </c>
      <c r="L74" s="1699">
        <f>SUM(L42,L47,L53,L57,L65,L72,L73)</f>
        <v>1772844</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3000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2556</v>
      </c>
      <c r="F78" s="617"/>
      <c r="G78" s="617"/>
      <c r="H78" s="635"/>
      <c r="I78" s="477"/>
      <c r="J78" s="477"/>
      <c r="K78" s="1693">
        <f t="shared" ref="K78:K83" si="11">SUM(C78:J78)</f>
        <v>2556</v>
      </c>
      <c r="L78" s="481">
        <v>2500</v>
      </c>
    </row>
    <row r="79" spans="1:14" x14ac:dyDescent="0.2">
      <c r="A79" s="1526" t="s">
        <v>322</v>
      </c>
      <c r="B79" s="615">
        <v>4120</v>
      </c>
      <c r="C79" s="617"/>
      <c r="D79" s="617"/>
      <c r="E79" s="466">
        <v>362676</v>
      </c>
      <c r="F79" s="617"/>
      <c r="G79" s="617"/>
      <c r="H79" s="466"/>
      <c r="I79" s="477"/>
      <c r="J79" s="477"/>
      <c r="K79" s="1693">
        <f t="shared" si="11"/>
        <v>362676</v>
      </c>
      <c r="L79" s="466">
        <v>290750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365232</v>
      </c>
      <c r="F84" s="617"/>
      <c r="G84" s="617"/>
      <c r="H84" s="1692">
        <f>SUM(H78:H83)</f>
        <v>0</v>
      </c>
      <c r="I84" s="477"/>
      <c r="J84" s="477"/>
      <c r="K84" s="1692">
        <f>SUM(K78:K83)</f>
        <v>365232</v>
      </c>
      <c r="L84" s="1692">
        <f>SUM(L78:L83)</f>
        <v>293250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365232</v>
      </c>
      <c r="F102" s="617"/>
      <c r="G102" s="617"/>
      <c r="H102" s="1699">
        <f>SUM(H84,H92,H100,H101)</f>
        <v>0</v>
      </c>
      <c r="I102" s="477"/>
      <c r="J102" s="477"/>
      <c r="K102" s="1699">
        <f>SUM(K84,K92,K100,K101)</f>
        <v>365232</v>
      </c>
      <c r="L102" s="1699">
        <f>SUM(L84,L92,L100,L101)</f>
        <v>293250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4161110</v>
      </c>
      <c r="D114" s="1692">
        <f t="shared" ref="D114:K114" si="13">SUM(D33,D74,D75,D102,D112,D113)</f>
        <v>1170398</v>
      </c>
      <c r="E114" s="1692">
        <f t="shared" si="13"/>
        <v>461144</v>
      </c>
      <c r="F114" s="1692">
        <f t="shared" si="13"/>
        <v>481350</v>
      </c>
      <c r="G114" s="1692">
        <f t="shared" si="13"/>
        <v>31712</v>
      </c>
      <c r="H114" s="1692">
        <f>SUM(H33,H74,H75,H102,H112,H113)</f>
        <v>63332</v>
      </c>
      <c r="I114" s="1692">
        <f t="shared" si="13"/>
        <v>0</v>
      </c>
      <c r="J114" s="1692">
        <f t="shared" si="13"/>
        <v>0</v>
      </c>
      <c r="K114" s="1692">
        <f t="shared" si="13"/>
        <v>6369046</v>
      </c>
      <c r="L114" s="1692">
        <f>SUM(L33,L74,L75,L102,L112,L113)</f>
        <v>6096863</v>
      </c>
    </row>
    <row r="115" spans="1:14" ht="13.5" thickTop="1" x14ac:dyDescent="0.2">
      <c r="A115" s="2199" t="s">
        <v>1053</v>
      </c>
      <c r="B115" s="2200"/>
      <c r="C115" s="619"/>
      <c r="D115" s="619"/>
      <c r="E115" s="619"/>
      <c r="F115" s="619"/>
      <c r="G115" s="619"/>
      <c r="H115" s="619"/>
      <c r="I115" s="619"/>
      <c r="J115" s="619"/>
      <c r="K115" s="1706">
        <f>'Revenues 9-14'!C275-'Expenditures 15-22'!K114</f>
        <v>337477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368930</v>
      </c>
      <c r="D124" s="466">
        <v>63075</v>
      </c>
      <c r="E124" s="466">
        <v>237779</v>
      </c>
      <c r="F124" s="466">
        <v>244209</v>
      </c>
      <c r="G124" s="466">
        <v>31238</v>
      </c>
      <c r="H124" s="466">
        <v>460</v>
      </c>
      <c r="I124" s="467"/>
      <c r="J124" s="467"/>
      <c r="K124" s="1692">
        <f>SUM(C124:J124)</f>
        <v>945691</v>
      </c>
      <c r="L124" s="466">
        <v>827518</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368930</v>
      </c>
      <c r="D127" s="1692">
        <f t="shared" ref="D127:L127" si="14">SUM(D122:D126)</f>
        <v>63075</v>
      </c>
      <c r="E127" s="1692">
        <f t="shared" si="14"/>
        <v>237779</v>
      </c>
      <c r="F127" s="1692">
        <f t="shared" si="14"/>
        <v>244209</v>
      </c>
      <c r="G127" s="1692">
        <f t="shared" si="14"/>
        <v>31238</v>
      </c>
      <c r="H127" s="1692">
        <f t="shared" si="14"/>
        <v>460</v>
      </c>
      <c r="I127" s="1692">
        <f t="shared" si="14"/>
        <v>0</v>
      </c>
      <c r="J127" s="1692">
        <f t="shared" si="14"/>
        <v>0</v>
      </c>
      <c r="K127" s="1692">
        <f t="shared" si="14"/>
        <v>945691</v>
      </c>
      <c r="L127" s="1692">
        <f t="shared" si="14"/>
        <v>827518</v>
      </c>
    </row>
    <row r="128" spans="1:14" ht="12.75" customHeight="1" thickTop="1" x14ac:dyDescent="0.2">
      <c r="A128" s="1533" t="s">
        <v>1037</v>
      </c>
      <c r="B128" s="656" t="s">
        <v>595</v>
      </c>
      <c r="C128" s="657"/>
      <c r="D128" s="657"/>
      <c r="E128" s="657"/>
      <c r="F128" s="657"/>
      <c r="G128" s="657"/>
      <c r="H128" s="657"/>
      <c r="I128" s="535"/>
      <c r="J128" s="535"/>
      <c r="K128" s="1707">
        <f>SUM(C128:J128)</f>
        <v>0</v>
      </c>
      <c r="L128" s="657">
        <v>58413</v>
      </c>
    </row>
    <row r="129" spans="1:14" ht="12.75" customHeight="1" thickBot="1" x14ac:dyDescent="0.25">
      <c r="A129" s="1708" t="s">
        <v>865</v>
      </c>
      <c r="B129" s="1709" t="s">
        <v>590</v>
      </c>
      <c r="C129" s="1699">
        <f>SUM(C120,C127,C128)</f>
        <v>368930</v>
      </c>
      <c r="D129" s="1699">
        <f t="shared" ref="D129:L129" si="15">SUM(D120,D127,D128)</f>
        <v>63075</v>
      </c>
      <c r="E129" s="1699">
        <f t="shared" si="15"/>
        <v>237779</v>
      </c>
      <c r="F129" s="1699">
        <f t="shared" si="15"/>
        <v>244209</v>
      </c>
      <c r="G129" s="1699">
        <f t="shared" si="15"/>
        <v>31238</v>
      </c>
      <c r="H129" s="1699">
        <f t="shared" si="15"/>
        <v>460</v>
      </c>
      <c r="I129" s="1699">
        <f t="shared" si="15"/>
        <v>0</v>
      </c>
      <c r="J129" s="1699">
        <f t="shared" si="15"/>
        <v>0</v>
      </c>
      <c r="K129" s="1699">
        <f t="shared" si="15"/>
        <v>945691</v>
      </c>
      <c r="L129" s="1699">
        <f t="shared" si="15"/>
        <v>885931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368930</v>
      </c>
      <c r="D151" s="1692">
        <f t="shared" ref="D151:K151" si="16">SUM(D129,D130,D139,D149,D150)</f>
        <v>63075</v>
      </c>
      <c r="E151" s="1692">
        <f t="shared" si="16"/>
        <v>237779</v>
      </c>
      <c r="F151" s="1692">
        <f t="shared" si="16"/>
        <v>244209</v>
      </c>
      <c r="G151" s="1692">
        <f t="shared" si="16"/>
        <v>31238</v>
      </c>
      <c r="H151" s="1692">
        <f t="shared" si="16"/>
        <v>460</v>
      </c>
      <c r="I151" s="1692">
        <f t="shared" si="16"/>
        <v>0</v>
      </c>
      <c r="J151" s="1692">
        <f t="shared" si="16"/>
        <v>0</v>
      </c>
      <c r="K151" s="1692">
        <f t="shared" si="16"/>
        <v>945691</v>
      </c>
      <c r="L151" s="1692">
        <f>SUM(L129,L130,L139,L149,L150)</f>
        <v>885931</v>
      </c>
    </row>
    <row r="152" spans="1:14" ht="12.75" customHeight="1" thickTop="1" x14ac:dyDescent="0.2">
      <c r="A152" s="2192" t="s">
        <v>1240</v>
      </c>
      <c r="B152" s="2193"/>
      <c r="C152" s="619"/>
      <c r="D152" s="619"/>
      <c r="E152" s="619"/>
      <c r="F152" s="619"/>
      <c r="G152" s="619"/>
      <c r="H152" s="619"/>
      <c r="I152" s="619"/>
      <c r="J152" s="617"/>
      <c r="K152" s="1706">
        <f>'Revenues 9-14'!D275-'Expenditures 15-22'!K151</f>
        <v>-48395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258959</v>
      </c>
      <c r="I169" s="617"/>
      <c r="J169" s="617"/>
      <c r="K169" s="1693">
        <f>SUM(C169:H169)</f>
        <v>258959</v>
      </c>
      <c r="L169" s="657">
        <v>276000</v>
      </c>
    </row>
    <row r="170" spans="1:14" ht="33.75" customHeight="1" x14ac:dyDescent="0.2">
      <c r="A170" s="670" t="s">
        <v>1769</v>
      </c>
      <c r="B170" s="672" t="s">
        <v>31</v>
      </c>
      <c r="C170" s="617"/>
      <c r="D170" s="617"/>
      <c r="E170" s="617"/>
      <c r="F170" s="617"/>
      <c r="G170" s="617"/>
      <c r="H170" s="569">
        <v>375000</v>
      </c>
      <c r="I170" s="617"/>
      <c r="J170" s="617"/>
      <c r="K170" s="1693">
        <f>SUM(C170:J170)</f>
        <v>375000</v>
      </c>
      <c r="L170" s="569">
        <v>360000</v>
      </c>
    </row>
    <row r="171" spans="1:14" ht="15.75" customHeight="1" x14ac:dyDescent="0.2">
      <c r="A171" s="622" t="s">
        <v>790</v>
      </c>
      <c r="B171" s="673" t="s">
        <v>86</v>
      </c>
      <c r="C171" s="617"/>
      <c r="D171" s="617"/>
      <c r="E171" s="466"/>
      <c r="F171" s="617"/>
      <c r="G171" s="617"/>
      <c r="H171" s="569">
        <v>1700</v>
      </c>
      <c r="I171" s="477"/>
      <c r="J171" s="617"/>
      <c r="K171" s="1693">
        <f>SUM(C171:J171)</f>
        <v>1700</v>
      </c>
      <c r="L171" s="569"/>
    </row>
    <row r="172" spans="1:14" ht="12.75" customHeight="1" thickBot="1" x14ac:dyDescent="0.25">
      <c r="A172" s="1690" t="s">
        <v>659</v>
      </c>
      <c r="B172" s="1691" t="s">
        <v>513</v>
      </c>
      <c r="C172" s="617"/>
      <c r="D172" s="617"/>
      <c r="E172" s="1699">
        <f>SUM(E168,E169,E170,E171)</f>
        <v>0</v>
      </c>
      <c r="F172" s="617"/>
      <c r="G172" s="617"/>
      <c r="H172" s="1699">
        <f>SUM(H168,H169,H170,H171)</f>
        <v>635659</v>
      </c>
      <c r="I172" s="639"/>
      <c r="J172" s="617"/>
      <c r="K172" s="1699">
        <f>SUM(K168,K169,K170,K171)</f>
        <v>635659</v>
      </c>
      <c r="L172" s="1699">
        <f>SUM(L168,L169,L170,L171)</f>
        <v>636000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635659</v>
      </c>
      <c r="I174" s="639"/>
      <c r="J174" s="617"/>
      <c r="K174" s="1699">
        <f>SUM(K160,K172,K173)</f>
        <v>635659</v>
      </c>
      <c r="L174" s="1699">
        <f>SUM(L160,L172,L173)</f>
        <v>636000</v>
      </c>
    </row>
    <row r="175" spans="1:14" ht="13.5" thickTop="1" x14ac:dyDescent="0.2">
      <c r="A175" s="2199" t="s">
        <v>1053</v>
      </c>
      <c r="B175" s="2200"/>
      <c r="C175" s="617"/>
      <c r="D175" s="617"/>
      <c r="E175" s="617"/>
      <c r="F175" s="617"/>
      <c r="G175" s="617"/>
      <c r="H175" s="619"/>
      <c r="I175" s="617"/>
      <c r="J175" s="617"/>
      <c r="K175" s="1706">
        <f>'Revenues 9-14'!E275-'Expenditures 15-22'!K174</f>
        <v>-10363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309133</v>
      </c>
      <c r="D182" s="466">
        <v>14638</v>
      </c>
      <c r="E182" s="466">
        <v>190071</v>
      </c>
      <c r="F182" s="466">
        <v>56464</v>
      </c>
      <c r="G182" s="466">
        <v>16525</v>
      </c>
      <c r="H182" s="466"/>
      <c r="I182" s="467"/>
      <c r="J182" s="467"/>
      <c r="K182" s="1693">
        <f>SUM(C182:J182)</f>
        <v>586831</v>
      </c>
      <c r="L182" s="466">
        <v>603104</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309133</v>
      </c>
      <c r="D184" s="1699">
        <f t="shared" ref="D184:J184" si="17">SUM(D180,D182,D183)</f>
        <v>14638</v>
      </c>
      <c r="E184" s="1699">
        <f t="shared" si="17"/>
        <v>190071</v>
      </c>
      <c r="F184" s="1699">
        <f t="shared" si="17"/>
        <v>56464</v>
      </c>
      <c r="G184" s="1699">
        <f t="shared" si="17"/>
        <v>16525</v>
      </c>
      <c r="H184" s="1699">
        <f t="shared" si="17"/>
        <v>0</v>
      </c>
      <c r="I184" s="1699">
        <f t="shared" si="17"/>
        <v>0</v>
      </c>
      <c r="J184" s="1699">
        <f t="shared" si="17"/>
        <v>0</v>
      </c>
      <c r="K184" s="1699">
        <f>SUM(K180,K182,K183)</f>
        <v>586831</v>
      </c>
      <c r="L184" s="1699">
        <f>SUM(L180, L182:L183)</f>
        <v>603104</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309133</v>
      </c>
      <c r="D210" s="1692">
        <f>SUM(D184,D185)</f>
        <v>14638</v>
      </c>
      <c r="E210" s="1692">
        <f>SUM(E184,E185,E196)</f>
        <v>190071</v>
      </c>
      <c r="F210" s="1692">
        <f>SUM(F184,F185)</f>
        <v>56464</v>
      </c>
      <c r="G210" s="1692">
        <f>SUM(G184,G185)</f>
        <v>16525</v>
      </c>
      <c r="H210" s="1692">
        <f>SUM(H184,H185,H196,H208,H209)</f>
        <v>0</v>
      </c>
      <c r="I210" s="1692">
        <f>SUM(I184,I185)</f>
        <v>0</v>
      </c>
      <c r="J210" s="1692">
        <f>SUM(J184,J185)</f>
        <v>0</v>
      </c>
      <c r="K210" s="1693">
        <f>SUM(K184,K185,K196,K208,K209)</f>
        <v>586831</v>
      </c>
      <c r="L210" s="1692">
        <f>SUM(L184,L185,L196,L208,L209)</f>
        <v>603104</v>
      </c>
    </row>
    <row r="211" spans="1:14" ht="13.5" thickTop="1" x14ac:dyDescent="0.2">
      <c r="A211" s="2199" t="s">
        <v>1053</v>
      </c>
      <c r="B211" s="2200"/>
      <c r="C211" s="619"/>
      <c r="D211" s="619"/>
      <c r="E211" s="619"/>
      <c r="F211" s="619"/>
      <c r="G211" s="619"/>
      <c r="H211" s="619"/>
      <c r="I211" s="617"/>
      <c r="J211" s="617"/>
      <c r="K211" s="1706">
        <f>'Revenues 9-14'!F275-'Expenditures 15-22'!K210</f>
        <v>21246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48939</v>
      </c>
      <c r="E215" s="617"/>
      <c r="F215" s="617"/>
      <c r="G215" s="617"/>
      <c r="H215" s="617"/>
      <c r="I215" s="617"/>
      <c r="J215" s="617"/>
      <c r="K215" s="1693">
        <f>D215</f>
        <v>48939</v>
      </c>
      <c r="L215" s="466">
        <v>39781</v>
      </c>
    </row>
    <row r="216" spans="1:14" x14ac:dyDescent="0.2">
      <c r="A216" s="1526" t="s">
        <v>165</v>
      </c>
      <c r="B216" s="615" t="s">
        <v>1024</v>
      </c>
      <c r="C216" s="617"/>
      <c r="D216" s="467">
        <v>4930</v>
      </c>
      <c r="E216" s="617"/>
      <c r="F216" s="617"/>
      <c r="G216" s="617"/>
      <c r="H216" s="617"/>
      <c r="I216" s="617"/>
      <c r="J216" s="617"/>
      <c r="K216" s="1693">
        <f t="shared" ref="K216:K228" si="19">D216</f>
        <v>4930</v>
      </c>
      <c r="L216" s="466">
        <v>5338</v>
      </c>
    </row>
    <row r="217" spans="1:14" x14ac:dyDescent="0.2">
      <c r="A217" s="1526" t="s">
        <v>166</v>
      </c>
      <c r="B217" s="615">
        <v>1200</v>
      </c>
      <c r="C217" s="617"/>
      <c r="D217" s="466">
        <v>34182</v>
      </c>
      <c r="E217" s="617"/>
      <c r="F217" s="617"/>
      <c r="G217" s="617"/>
      <c r="H217" s="617"/>
      <c r="I217" s="617"/>
      <c r="J217" s="617"/>
      <c r="K217" s="1693">
        <f t="shared" si="19"/>
        <v>34182</v>
      </c>
      <c r="L217" s="466">
        <v>33849</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10181</v>
      </c>
      <c r="E219" s="617"/>
      <c r="F219" s="617"/>
      <c r="G219" s="617"/>
      <c r="H219" s="617"/>
      <c r="I219" s="617"/>
      <c r="J219" s="617"/>
      <c r="K219" s="1693">
        <f t="shared" si="19"/>
        <v>10181</v>
      </c>
      <c r="L219" s="466">
        <v>9347</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1926</v>
      </c>
      <c r="E222" s="617"/>
      <c r="F222" s="617"/>
      <c r="G222" s="617"/>
      <c r="H222" s="617"/>
      <c r="I222" s="617"/>
      <c r="J222" s="617"/>
      <c r="K222" s="1693">
        <f t="shared" si="19"/>
        <v>1926</v>
      </c>
      <c r="L222" s="466">
        <v>1892</v>
      </c>
    </row>
    <row r="223" spans="1:14" x14ac:dyDescent="0.2">
      <c r="A223" s="1526" t="s">
        <v>1020</v>
      </c>
      <c r="B223" s="615">
        <v>1500</v>
      </c>
      <c r="C223" s="617"/>
      <c r="D223" s="466">
        <v>3292</v>
      </c>
      <c r="E223" s="617"/>
      <c r="F223" s="617"/>
      <c r="G223" s="617"/>
      <c r="H223" s="617"/>
      <c r="I223" s="617"/>
      <c r="J223" s="617"/>
      <c r="K223" s="1693">
        <f t="shared" si="19"/>
        <v>3292</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586</v>
      </c>
      <c r="E226" s="617"/>
      <c r="F226" s="617"/>
      <c r="G226" s="617"/>
      <c r="H226" s="617"/>
      <c r="I226" s="617"/>
      <c r="J226" s="617"/>
      <c r="K226" s="1693">
        <f t="shared" si="19"/>
        <v>586</v>
      </c>
      <c r="L226" s="466">
        <v>596</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104036</v>
      </c>
      <c r="E229" s="617"/>
      <c r="F229" s="617"/>
      <c r="G229" s="617"/>
      <c r="H229" s="617"/>
      <c r="I229" s="617"/>
      <c r="J229" s="617"/>
      <c r="K229" s="1692">
        <f>SUM(K215:K228)</f>
        <v>104036</v>
      </c>
      <c r="L229" s="1692">
        <f>SUM(L215:L228)</f>
        <v>90803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874</v>
      </c>
      <c r="E233" s="617"/>
      <c r="F233" s="617"/>
      <c r="G233" s="617"/>
      <c r="H233" s="617"/>
      <c r="I233" s="617"/>
      <c r="J233" s="617"/>
      <c r="K233" s="1693">
        <f t="shared" si="20"/>
        <v>874</v>
      </c>
      <c r="L233" s="466">
        <v>879</v>
      </c>
    </row>
    <row r="234" spans="1:12" x14ac:dyDescent="0.2">
      <c r="A234" s="1526" t="s">
        <v>207</v>
      </c>
      <c r="B234" s="615">
        <v>2130</v>
      </c>
      <c r="C234" s="617"/>
      <c r="D234" s="466">
        <v>619</v>
      </c>
      <c r="E234" s="617"/>
      <c r="F234" s="617"/>
      <c r="G234" s="617"/>
      <c r="H234" s="617"/>
      <c r="I234" s="617"/>
      <c r="J234" s="617"/>
      <c r="K234" s="1693">
        <f t="shared" si="20"/>
        <v>619</v>
      </c>
      <c r="L234" s="466">
        <v>662</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535</v>
      </c>
      <c r="E236" s="617"/>
      <c r="F236" s="617"/>
      <c r="G236" s="617"/>
      <c r="H236" s="617"/>
      <c r="I236" s="617"/>
      <c r="J236" s="617"/>
      <c r="K236" s="1693">
        <f t="shared" si="20"/>
        <v>535</v>
      </c>
      <c r="L236" s="466">
        <v>558</v>
      </c>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2028</v>
      </c>
      <c r="E238" s="617"/>
      <c r="F238" s="617"/>
      <c r="G238" s="617"/>
      <c r="H238" s="617"/>
      <c r="I238" s="617"/>
      <c r="J238" s="617"/>
      <c r="K238" s="1692">
        <f>SUM(K232:K237)</f>
        <v>2028</v>
      </c>
      <c r="L238" s="1692">
        <f>SUM(L232:L237)</f>
        <v>2099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1381</v>
      </c>
      <c r="E240" s="617"/>
      <c r="F240" s="617"/>
      <c r="G240" s="617"/>
      <c r="H240" s="617"/>
      <c r="I240" s="617"/>
      <c r="J240" s="617"/>
      <c r="K240" s="1694">
        <f>D240</f>
        <v>1381</v>
      </c>
      <c r="L240" s="481">
        <v>1265</v>
      </c>
    </row>
    <row r="241" spans="1:12" x14ac:dyDescent="0.2">
      <c r="A241" s="1526" t="s">
        <v>869</v>
      </c>
      <c r="B241" s="615">
        <v>2220</v>
      </c>
      <c r="C241" s="617"/>
      <c r="D241" s="466">
        <v>12365</v>
      </c>
      <c r="E241" s="617"/>
      <c r="F241" s="617"/>
      <c r="G241" s="617"/>
      <c r="H241" s="617"/>
      <c r="I241" s="617"/>
      <c r="J241" s="617"/>
      <c r="K241" s="1694">
        <f>D241</f>
        <v>12365</v>
      </c>
      <c r="L241" s="466">
        <v>13161</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13746</v>
      </c>
      <c r="E243" s="617"/>
      <c r="F243" s="617"/>
      <c r="G243" s="617"/>
      <c r="H243" s="617"/>
      <c r="I243" s="617"/>
      <c r="J243" s="617"/>
      <c r="K243" s="1692">
        <f>SUM(K240:K242)</f>
        <v>13746</v>
      </c>
      <c r="L243" s="1692">
        <f>SUM(L240:L242)</f>
        <v>14426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890</v>
      </c>
      <c r="E245" s="617"/>
      <c r="F245" s="617"/>
      <c r="G245" s="617"/>
      <c r="H245" s="617"/>
      <c r="I245" s="617"/>
      <c r="J245" s="617"/>
      <c r="K245" s="1694">
        <f>D245</f>
        <v>890</v>
      </c>
      <c r="L245" s="481"/>
    </row>
    <row r="246" spans="1:12" x14ac:dyDescent="0.2">
      <c r="A246" s="1526" t="s">
        <v>872</v>
      </c>
      <c r="B246" s="615">
        <v>2320</v>
      </c>
      <c r="C246" s="617"/>
      <c r="D246" s="466">
        <v>18572</v>
      </c>
      <c r="E246" s="617"/>
      <c r="F246" s="617"/>
      <c r="G246" s="617"/>
      <c r="H246" s="617"/>
      <c r="I246" s="617"/>
      <c r="J246" s="617"/>
      <c r="K246" s="1694">
        <f t="shared" ref="K246:K256" si="21">D246</f>
        <v>18572</v>
      </c>
      <c r="L246" s="466">
        <v>18615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19462</v>
      </c>
      <c r="E257" s="617"/>
      <c r="F257" s="617"/>
      <c r="G257" s="617"/>
      <c r="H257" s="617"/>
      <c r="I257" s="617"/>
      <c r="J257" s="617"/>
      <c r="K257" s="1692">
        <f>SUM(K245:K256)</f>
        <v>19462</v>
      </c>
      <c r="L257" s="1692">
        <f>SUM(L245:L256)</f>
        <v>18615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31820</v>
      </c>
      <c r="E259" s="617"/>
      <c r="F259" s="617"/>
      <c r="G259" s="617"/>
      <c r="H259" s="617"/>
      <c r="I259" s="617"/>
      <c r="J259" s="617"/>
      <c r="K259" s="1694">
        <f>D259</f>
        <v>31820</v>
      </c>
      <c r="L259" s="481">
        <v>32443</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31820</v>
      </c>
      <c r="E261" s="617"/>
      <c r="F261" s="617"/>
      <c r="G261" s="617"/>
      <c r="H261" s="617"/>
      <c r="I261" s="617"/>
      <c r="J261" s="617"/>
      <c r="K261" s="1692">
        <f>SUM(K259:K260)</f>
        <v>31820</v>
      </c>
      <c r="L261" s="1692">
        <f>SUM(L259:L260)</f>
        <v>32443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7944</v>
      </c>
      <c r="E264" s="617"/>
      <c r="F264" s="617"/>
      <c r="G264" s="617"/>
      <c r="H264" s="617"/>
      <c r="I264" s="617"/>
      <c r="J264" s="617"/>
      <c r="K264" s="1694">
        <f t="shared" ref="K264:K269" si="22">D264</f>
        <v>7944</v>
      </c>
      <c r="L264" s="466">
        <v>8166</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74494</v>
      </c>
      <c r="E266" s="617"/>
      <c r="F266" s="617"/>
      <c r="G266" s="617"/>
      <c r="H266" s="617"/>
      <c r="I266" s="617"/>
      <c r="J266" s="617"/>
      <c r="K266" s="1694">
        <f t="shared" si="22"/>
        <v>74494</v>
      </c>
      <c r="L266" s="466">
        <v>76187</v>
      </c>
    </row>
    <row r="267" spans="1:14" x14ac:dyDescent="0.2">
      <c r="A267" s="1526" t="s">
        <v>1010</v>
      </c>
      <c r="B267" s="615">
        <v>2550</v>
      </c>
      <c r="C267" s="617"/>
      <c r="D267" s="466">
        <v>61184</v>
      </c>
      <c r="E267" s="617"/>
      <c r="F267" s="617"/>
      <c r="G267" s="617"/>
      <c r="H267" s="617"/>
      <c r="I267" s="617"/>
      <c r="J267" s="617"/>
      <c r="K267" s="1694">
        <f t="shared" si="22"/>
        <v>61184</v>
      </c>
      <c r="L267" s="466">
        <v>62649</v>
      </c>
    </row>
    <row r="268" spans="1:14" x14ac:dyDescent="0.2">
      <c r="A268" s="1526" t="s">
        <v>102</v>
      </c>
      <c r="B268" s="615">
        <v>2560</v>
      </c>
      <c r="C268" s="617"/>
      <c r="D268" s="466">
        <v>33167</v>
      </c>
      <c r="E268" s="617"/>
      <c r="F268" s="617"/>
      <c r="G268" s="617"/>
      <c r="H268" s="617"/>
      <c r="I268" s="617"/>
      <c r="J268" s="617"/>
      <c r="K268" s="1694">
        <f t="shared" si="22"/>
        <v>33167</v>
      </c>
      <c r="L268" s="466">
        <v>33604</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176789</v>
      </c>
      <c r="E270" s="617"/>
      <c r="F270" s="617"/>
      <c r="G270" s="617"/>
      <c r="H270" s="617"/>
      <c r="I270" s="617"/>
      <c r="J270" s="617"/>
      <c r="K270" s="1692">
        <f>SUM(K263:K269)</f>
        <v>176789</v>
      </c>
      <c r="L270" s="1692">
        <f>SUM(L263:L269)</f>
        <v>180606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243845</v>
      </c>
      <c r="E279" s="617"/>
      <c r="F279" s="617"/>
      <c r="G279" s="617"/>
      <c r="H279" s="617"/>
      <c r="I279" s="617"/>
      <c r="J279" s="617"/>
      <c r="K279" s="1699">
        <f>SUM(K238,K243,K257,K261,K270,K277,K278)</f>
        <v>243845</v>
      </c>
      <c r="L279" s="1699">
        <f>SUM(L238,L243,L257,L261,L270,L277,L278)</f>
        <v>248189</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347881</v>
      </c>
      <c r="E295" s="617"/>
      <c r="F295" s="617"/>
      <c r="G295" s="617"/>
      <c r="H295" s="1692">
        <f>H293</f>
        <v>0</v>
      </c>
      <c r="I295" s="617"/>
      <c r="J295" s="617"/>
      <c r="K295" s="1692">
        <f>SUM(K229,K279,K280,K285,K293,K294)</f>
        <v>347881</v>
      </c>
      <c r="L295" s="1692">
        <f>SUM(L229,L279,L280,L285,L293,L294)</f>
        <v>338992</v>
      </c>
    </row>
    <row r="296" spans="1:14" ht="13.5" thickTop="1" x14ac:dyDescent="0.2">
      <c r="A296" s="2199" t="s">
        <v>1053</v>
      </c>
      <c r="B296" s="2200"/>
      <c r="C296" s="617"/>
      <c r="D296" s="619"/>
      <c r="E296" s="617"/>
      <c r="F296" s="617"/>
      <c r="G296" s="617"/>
      <c r="H296" s="688"/>
      <c r="I296" s="617"/>
      <c r="J296" s="617"/>
      <c r="K296" s="1706">
        <f>'Revenues 9-14'!G275-'Expenditures 15-22'!K295</f>
        <v>47700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80128</v>
      </c>
      <c r="F320" s="467"/>
      <c r="G320" s="467"/>
      <c r="H320" s="467"/>
      <c r="I320" s="467"/>
      <c r="J320" s="467"/>
      <c r="K320" s="1693">
        <f t="shared" ref="K320:K327" si="24">SUM(C320:J320)</f>
        <v>80128</v>
      </c>
      <c r="L320" s="467">
        <v>80128</v>
      </c>
      <c r="M320" s="666"/>
      <c r="N320" s="666"/>
    </row>
    <row r="321" spans="1:14" s="675" customFormat="1" x14ac:dyDescent="0.2">
      <c r="A321" s="1541" t="s">
        <v>318</v>
      </c>
      <c r="B321" s="698" t="s">
        <v>301</v>
      </c>
      <c r="C321" s="467"/>
      <c r="D321" s="467">
        <v>29833</v>
      </c>
      <c r="E321" s="467"/>
      <c r="F321" s="467"/>
      <c r="G321" s="467"/>
      <c r="H321" s="467"/>
      <c r="I321" s="467"/>
      <c r="J321" s="467"/>
      <c r="K321" s="1693">
        <f t="shared" si="24"/>
        <v>29833</v>
      </c>
      <c r="L321" s="467">
        <v>37000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v>24296</v>
      </c>
      <c r="D323" s="467">
        <v>1168</v>
      </c>
      <c r="E323" s="467">
        <v>13115</v>
      </c>
      <c r="F323" s="467"/>
      <c r="G323" s="467"/>
      <c r="H323" s="467"/>
      <c r="I323" s="467"/>
      <c r="J323" s="467"/>
      <c r="K323" s="1693">
        <f t="shared" si="24"/>
        <v>38579</v>
      </c>
      <c r="L323" s="467">
        <v>205610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7006</v>
      </c>
      <c r="F325" s="467"/>
      <c r="G325" s="467"/>
      <c r="H325" s="467"/>
      <c r="I325" s="467"/>
      <c r="J325" s="467"/>
      <c r="K325" s="1693">
        <f t="shared" si="24"/>
        <v>7006</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8948</v>
      </c>
      <c r="F327" s="467"/>
      <c r="G327" s="467"/>
      <c r="H327" s="467"/>
      <c r="I327" s="467"/>
      <c r="J327" s="467"/>
      <c r="K327" s="1693">
        <f t="shared" si="24"/>
        <v>8948</v>
      </c>
      <c r="L327" s="467"/>
      <c r="M327" s="666"/>
      <c r="N327" s="666"/>
    </row>
    <row r="328" spans="1:14" s="675" customFormat="1" x14ac:dyDescent="0.2">
      <c r="A328" s="1542" t="s">
        <v>492</v>
      </c>
      <c r="B328" s="691" t="s">
        <v>1194</v>
      </c>
      <c r="C328" s="474"/>
      <c r="D328" s="474"/>
      <c r="E328" s="474">
        <v>82375</v>
      </c>
      <c r="F328" s="474"/>
      <c r="G328" s="474"/>
      <c r="H328" s="474"/>
      <c r="I328" s="474"/>
      <c r="J328" s="474"/>
      <c r="K328" s="1721">
        <f>SUM(C328:J328)</f>
        <v>82375</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v>84527</v>
      </c>
      <c r="M329" s="666"/>
      <c r="N329" s="666"/>
    </row>
    <row r="330" spans="1:14" s="675" customFormat="1" ht="12.75" customHeight="1" thickBot="1" x14ac:dyDescent="0.25">
      <c r="A330" s="1722" t="s">
        <v>741</v>
      </c>
      <c r="B330" s="1691" t="s">
        <v>590</v>
      </c>
      <c r="C330" s="1692">
        <f>SUM(C319:C329)</f>
        <v>24296</v>
      </c>
      <c r="D330" s="1692">
        <f t="shared" ref="D330:J330" si="25">SUM(D319:D329)</f>
        <v>31001</v>
      </c>
      <c r="E330" s="1692">
        <f t="shared" si="25"/>
        <v>191572</v>
      </c>
      <c r="F330" s="1692">
        <f t="shared" si="25"/>
        <v>0</v>
      </c>
      <c r="G330" s="1692">
        <f t="shared" si="25"/>
        <v>0</v>
      </c>
      <c r="H330" s="1692">
        <f t="shared" si="25"/>
        <v>0</v>
      </c>
      <c r="I330" s="1692">
        <f t="shared" si="25"/>
        <v>0</v>
      </c>
      <c r="J330" s="1692">
        <f t="shared" si="25"/>
        <v>0</v>
      </c>
      <c r="K330" s="1692">
        <f>SUM(K319:K329)</f>
        <v>246869</v>
      </c>
      <c r="L330" s="1692">
        <f>SUM(L319:L329)</f>
        <v>407265</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24296</v>
      </c>
      <c r="D342" s="1692">
        <f>SUM(D330)</f>
        <v>31001</v>
      </c>
      <c r="E342" s="1692">
        <f>SUM(E330)</f>
        <v>191572</v>
      </c>
      <c r="F342" s="1692">
        <f>SUM(F330)</f>
        <v>0</v>
      </c>
      <c r="G342" s="1692">
        <f>SUM(G330)</f>
        <v>0</v>
      </c>
      <c r="H342" s="1692">
        <f>SUM(H330,H334,H340)</f>
        <v>0</v>
      </c>
      <c r="I342" s="1692">
        <f>SUM(I330)</f>
        <v>0</v>
      </c>
      <c r="J342" s="1692">
        <f>SUM(J330)</f>
        <v>0</v>
      </c>
      <c r="K342" s="1692">
        <f>SUM(K330,K334,K340)</f>
        <v>246869</v>
      </c>
      <c r="L342" s="1699">
        <f>SUM(L330,L340,L341)</f>
        <v>407265</v>
      </c>
    </row>
    <row r="343" spans="1:14" ht="12.75" customHeight="1" thickTop="1" x14ac:dyDescent="0.2">
      <c r="A343" s="2185" t="s">
        <v>1053</v>
      </c>
      <c r="B343" s="2186"/>
      <c r="C343" s="617"/>
      <c r="D343" s="617"/>
      <c r="E343" s="617"/>
      <c r="F343" s="617"/>
      <c r="G343" s="617"/>
      <c r="H343" s="617"/>
      <c r="I343" s="617"/>
      <c r="J343" s="617"/>
      <c r="K343" s="1706">
        <f>'Revenues 9-14'!J275-'Expenditures 15-22'!K342</f>
        <v>173061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30831</v>
      </c>
      <c r="F348" s="466">
        <v>1952</v>
      </c>
      <c r="G348" s="466"/>
      <c r="H348" s="466"/>
      <c r="I348" s="467"/>
      <c r="J348" s="467"/>
      <c r="K348" s="1693">
        <f>SUM(C348:J348)</f>
        <v>32783</v>
      </c>
      <c r="L348" s="466">
        <v>20600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30831</v>
      </c>
      <c r="F350" s="1692">
        <f t="shared" si="26"/>
        <v>1952</v>
      </c>
      <c r="G350" s="1692">
        <f t="shared" si="26"/>
        <v>0</v>
      </c>
      <c r="H350" s="1692">
        <f t="shared" si="26"/>
        <v>0</v>
      </c>
      <c r="I350" s="1692">
        <f t="shared" si="26"/>
        <v>0</v>
      </c>
      <c r="J350" s="1692">
        <f t="shared" si="26"/>
        <v>0</v>
      </c>
      <c r="K350" s="1692">
        <f t="shared" si="26"/>
        <v>32783</v>
      </c>
      <c r="L350" s="1692">
        <f t="shared" si="26"/>
        <v>20600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30831</v>
      </c>
      <c r="F352" s="1692">
        <f t="shared" si="27"/>
        <v>1952</v>
      </c>
      <c r="G352" s="1692">
        <f t="shared" si="27"/>
        <v>0</v>
      </c>
      <c r="H352" s="1692">
        <f t="shared" si="27"/>
        <v>0</v>
      </c>
      <c r="I352" s="1692">
        <f t="shared" si="27"/>
        <v>0</v>
      </c>
      <c r="J352" s="1692">
        <f t="shared" si="27"/>
        <v>0</v>
      </c>
      <c r="K352" s="1692">
        <f t="shared" si="27"/>
        <v>32783</v>
      </c>
      <c r="L352" s="1692">
        <f t="shared" si="27"/>
        <v>20600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30831</v>
      </c>
      <c r="F367" s="1692">
        <f t="shared" si="28"/>
        <v>1952</v>
      </c>
      <c r="G367" s="1692">
        <f t="shared" si="28"/>
        <v>0</v>
      </c>
      <c r="H367" s="1692">
        <f t="shared" si="28"/>
        <v>0</v>
      </c>
      <c r="I367" s="1692">
        <f t="shared" si="28"/>
        <v>0</v>
      </c>
      <c r="J367" s="1692">
        <f t="shared" si="28"/>
        <v>0</v>
      </c>
      <c r="K367" s="1692">
        <f t="shared" si="28"/>
        <v>32783</v>
      </c>
      <c r="L367" s="1692">
        <f t="shared" si="28"/>
        <v>20600</v>
      </c>
    </row>
    <row r="368" spans="1:14" ht="13.5" thickTop="1" x14ac:dyDescent="0.2">
      <c r="A368" s="2199" t="s">
        <v>1053</v>
      </c>
      <c r="B368" s="2200"/>
      <c r="C368" s="655"/>
      <c r="D368" s="655"/>
      <c r="E368" s="627"/>
      <c r="F368" s="627"/>
      <c r="G368" s="627"/>
      <c r="H368" s="627"/>
      <c r="I368" s="627"/>
      <c r="J368" s="624"/>
      <c r="K368" s="1693">
        <f>'Revenues 9-14'!K275-'Expenditures 15-22'!K367</f>
        <v>8079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3" sqref="C1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1998877</v>
      </c>
      <c r="C4" s="1546">
        <v>594</v>
      </c>
      <c r="D4" s="1774">
        <f>B4-C4</f>
        <v>1998283</v>
      </c>
      <c r="E4" s="1546">
        <v>2064852</v>
      </c>
      <c r="F4" s="1774">
        <f>E4-C4</f>
        <v>2064258</v>
      </c>
    </row>
    <row r="5" spans="1:6" ht="13.7" customHeight="1" x14ac:dyDescent="0.2">
      <c r="A5" s="716" t="s">
        <v>925</v>
      </c>
      <c r="B5" s="1772">
        <f>'Revenues 9-14'!D5</f>
        <v>475926</v>
      </c>
      <c r="C5" s="585">
        <v>141</v>
      </c>
      <c r="D5" s="1775">
        <f t="shared" ref="D5:D18" si="0">B5-C5</f>
        <v>475785</v>
      </c>
      <c r="E5" s="585">
        <v>491631</v>
      </c>
      <c r="F5" s="1775">
        <f>E5-C5</f>
        <v>491490</v>
      </c>
    </row>
    <row r="6" spans="1:6" ht="13.7" customHeight="1" x14ac:dyDescent="0.2">
      <c r="A6" s="716" t="s">
        <v>431</v>
      </c>
      <c r="B6" s="1772">
        <f>'Revenues 9-14'!E5</f>
        <v>624956</v>
      </c>
      <c r="C6" s="585">
        <v>187</v>
      </c>
      <c r="D6" s="1775">
        <f t="shared" si="0"/>
        <v>624769</v>
      </c>
      <c r="E6" s="585">
        <v>643308</v>
      </c>
      <c r="F6" s="1775">
        <f t="shared" ref="F6:F18" si="1">E6-C6</f>
        <v>643121</v>
      </c>
    </row>
    <row r="7" spans="1:6" ht="13.7" customHeight="1" x14ac:dyDescent="0.2">
      <c r="A7" s="716" t="s">
        <v>157</v>
      </c>
      <c r="B7" s="1772">
        <f>'Revenues 9-14'!F5</f>
        <v>158641</v>
      </c>
      <c r="C7" s="585">
        <v>47</v>
      </c>
      <c r="D7" s="1775">
        <f t="shared" si="0"/>
        <v>158594</v>
      </c>
      <c r="E7" s="585">
        <v>163877</v>
      </c>
      <c r="F7" s="1775">
        <f t="shared" si="1"/>
        <v>163830</v>
      </c>
    </row>
    <row r="8" spans="1:6" ht="13.7" customHeight="1" x14ac:dyDescent="0.2">
      <c r="A8" s="716" t="s">
        <v>1241</v>
      </c>
      <c r="B8" s="1772">
        <f>'Revenues 9-14'!G5</f>
        <v>207018</v>
      </c>
      <c r="C8" s="585">
        <v>61</v>
      </c>
      <c r="D8" s="1775">
        <f t="shared" si="0"/>
        <v>206957</v>
      </c>
      <c r="E8" s="585">
        <v>212000</v>
      </c>
      <c r="F8" s="1775">
        <f t="shared" si="1"/>
        <v>211939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39662</v>
      </c>
      <c r="C10" s="585">
        <v>12</v>
      </c>
      <c r="D10" s="1775">
        <f t="shared" si="0"/>
        <v>39650</v>
      </c>
      <c r="E10" s="585">
        <v>40969</v>
      </c>
      <c r="F10" s="1775">
        <f t="shared" si="1"/>
        <v>40957</v>
      </c>
    </row>
    <row r="11" spans="1:6" x14ac:dyDescent="0.2">
      <c r="A11" s="716" t="s">
        <v>429</v>
      </c>
      <c r="B11" s="1772">
        <f>'Revenues 9-14'!J5</f>
        <v>418963</v>
      </c>
      <c r="C11" s="585">
        <v>124</v>
      </c>
      <c r="D11" s="1775">
        <f t="shared" si="0"/>
        <v>418839</v>
      </c>
      <c r="E11" s="585">
        <v>427006</v>
      </c>
      <c r="F11" s="1775">
        <f t="shared" si="1"/>
        <v>426882</v>
      </c>
    </row>
    <row r="12" spans="1:6" ht="13.7" customHeight="1" x14ac:dyDescent="0.2">
      <c r="A12" s="716" t="s">
        <v>159</v>
      </c>
      <c r="B12" s="1772">
        <f>'Revenues 9-14'!K5</f>
        <v>40794</v>
      </c>
      <c r="C12" s="585">
        <v>12</v>
      </c>
      <c r="D12" s="1775">
        <f t="shared" si="0"/>
        <v>40782</v>
      </c>
      <c r="E12" s="585">
        <v>42706</v>
      </c>
      <c r="F12" s="1775">
        <f t="shared" si="1"/>
        <v>42694</v>
      </c>
    </row>
    <row r="13" spans="1:6" ht="13.7" customHeight="1" x14ac:dyDescent="0.2">
      <c r="A13" s="716" t="s">
        <v>993</v>
      </c>
      <c r="B13" s="1772">
        <f>SUM('Revenues 9-14'!C6:D6)</f>
        <v>39662</v>
      </c>
      <c r="C13" s="585">
        <v>12</v>
      </c>
      <c r="D13" s="1775">
        <f t="shared" si="0"/>
        <v>39650</v>
      </c>
      <c r="E13" s="585">
        <v>40969</v>
      </c>
      <c r="F13" s="1775">
        <f t="shared" si="1"/>
        <v>40957</v>
      </c>
    </row>
    <row r="14" spans="1:6" ht="13.7" customHeight="1" x14ac:dyDescent="0.2">
      <c r="A14" s="716" t="s">
        <v>430</v>
      </c>
      <c r="B14" s="1772">
        <f>SUM('Revenues 9-14'!C7:D7,'Revenues 9-14'!F7:H7)</f>
        <v>31727</v>
      </c>
      <c r="C14" s="585">
        <v>9</v>
      </c>
      <c r="D14" s="1775">
        <f t="shared" si="0"/>
        <v>31718</v>
      </c>
      <c r="E14" s="585">
        <v>32776</v>
      </c>
      <c r="F14" s="1775">
        <f t="shared" si="1"/>
        <v>32767</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157731</v>
      </c>
      <c r="C16" s="585">
        <v>47</v>
      </c>
      <c r="D16" s="1775">
        <f t="shared" si="0"/>
        <v>157684</v>
      </c>
      <c r="E16" s="585">
        <v>163000</v>
      </c>
      <c r="F16" s="1775">
        <f t="shared" si="1"/>
        <v>162953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4193957</v>
      </c>
      <c r="C19" s="1773">
        <f>SUM(C4:C18)</f>
        <v>1246</v>
      </c>
      <c r="D19" s="1773">
        <f>SUM(D4:D18)</f>
        <v>4192711</v>
      </c>
      <c r="E19" s="1773">
        <f>SUM(E4:E18)</f>
        <v>4323094</v>
      </c>
      <c r="F19" s="1773">
        <f>SUM(F4:F18)</f>
        <v>4321848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A40" sqref="A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9" t="s">
        <v>2036</v>
      </c>
      <c r="D2" s="724" t="s">
        <v>2043</v>
      </c>
      <c r="E2" s="724" t="s">
        <v>2044</v>
      </c>
      <c r="F2" s="1909"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2094</v>
      </c>
      <c r="B31" s="734">
        <v>40848</v>
      </c>
      <c r="C31" s="735">
        <v>430000</v>
      </c>
      <c r="D31" s="736" t="s">
        <v>2095</v>
      </c>
      <c r="E31" s="735">
        <v>320000</v>
      </c>
      <c r="F31" s="735"/>
      <c r="G31" s="735"/>
      <c r="H31" s="735">
        <v>170000</v>
      </c>
      <c r="I31" s="1778">
        <f>((E31+F31)-H31)+G31</f>
        <v>150000</v>
      </c>
      <c r="J31" s="735">
        <v>0</v>
      </c>
      <c r="K31" s="737"/>
    </row>
    <row r="32" spans="1:11" ht="12" customHeight="1" x14ac:dyDescent="0.2">
      <c r="A32" s="733" t="s">
        <v>2097</v>
      </c>
      <c r="B32" s="734">
        <v>41061</v>
      </c>
      <c r="C32" s="735">
        <v>7505000</v>
      </c>
      <c r="D32" s="736" t="s">
        <v>2096</v>
      </c>
      <c r="E32" s="735">
        <v>6705000</v>
      </c>
      <c r="F32" s="735"/>
      <c r="G32" s="735"/>
      <c r="H32" s="735">
        <v>140000</v>
      </c>
      <c r="I32" s="1778">
        <f>((E32+F32)-H32)+G32</f>
        <v>6565000</v>
      </c>
      <c r="J32" s="735">
        <v>6562521</v>
      </c>
      <c r="K32" s="737"/>
    </row>
    <row r="33" spans="1:11" ht="12" customHeight="1" x14ac:dyDescent="0.2">
      <c r="A33" s="733" t="s">
        <v>2098</v>
      </c>
      <c r="B33" s="734">
        <v>41548</v>
      </c>
      <c r="C33" s="735">
        <v>690000</v>
      </c>
      <c r="D33" s="736">
        <v>1</v>
      </c>
      <c r="E33" s="735">
        <v>535000</v>
      </c>
      <c r="F33" s="735"/>
      <c r="G33" s="735"/>
      <c r="H33" s="735">
        <v>65000</v>
      </c>
      <c r="I33" s="1778">
        <f t="shared" ref="I33:I48" si="1">((E33+F33)-H33)+G33</f>
        <v>470000</v>
      </c>
      <c r="J33" s="735">
        <v>470000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8625000</v>
      </c>
      <c r="D49" s="746"/>
      <c r="E49" s="1778">
        <f t="shared" ref="E49:J49" si="2">SUM(E31:E48)</f>
        <v>7560000</v>
      </c>
      <c r="F49" s="1778">
        <f t="shared" si="2"/>
        <v>0</v>
      </c>
      <c r="G49" s="1778">
        <f t="shared" si="2"/>
        <v>0</v>
      </c>
      <c r="H49" s="1778">
        <f t="shared" si="2"/>
        <v>375000</v>
      </c>
      <c r="I49" s="1778">
        <f t="shared" si="2"/>
        <v>7185000</v>
      </c>
      <c r="J49" s="1778">
        <f t="shared" si="2"/>
        <v>7032521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13" sqref="A13:E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31737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14449</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31737</v>
      </c>
      <c r="I12" s="1780">
        <f>SUM(I5:I11)</f>
        <v>0</v>
      </c>
      <c r="J12" s="1780">
        <f>SUM(J5:J11)</f>
        <v>0</v>
      </c>
      <c r="K12" s="1780">
        <f>SUM(K5:K11)</f>
        <v>14449</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31737</v>
      </c>
      <c r="I14" s="772"/>
      <c r="J14" s="774"/>
      <c r="K14" s="766">
        <v>14449</v>
      </c>
    </row>
    <row r="15" spans="1:11" x14ac:dyDescent="0.2">
      <c r="A15" s="2232" t="s">
        <v>4</v>
      </c>
      <c r="B15" s="2232"/>
      <c r="C15" s="2232"/>
      <c r="D15" s="2232"/>
      <c r="E15" s="2260"/>
      <c r="F15" s="790" t="s">
        <v>910</v>
      </c>
      <c r="G15" s="772"/>
      <c r="H15" s="765"/>
      <c r="I15" s="765"/>
      <c r="J15" s="766"/>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31737</v>
      </c>
      <c r="I23" s="1780">
        <f>SUM(I14:I16,I21,I22)</f>
        <v>0</v>
      </c>
      <c r="J23" s="1780">
        <f>SUM(J14:J16,J21,J22)</f>
        <v>0</v>
      </c>
      <c r="K23" s="1780">
        <f>SUM(K14:K16,K21,K22)</f>
        <v>14449</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53601</v>
      </c>
      <c r="D5" s="842"/>
      <c r="E5" s="842"/>
      <c r="F5" s="1782">
        <f>(C5+D5)-E5</f>
        <v>53601</v>
      </c>
      <c r="G5" s="838"/>
      <c r="H5" s="843"/>
      <c r="I5" s="843"/>
      <c r="J5" s="843"/>
      <c r="K5" s="794"/>
      <c r="L5" s="1791">
        <f>F5-K5</f>
        <v>53601</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17665062</v>
      </c>
      <c r="D8" s="845"/>
      <c r="E8" s="845"/>
      <c r="F8" s="1782">
        <f>(C8+D8)-E8</f>
        <v>17665062</v>
      </c>
      <c r="G8" s="844">
        <v>50</v>
      </c>
      <c r="H8" s="766">
        <v>6188759</v>
      </c>
      <c r="I8" s="766">
        <v>271554</v>
      </c>
      <c r="J8" s="766"/>
      <c r="K8" s="1791">
        <f>(H8+I8)-J8</f>
        <v>6460313</v>
      </c>
      <c r="L8" s="1791">
        <f>F8-K8</f>
        <v>11204749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1791136</v>
      </c>
      <c r="D10" s="847"/>
      <c r="E10" s="847"/>
      <c r="F10" s="1786">
        <f>(C10+D10)-E10</f>
        <v>1791136</v>
      </c>
      <c r="G10" s="844">
        <v>20</v>
      </c>
      <c r="H10" s="848">
        <v>1050532</v>
      </c>
      <c r="I10" s="848">
        <v>84310</v>
      </c>
      <c r="J10" s="848"/>
      <c r="K10" s="1791">
        <f>(H10+I10)-J10</f>
        <v>1134842</v>
      </c>
      <c r="L10" s="1791">
        <f>F10-K10</f>
        <v>656294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486299</v>
      </c>
      <c r="D12" s="845">
        <v>62950</v>
      </c>
      <c r="E12" s="845"/>
      <c r="F12" s="1782">
        <f>(C12+D12)-E12</f>
        <v>549249</v>
      </c>
      <c r="G12" s="844">
        <v>10</v>
      </c>
      <c r="H12" s="766">
        <v>368765</v>
      </c>
      <c r="I12" s="766">
        <v>47689</v>
      </c>
      <c r="J12" s="766"/>
      <c r="K12" s="1791">
        <f>(H12+I12)-J12</f>
        <v>416454</v>
      </c>
      <c r="L12" s="1791">
        <f>F12-K12</f>
        <v>132795</v>
      </c>
    </row>
    <row r="13" spans="1:14" ht="14.25" thickTop="1" thickBot="1" x14ac:dyDescent="0.25">
      <c r="A13" s="849" t="s">
        <v>1184</v>
      </c>
      <c r="B13" s="841">
        <v>252</v>
      </c>
      <c r="C13" s="845">
        <v>305244</v>
      </c>
      <c r="D13" s="845">
        <v>16525</v>
      </c>
      <c r="E13" s="845"/>
      <c r="F13" s="1782">
        <f>(C13+D13)-E13</f>
        <v>321769</v>
      </c>
      <c r="G13" s="844">
        <v>5</v>
      </c>
      <c r="H13" s="766">
        <v>250333</v>
      </c>
      <c r="I13" s="766">
        <v>3692</v>
      </c>
      <c r="J13" s="766"/>
      <c r="K13" s="1791">
        <f>(H13+I13)-J13</f>
        <v>254025</v>
      </c>
      <c r="L13" s="1791">
        <f>F13-K13</f>
        <v>67744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20301342</v>
      </c>
      <c r="D16" s="1782">
        <f>SUM(D3,D5:D6,D8:D10,D12:D15)</f>
        <v>79475</v>
      </c>
      <c r="E16" s="1782">
        <f>SUM(E3,E5:E6,E8:E10,E12:E15)</f>
        <v>0</v>
      </c>
      <c r="F16" s="1782">
        <f>SUM(F3,F5:F6,F8:F10,F12:F15)</f>
        <v>20380817</v>
      </c>
      <c r="G16" s="844"/>
      <c r="H16" s="1782">
        <f>SUM(H3,H6,H8:H10,H12:H14,)</f>
        <v>7858389</v>
      </c>
      <c r="I16" s="1782">
        <f>SUM(I3,I6,I8:I10,I12:I14,)</f>
        <v>407245</v>
      </c>
      <c r="J16" s="1782">
        <f>SUM(J3,J6,J8:J10,J12:J14,)</f>
        <v>0</v>
      </c>
      <c r="K16" s="1782">
        <f>(H16+I16)-J16</f>
        <v>8265634</v>
      </c>
      <c r="L16" s="1782">
        <f>F16-K16</f>
        <v>12115183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407245</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6" activePane="bottomLeft" state="frozen"/>
      <selection activeCell="C13" sqref="C13"/>
      <selection pane="bottomLeft" activeCell="F111" sqref="F11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6369046</v>
      </c>
      <c r="G8" s="866"/>
    </row>
    <row r="9" spans="1:7" x14ac:dyDescent="0.2">
      <c r="A9" s="870" t="s">
        <v>480</v>
      </c>
      <c r="B9" s="871" t="s">
        <v>1988</v>
      </c>
      <c r="C9" s="872"/>
      <c r="D9" s="870" t="s">
        <v>522</v>
      </c>
      <c r="E9" s="869"/>
      <c r="F9" s="1935">
        <f>'Expenditures 15-22'!K151</f>
        <v>945691</v>
      </c>
      <c r="G9" s="873"/>
    </row>
    <row r="10" spans="1:7" x14ac:dyDescent="0.2">
      <c r="A10" s="870" t="s">
        <v>520</v>
      </c>
      <c r="B10" s="871" t="s">
        <v>1989</v>
      </c>
      <c r="C10" s="872"/>
      <c r="D10" s="870" t="s">
        <v>522</v>
      </c>
      <c r="E10" s="869"/>
      <c r="F10" s="1935">
        <f>'Expenditures 15-22'!K174</f>
        <v>635659</v>
      </c>
      <c r="G10" s="873"/>
    </row>
    <row r="11" spans="1:7" x14ac:dyDescent="0.2">
      <c r="A11" s="870" t="s">
        <v>481</v>
      </c>
      <c r="B11" s="871" t="s">
        <v>1990</v>
      </c>
      <c r="C11" s="872"/>
      <c r="D11" s="870" t="s">
        <v>522</v>
      </c>
      <c r="E11" s="869"/>
      <c r="F11" s="1935">
        <f>'Expenditures 15-22'!K210</f>
        <v>586831</v>
      </c>
      <c r="G11" s="873"/>
    </row>
    <row r="12" spans="1:7" x14ac:dyDescent="0.2">
      <c r="A12" s="870" t="s">
        <v>482</v>
      </c>
      <c r="B12" s="871" t="s">
        <v>1991</v>
      </c>
      <c r="C12" s="872"/>
      <c r="D12" s="870" t="s">
        <v>522</v>
      </c>
      <c r="E12" s="869"/>
      <c r="F12" s="1935">
        <f>'Expenditures 15-22'!K295</f>
        <v>347881</v>
      </c>
      <c r="G12" s="873"/>
    </row>
    <row r="13" spans="1:7" x14ac:dyDescent="0.2">
      <c r="A13" s="870" t="s">
        <v>108</v>
      </c>
      <c r="B13" s="871" t="s">
        <v>1992</v>
      </c>
      <c r="C13" s="872"/>
      <c r="D13" s="870" t="s">
        <v>522</v>
      </c>
      <c r="E13" s="869"/>
      <c r="F13" s="1935">
        <f>'Expenditures 15-22'!K342</f>
        <v>246869</v>
      </c>
      <c r="G13" s="874"/>
    </row>
    <row r="14" spans="1:7" ht="12" customHeight="1" thickBot="1" x14ac:dyDescent="0.25">
      <c r="A14" s="1792"/>
      <c r="B14" s="1793"/>
      <c r="C14" s="1794"/>
      <c r="D14" s="1795" t="s">
        <v>522</v>
      </c>
      <c r="E14" s="1796" t="s">
        <v>1015</v>
      </c>
      <c r="F14" s="1797">
        <f>SUM(F8:F13)</f>
        <v>9131977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78254</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365232</v>
      </c>
      <c r="G53" s="866"/>
    </row>
    <row r="54" spans="1:7" x14ac:dyDescent="0.2">
      <c r="A54" s="870" t="s">
        <v>479</v>
      </c>
      <c r="B54" s="870" t="s">
        <v>1552</v>
      </c>
      <c r="C54" s="890" t="s">
        <v>1039</v>
      </c>
      <c r="D54" s="886" t="s">
        <v>1157</v>
      </c>
      <c r="E54" s="869"/>
      <c r="F54" s="1939">
        <f>'Expenditures 15-22'!G114</f>
        <v>31712</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31238</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375000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16525</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4930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902891</v>
      </c>
      <c r="G76" s="866"/>
    </row>
    <row r="77" spans="1:8" s="894" customFormat="1" ht="12" customHeight="1" thickTop="1" thickBot="1" x14ac:dyDescent="0.25">
      <c r="A77" s="1801"/>
      <c r="B77" s="1798"/>
      <c r="C77" s="1794"/>
      <c r="D77" s="1799" t="s">
        <v>2011</v>
      </c>
      <c r="E77" s="1796"/>
      <c r="F77" s="1802">
        <f>(F14-F76)</f>
        <v>8229086</v>
      </c>
      <c r="G77" s="870"/>
    </row>
    <row r="78" spans="1:8" s="894" customFormat="1" ht="12" customHeight="1" thickTop="1" x14ac:dyDescent="0.2">
      <c r="A78" s="1803"/>
      <c r="B78" s="1798"/>
      <c r="C78" s="1794"/>
      <c r="D78" s="1799" t="s">
        <v>2057</v>
      </c>
      <c r="E78" s="1796"/>
      <c r="F78" s="899">
        <v>860.27</v>
      </c>
      <c r="G78" s="900"/>
      <c r="H78" s="870"/>
    </row>
    <row r="79" spans="1:8" s="894" customFormat="1" ht="12" customHeight="1" thickBot="1" x14ac:dyDescent="0.25">
      <c r="A79" s="1804"/>
      <c r="B79" s="1798"/>
      <c r="C79" s="1794"/>
      <c r="D79" s="1799" t="s">
        <v>2012</v>
      </c>
      <c r="E79" s="1796" t="s">
        <v>1015</v>
      </c>
      <c r="F79" s="1805">
        <f>IF(F78&gt;0,F77/F78," Complete Line 78")</f>
        <v>9565.7014658188709</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113719</v>
      </c>
      <c r="G94" s="913"/>
    </row>
    <row r="95" spans="1:7" x14ac:dyDescent="0.2">
      <c r="A95" s="909" t="s">
        <v>142</v>
      </c>
      <c r="B95" s="909" t="s">
        <v>177</v>
      </c>
      <c r="C95" s="911">
        <v>1700</v>
      </c>
      <c r="D95" s="919" t="str">
        <f>'Revenues 9-14'!A82</f>
        <v>Total District/School Activity Income</v>
      </c>
      <c r="E95" s="907"/>
      <c r="F95" s="1811">
        <f>SUM('Revenues 9-14'!C82,'Revenues 9-14'!D82)</f>
        <v>37252</v>
      </c>
      <c r="G95" s="913"/>
    </row>
    <row r="96" spans="1:7" x14ac:dyDescent="0.2">
      <c r="A96" s="909" t="s">
        <v>479</v>
      </c>
      <c r="B96" s="909" t="s">
        <v>178</v>
      </c>
      <c r="C96" s="911">
        <f>'Revenues 9-14'!B84</f>
        <v>1811</v>
      </c>
      <c r="D96" s="912" t="str">
        <f>'Revenues 9-14'!A84</f>
        <v>Rentals - Regular Textbooks</v>
      </c>
      <c r="E96" s="907"/>
      <c r="F96" s="1811">
        <f>'Revenues 9-14'!C84</f>
        <v>40322</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21</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600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140979</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9245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2717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14449</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445215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188497</v>
      </c>
      <c r="G129" s="931"/>
    </row>
    <row r="130" spans="1:7" x14ac:dyDescent="0.2">
      <c r="A130" s="928" t="s">
        <v>689</v>
      </c>
      <c r="B130" s="928" t="s">
        <v>804</v>
      </c>
      <c r="C130" s="933">
        <v>4300</v>
      </c>
      <c r="D130" s="934" t="str">
        <f>'Revenues 9-14'!A211</f>
        <v>Total Title I</v>
      </c>
      <c r="E130" s="907"/>
      <c r="F130" s="1811">
        <f>SUM('Revenues 9-14'!C211,'Revenues 9-14'!D211,'Revenues 9-14'!F211,'Revenues 9-14'!G211)</f>
        <v>105704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7783</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1907</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2852</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24282</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38701</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1175745</v>
      </c>
    </row>
    <row r="179" spans="1:7" ht="12" customHeight="1" x14ac:dyDescent="0.2">
      <c r="A179" s="1792"/>
      <c r="B179" s="1806"/>
      <c r="C179" s="1807"/>
      <c r="D179" s="1808" t="s">
        <v>2014</v>
      </c>
      <c r="E179" s="1809"/>
      <c r="F179" s="1811">
        <f>'PCTC-OEPP 27-28'!F77-F178</f>
        <v>7053341</v>
      </c>
    </row>
    <row r="180" spans="1:7" ht="12" customHeight="1" x14ac:dyDescent="0.2">
      <c r="A180" s="1792"/>
      <c r="B180" s="1806"/>
      <c r="C180" s="1807"/>
      <c r="D180" s="1808" t="s">
        <v>1924</v>
      </c>
      <c r="E180" s="1809"/>
      <c r="F180" s="1811">
        <f>'Cap Outlay Deprec 26'!I18</f>
        <v>407245</v>
      </c>
    </row>
    <row r="181" spans="1:7" ht="12" customHeight="1" x14ac:dyDescent="0.2">
      <c r="A181" s="1792"/>
      <c r="B181" s="1806"/>
      <c r="C181" s="1807"/>
      <c r="D181" s="1808" t="s">
        <v>2015</v>
      </c>
      <c r="E181" s="1809"/>
      <c r="F181" s="1811">
        <f>F179+F180</f>
        <v>7460586</v>
      </c>
    </row>
    <row r="182" spans="1:7" ht="12" customHeight="1" x14ac:dyDescent="0.2">
      <c r="A182" s="1792"/>
      <c r="B182" s="1812"/>
      <c r="C182" s="1807"/>
      <c r="D182" s="1808" t="str">
        <f>D78</f>
        <v>9 Month ADA from District Average Daily Attendance/Prior General State Aid Inquiry 2017-2018</v>
      </c>
      <c r="E182" s="1809"/>
      <c r="F182" s="1813">
        <f>'PCTC-OEPP 27-28'!F78</f>
        <v>860.27</v>
      </c>
      <c r="G182" s="931"/>
    </row>
    <row r="183" spans="1:7" ht="12" customHeight="1" thickBot="1" x14ac:dyDescent="0.25">
      <c r="A183" s="1792"/>
      <c r="B183" s="1812"/>
      <c r="C183" s="1807"/>
      <c r="D183" s="1808" t="s">
        <v>2016</v>
      </c>
      <c r="E183" s="1809" t="s">
        <v>1626</v>
      </c>
      <c r="F183" s="1814">
        <f>F181/F182</f>
        <v>8672.3772769014377</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C13" sqref="C13"/>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2101</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C13" sqref="C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161658</v>
      </c>
      <c r="F10" s="975"/>
      <c r="G10" s="976"/>
      <c r="H10" s="162"/>
      <c r="I10" s="162"/>
    </row>
    <row r="11" spans="1:9" s="669" customFormat="1" ht="22.5" customHeight="1" x14ac:dyDescent="0.2">
      <c r="A11" s="2305" t="s">
        <v>1944</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4303576</v>
      </c>
      <c r="F19" s="1822"/>
      <c r="G19" s="1824">
        <f>'Expenditures 15-22'!K33-SUM('Expenditures 15-22'!G33,'Expenditures 15-22'!I33)+'Expenditures 15-22'!D229</f>
        <v>4303576</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187805</v>
      </c>
      <c r="F21" s="1825"/>
      <c r="G21" s="1828">
        <f>'Expenditures 15-22'!K42-SUM('Expenditures 15-22'!G42,'Expenditures 15-22'!I42)+'Expenditures 15-22'!K120-SUM('Expenditures 15-22'!G120,'Expenditures 15-22'!I120)+'Expenditures 15-22'!K180-SUM('Expenditures 15-22'!G180,'Expenditures 15-22'!I180)+'Expenditures 15-22'!D238</f>
        <v>187805</v>
      </c>
      <c r="H21" s="988"/>
      <c r="I21" s="162"/>
    </row>
    <row r="22" spans="1:9" s="669" customFormat="1" ht="12" customHeight="1" x14ac:dyDescent="0.2">
      <c r="A22" s="995" t="s">
        <v>585</v>
      </c>
      <c r="B22" s="996"/>
      <c r="C22" s="994">
        <v>2200</v>
      </c>
      <c r="D22" s="1825"/>
      <c r="E22" s="1827">
        <f>'Expenditures 15-22'!K47-SUM('Expenditures 15-22'!G47,'Expenditures 15-22'!I47)+'Expenditures 15-22'!D243</f>
        <v>324144</v>
      </c>
      <c r="F22" s="1825"/>
      <c r="G22" s="1828">
        <f>'Expenditures 15-22'!K47-SUM('Expenditures 15-22'!G47,'Expenditures 15-22'!I47)+'Expenditures 15-22'!D243</f>
        <v>324144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546710</v>
      </c>
      <c r="F23" s="1825"/>
      <c r="G23" s="1827">
        <f>'Expenditures 15-22'!K53-SUM('Expenditures 15-22'!G53,'Expenditures 15-22'!I53)+'Expenditures 15-22'!D257+'Expenditures 15-22'!K330-SUM('Expenditures 15-22'!G330,'Expenditures 15-22'!I330)</f>
        <v>546710</v>
      </c>
      <c r="H23" s="988"/>
      <c r="I23" s="162"/>
    </row>
    <row r="24" spans="1:9" s="669" customFormat="1" ht="12" customHeight="1" x14ac:dyDescent="0.2">
      <c r="A24" s="995" t="s">
        <v>587</v>
      </c>
      <c r="B24" s="996"/>
      <c r="C24" s="994">
        <v>2400</v>
      </c>
      <c r="D24" s="1825"/>
      <c r="E24" s="1827">
        <f>'Expenditures 15-22'!K57-SUM('Expenditures 15-22'!G57,'Expenditures 15-22'!I57)+'Expenditures 15-22'!D261</f>
        <v>615241</v>
      </c>
      <c r="F24" s="1825"/>
      <c r="G24" s="1828">
        <f>'Expenditures 15-22'!K57-SUM('Expenditures 15-22'!G57,'Expenditures 15-22'!I57)+'Expenditures 15-22'!D261</f>
        <v>615241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53949</v>
      </c>
      <c r="E27" s="1827">
        <f>E8</f>
        <v>0</v>
      </c>
      <c r="F27" s="1827">
        <f>'Expenditures 15-22'!K60-SUM('Expenditures 15-22'!G60,'Expenditures 15-22'!I60)+'Expenditures 15-22'!D264-E8</f>
        <v>53949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1012880</v>
      </c>
      <c r="F28" s="1829">
        <f>'Expenditures 15-22'!K61-SUM('Expenditures 15-22'!G61,'Expenditures 15-22'!I61)+'Expenditures 15-22'!K124-SUM('Expenditures 15-22'!G124,'Expenditures 15-22'!I124)+'Expenditures 15-22'!D266-E9</f>
        <v>1012880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631490</v>
      </c>
      <c r="F29" s="1825"/>
      <c r="G29" s="1828">
        <f>'Expenditures 15-22'!K62-SUM('Expenditures 15-22'!G62,'Expenditures 15-22'!I62)+'Expenditures 15-22'!K125-SUM('Expenditures 15-22'!G125,'Expenditures 15-22'!I125)+'Expenditures 15-22'!K182-SUM('Expenditures 15-22'!G182,'Expenditures 15-22'!I182)+'Expenditures 15-22'!D267</f>
        <v>631490</v>
      </c>
      <c r="H29" s="986"/>
    </row>
    <row r="30" spans="1:9" ht="12" customHeight="1" x14ac:dyDescent="0.2">
      <c r="A30" s="995" t="s">
        <v>102</v>
      </c>
      <c r="B30" s="998"/>
      <c r="C30" s="994">
        <v>2560</v>
      </c>
      <c r="D30" s="1825"/>
      <c r="E30" s="1827">
        <f>'Expenditures 15-22'!K63-SUM('Expenditures 15-22'!G63,'Expenditures 15-22'!I63)+'Expenditures 15-22'!D268-E10</f>
        <v>214158</v>
      </c>
      <c r="F30" s="1825"/>
      <c r="G30" s="1827">
        <f>'Expenditures 15-22'!K63-SUM('Expenditures 15-22'!G63,'Expenditures 15-22'!I63)+'Expenditures 15-22'!D268-E10</f>
        <v>214158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53949</v>
      </c>
      <c r="E41" s="1829">
        <f>SUM(E19:E40)</f>
        <v>7836004</v>
      </c>
      <c r="F41" s="1829">
        <f>SUM(F19:F39)</f>
        <v>1066829</v>
      </c>
      <c r="G41" s="1829">
        <f>SUM(G19:G40)</f>
        <v>6823124</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53949</v>
      </c>
      <c r="F43" s="1830" t="s">
        <v>495</v>
      </c>
      <c r="G43" s="1831">
        <f>F41</f>
        <v>1066829</v>
      </c>
    </row>
    <row r="44" spans="1:7" ht="12" customHeight="1" x14ac:dyDescent="0.2">
      <c r="A44" s="988"/>
      <c r="B44" s="162"/>
      <c r="C44" s="1002"/>
      <c r="D44" s="1830" t="s">
        <v>494</v>
      </c>
      <c r="E44" s="1831">
        <f>E41</f>
        <v>7836004</v>
      </c>
      <c r="F44" s="1830" t="s">
        <v>494</v>
      </c>
      <c r="G44" s="1831">
        <f>G41</f>
        <v>6823124</v>
      </c>
    </row>
    <row r="45" spans="1:7" ht="12" customHeight="1" x14ac:dyDescent="0.2">
      <c r="A45" s="988"/>
      <c r="B45" s="162"/>
      <c r="C45" s="162"/>
      <c r="D45" s="1832" t="s">
        <v>1063</v>
      </c>
      <c r="E45" s="1833">
        <f>(E43/E44)</f>
        <v>6.8847591195716588E-3</v>
      </c>
      <c r="F45" s="1832" t="s">
        <v>1063</v>
      </c>
      <c r="G45" s="1833">
        <f>(G43/G44)</f>
        <v>0.15635491894914999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C13" sqref="C13"/>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1" t="s">
        <v>1446</v>
      </c>
      <c r="B1" s="2311"/>
      <c r="C1" s="2311"/>
      <c r="D1" s="2311"/>
      <c r="E1" s="2311"/>
      <c r="F1" s="2311"/>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2" t="s">
        <v>1627</v>
      </c>
      <c r="B5" s="2313"/>
      <c r="C5" s="2314"/>
      <c r="D5" s="2314"/>
      <c r="E5" s="2314"/>
      <c r="F5" s="2314"/>
    </row>
    <row r="6" spans="1:10" ht="12" customHeight="1" x14ac:dyDescent="0.25">
      <c r="A6" s="1875"/>
      <c r="B6" s="1876"/>
      <c r="C6" s="2315" t="str">
        <f>COVER!A17</f>
        <v>Oakwood CUSD 76</v>
      </c>
      <c r="D6" s="2315"/>
      <c r="E6" s="2315"/>
      <c r="F6" s="1877"/>
    </row>
    <row r="7" spans="1:10" ht="11.25" customHeight="1" thickBot="1" x14ac:dyDescent="0.3">
      <c r="A7" s="1875"/>
      <c r="B7" s="1876"/>
      <c r="C7" s="2316">
        <f>COVER!A13</f>
        <v>54092076026</v>
      </c>
      <c r="D7" s="2316"/>
      <c r="E7" s="2316"/>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t="s">
        <v>2077</v>
      </c>
      <c r="F26" s="1892" t="s">
        <v>2099</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t="s">
        <v>2077</v>
      </c>
      <c r="F31" s="1892" t="s">
        <v>2100</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10</v>
      </c>
      <c r="K34" s="1903">
        <f>SUM(H34:J34)</f>
        <v>30</v>
      </c>
    </row>
    <row r="35" spans="1:11" ht="12" customHeight="1" x14ac:dyDescent="0.2">
      <c r="A35" s="1896" t="s">
        <v>1459</v>
      </c>
      <c r="B35" s="1897"/>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8"/>
      <c r="B39" s="1898"/>
      <c r="C39" s="1898"/>
      <c r="D39" s="1898"/>
      <c r="E39" s="1898"/>
      <c r="F39" s="1898"/>
    </row>
    <row r="40" spans="1:11" s="1895" customFormat="1" ht="12" customHeight="1" x14ac:dyDescent="0.25">
      <c r="A40" s="1899" t="s">
        <v>1458</v>
      </c>
      <c r="B40" s="1900"/>
      <c r="C40" s="2325"/>
      <c r="D40" s="2325"/>
      <c r="E40" s="2325"/>
      <c r="F40" s="2326"/>
      <c r="H40" s="1904"/>
      <c r="I40" s="1904"/>
      <c r="J40" s="1904"/>
      <c r="K40" s="1904"/>
    </row>
    <row r="41" spans="1:11" s="1895" customFormat="1" ht="12" customHeight="1" x14ac:dyDescent="0.25">
      <c r="A41" s="2327"/>
      <c r="B41" s="2328"/>
      <c r="C41" s="2328"/>
      <c r="D41" s="2328"/>
      <c r="E41" s="2328"/>
      <c r="F41" s="2329"/>
      <c r="H41" s="1904"/>
      <c r="I41" s="1904"/>
      <c r="J41" s="1904"/>
      <c r="K41" s="1904"/>
    </row>
    <row r="42" spans="1:11" s="1895" customFormat="1" ht="12" customHeight="1" x14ac:dyDescent="0.25">
      <c r="A42" s="2327"/>
      <c r="B42" s="2328"/>
      <c r="C42" s="2328"/>
      <c r="D42" s="2328"/>
      <c r="E42" s="2328"/>
      <c r="F42" s="2329"/>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13" sqref="C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Oakwood CUSD 76</v>
      </c>
      <c r="J6" s="2336"/>
      <c r="Q6" s="1686"/>
    </row>
    <row r="7" spans="1:17" x14ac:dyDescent="0.2">
      <c r="A7" s="2337" t="s">
        <v>924</v>
      </c>
      <c r="B7" s="2338"/>
      <c r="C7" s="2338"/>
      <c r="D7" s="2338"/>
      <c r="E7" s="2339"/>
      <c r="F7" s="1018"/>
      <c r="G7" s="1010"/>
      <c r="H7" s="1017" t="s">
        <v>390</v>
      </c>
      <c r="I7" s="2340">
        <f>COVER!A13</f>
        <v>54092076026</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253482</v>
      </c>
      <c r="F12" s="1040"/>
      <c r="G12" s="1834">
        <f t="shared" ref="G12:G18" si="0">SUM(E12:F12)</f>
        <v>253482</v>
      </c>
      <c r="H12" s="1041">
        <v>217881</v>
      </c>
      <c r="I12" s="1040"/>
      <c r="J12" s="1834">
        <f t="shared" ref="J12:J18" si="1">SUM(H12:I12)</f>
        <v>217881</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253482</v>
      </c>
      <c r="F19" s="1836">
        <f t="shared" si="2"/>
        <v>0</v>
      </c>
      <c r="G19" s="1836">
        <f t="shared" si="2"/>
        <v>253482</v>
      </c>
      <c r="H19" s="1836">
        <f t="shared" si="2"/>
        <v>217881</v>
      </c>
      <c r="I19" s="1836">
        <f t="shared" si="2"/>
        <v>0</v>
      </c>
      <c r="J19" s="1836">
        <f t="shared" si="2"/>
        <v>217881</v>
      </c>
    </row>
    <row r="20" spans="1:10" ht="13.5" thickTop="1" x14ac:dyDescent="0.2">
      <c r="A20" s="1036">
        <v>9</v>
      </c>
      <c r="B20" s="2347" t="s">
        <v>1703</v>
      </c>
      <c r="C20" s="2347"/>
      <c r="D20" s="2348"/>
      <c r="E20" s="1047"/>
      <c r="F20" s="1047"/>
      <c r="G20" s="1047"/>
      <c r="H20" s="1047"/>
      <c r="I20" s="1047"/>
      <c r="J20" s="1837">
        <f>IF(AND(G19&gt;0,J19&gt;0),(((J19-G19)/G19)),"Enter Budget Data")</f>
        <v>-0.1404478424503515</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13" sqref="C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89" t="s">
        <v>2102</v>
      </c>
    </row>
    <row r="6" spans="1:2" x14ac:dyDescent="0.2">
      <c r="A6" s="1069"/>
      <c r="B6" s="389" t="s">
        <v>2103</v>
      </c>
    </row>
    <row r="7" spans="1:2" x14ac:dyDescent="0.2">
      <c r="A7" s="1069"/>
      <c r="B7" s="389" t="s">
        <v>2104</v>
      </c>
    </row>
    <row r="8" spans="1:2" x14ac:dyDescent="0.2">
      <c r="A8" s="1069"/>
      <c r="B8" s="1957" t="s">
        <v>2105</v>
      </c>
    </row>
    <row r="9" spans="1:2" x14ac:dyDescent="0.2">
      <c r="A9" s="1070"/>
      <c r="B9" s="1957" t="s">
        <v>2106</v>
      </c>
    </row>
    <row r="10" spans="1:2" x14ac:dyDescent="0.2">
      <c r="A10" s="1070"/>
    </row>
    <row r="11" spans="1:2" x14ac:dyDescent="0.2">
      <c r="A11" s="1070">
        <v>2</v>
      </c>
      <c r="B11" s="389" t="s">
        <v>2107</v>
      </c>
    </row>
    <row r="12" spans="1:2" x14ac:dyDescent="0.2">
      <c r="A12" s="1070"/>
      <c r="B12" s="389" t="s">
        <v>2108</v>
      </c>
    </row>
    <row r="13" spans="1:2" x14ac:dyDescent="0.2">
      <c r="A13" s="1070"/>
      <c r="B13" s="329" t="s">
        <v>2109</v>
      </c>
    </row>
    <row r="14" spans="1:2" x14ac:dyDescent="0.2">
      <c r="A14" s="1070"/>
    </row>
    <row r="15" spans="1:2" x14ac:dyDescent="0.2">
      <c r="A15" s="1070"/>
      <c r="B15" s="389" t="s">
        <v>2110</v>
      </c>
    </row>
    <row r="16" spans="1:2" x14ac:dyDescent="0.2">
      <c r="A16" s="1070"/>
      <c r="B16" s="329" t="s">
        <v>2111</v>
      </c>
    </row>
    <row r="17" spans="1:2" x14ac:dyDescent="0.2">
      <c r="A17" s="1070"/>
    </row>
    <row r="18" spans="1:2" x14ac:dyDescent="0.2">
      <c r="A18" s="1070"/>
      <c r="B18" s="389" t="s">
        <v>2112</v>
      </c>
    </row>
    <row r="19" spans="1:2" x14ac:dyDescent="0.2">
      <c r="A19" s="1070"/>
      <c r="B19" s="329" t="s">
        <v>2113</v>
      </c>
    </row>
    <row r="20" spans="1:2" x14ac:dyDescent="0.2">
      <c r="A20" s="1070"/>
    </row>
    <row r="21" spans="1:2" x14ac:dyDescent="0.2">
      <c r="A21" s="1070">
        <v>3</v>
      </c>
      <c r="B21" s="389" t="s">
        <v>2114</v>
      </c>
    </row>
    <row r="22" spans="1:2" x14ac:dyDescent="0.2">
      <c r="A22" s="1070"/>
      <c r="B22" s="329" t="s">
        <v>2115</v>
      </c>
    </row>
    <row r="23" spans="1:2" x14ac:dyDescent="0.2">
      <c r="A23" s="1070"/>
      <c r="B23" s="329" t="s">
        <v>2116</v>
      </c>
    </row>
    <row r="24" spans="1:2" x14ac:dyDescent="0.2">
      <c r="A24" s="1070"/>
    </row>
    <row r="25" spans="1:2" x14ac:dyDescent="0.2">
      <c r="A25" s="1070">
        <v>4</v>
      </c>
      <c r="B25" s="389" t="s">
        <v>2117</v>
      </c>
    </row>
    <row r="26" spans="1:2" x14ac:dyDescent="0.2">
      <c r="A26" s="1070"/>
      <c r="B26" s="329" t="s">
        <v>2118</v>
      </c>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Oakwood CUSD 76</v>
      </c>
    </row>
    <row r="65" spans="2:2" x14ac:dyDescent="0.2">
      <c r="B65" s="1071">
        <f>COVER!A13</f>
        <v>54092076026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3" sqref="C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6706523</v>
      </c>
      <c r="C8" s="1838">
        <f>'Acct Summary 7-8'!D8</f>
        <v>897296</v>
      </c>
      <c r="D8" s="1838">
        <f>'Acct Summary 7-8'!F8</f>
        <v>608077</v>
      </c>
      <c r="E8" s="1838">
        <f>'Acct Summary 7-8'!I8</f>
        <v>40121</v>
      </c>
      <c r="F8" s="1838">
        <f>SUM(B8:E8)</f>
        <v>8252017</v>
      </c>
    </row>
    <row r="9" spans="1:8" s="1080" customFormat="1" ht="14.25" customHeight="1" thickBot="1" x14ac:dyDescent="0.25">
      <c r="A9" s="1079" t="s">
        <v>1436</v>
      </c>
      <c r="B9" s="1839">
        <f>'Acct Summary 7-8'!C17</f>
        <v>6369046</v>
      </c>
      <c r="C9" s="1839">
        <f>'Acct Summary 7-8'!D17</f>
        <v>945691</v>
      </c>
      <c r="D9" s="1839">
        <f>'Acct Summary 7-8'!F17</f>
        <v>586831</v>
      </c>
      <c r="E9" s="1838"/>
      <c r="F9" s="1838">
        <f>SUM(B9:E9)</f>
        <v>7901568</v>
      </c>
    </row>
    <row r="10" spans="1:8" s="1080" customFormat="1" ht="14.25" thickTop="1" thickBot="1" x14ac:dyDescent="0.25">
      <c r="A10" s="1081" t="s">
        <v>1437</v>
      </c>
      <c r="B10" s="1840">
        <f>(B8-B9)</f>
        <v>337477</v>
      </c>
      <c r="C10" s="1840">
        <f>(C8-C9)</f>
        <v>-48395</v>
      </c>
      <c r="D10" s="1840">
        <f>(D8-D9)</f>
        <v>21246</v>
      </c>
      <c r="E10" s="1839">
        <f>(E8-E9)</f>
        <v>40121</v>
      </c>
      <c r="F10" s="1841">
        <f>SUM(F8-F9)</f>
        <v>350449</v>
      </c>
    </row>
    <row r="11" spans="1:8" s="1080" customFormat="1" ht="14.25" thickTop="1" thickBot="1" x14ac:dyDescent="0.25">
      <c r="A11" s="1082" t="s">
        <v>1785</v>
      </c>
      <c r="B11" s="1842">
        <f>'Acct Summary 7-8'!C81</f>
        <v>617216</v>
      </c>
      <c r="C11" s="1842">
        <f>'Acct Summary 7-8'!D81</f>
        <v>145869</v>
      </c>
      <c r="D11" s="1842">
        <f>'Acct Summary 7-8'!F81</f>
        <v>357515</v>
      </c>
      <c r="E11" s="1842">
        <f>'Acct Summary 7-8'!I81</f>
        <v>515630</v>
      </c>
      <c r="F11" s="1843">
        <f>SUM(B11:E11)</f>
        <v>1636230</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54092076026</v>
      </c>
    </row>
    <row r="3" spans="1:2" x14ac:dyDescent="0.2">
      <c r="A3" t="s">
        <v>1013</v>
      </c>
      <c r="B3" s="138" t="str">
        <f>COVER!A15</f>
        <v>VERMILION</v>
      </c>
    </row>
    <row r="4" spans="1:2" x14ac:dyDescent="0.2">
      <c r="A4" t="s">
        <v>1064</v>
      </c>
      <c r="B4" s="138" t="str">
        <f>COVER!A17</f>
        <v>Oakwood CUSD 76</v>
      </c>
    </row>
    <row r="5" spans="1:2" x14ac:dyDescent="0.2">
      <c r="A5" t="s">
        <v>728</v>
      </c>
      <c r="B5" s="138" t="str">
        <f>COVER!A38</f>
        <v>Gary Lewis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617216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617216</v>
      </c>
      <c r="D92" s="2" t="str">
        <f t="shared" si="0"/>
        <v>Error?</v>
      </c>
    </row>
    <row r="93" spans="1:4" x14ac:dyDescent="0.2">
      <c r="A93" s="5">
        <v>32</v>
      </c>
      <c r="B93" s="138">
        <f>'Assets-Liab 5-6'!C41</f>
        <v>617216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145869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145869</v>
      </c>
      <c r="D123" s="2" t="str">
        <f t="shared" si="0"/>
        <v>Error?</v>
      </c>
    </row>
    <row r="124" spans="1:4" x14ac:dyDescent="0.2">
      <c r="A124" s="5">
        <v>63</v>
      </c>
      <c r="B124" s="138">
        <f>'Assets-Liab 5-6'!D41</f>
        <v>145869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3904</v>
      </c>
      <c r="D129" s="2" t="str">
        <f t="shared" si="1"/>
        <v>Error?</v>
      </c>
    </row>
    <row r="130" spans="1:4" x14ac:dyDescent="0.2">
      <c r="A130" s="5">
        <v>69</v>
      </c>
      <c r="B130" s="138">
        <f>'Assets-Liab 5-6'!E12</f>
        <v>0</v>
      </c>
      <c r="D130" s="2" t="str">
        <f t="shared" si="1"/>
        <v>Error?</v>
      </c>
    </row>
    <row r="131" spans="1:4" x14ac:dyDescent="0.2">
      <c r="A131" s="5">
        <v>70</v>
      </c>
      <c r="B131" s="138">
        <f>'Assets-Liab 5-6'!E13</f>
        <v>152479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152479</v>
      </c>
      <c r="D140" s="2" t="str">
        <f t="shared" si="1"/>
        <v>Error?</v>
      </c>
    </row>
    <row r="141" spans="1:4" x14ac:dyDescent="0.2">
      <c r="A141" s="5">
        <v>80</v>
      </c>
      <c r="B141" s="138">
        <f>'Assets-Liab 5-6'!E41</f>
        <v>152479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620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357515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357515</v>
      </c>
      <c r="D170" s="2" t="str">
        <f t="shared" si="1"/>
        <v>Error?</v>
      </c>
    </row>
    <row r="171" spans="1:4" x14ac:dyDescent="0.2">
      <c r="A171" s="5">
        <v>110</v>
      </c>
      <c r="B171" s="138">
        <f>'Assets-Liab 5-6'!F41</f>
        <v>357515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87897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87897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53601</v>
      </c>
      <c r="D273" s="2" t="str">
        <f t="shared" si="3"/>
        <v>Error?</v>
      </c>
    </row>
    <row r="274" spans="1:4" x14ac:dyDescent="0.2">
      <c r="A274" s="5">
        <v>213</v>
      </c>
      <c r="B274" s="138">
        <f>'Assets-Liab 5-6'!M17</f>
        <v>17665062</v>
      </c>
      <c r="D274" s="2" t="str">
        <f t="shared" si="3"/>
        <v>Error?</v>
      </c>
    </row>
    <row r="275" spans="1:4" x14ac:dyDescent="0.2">
      <c r="A275" s="5">
        <v>214</v>
      </c>
      <c r="B275" s="138">
        <f>'Assets-Liab 5-6'!M18</f>
        <v>1791136</v>
      </c>
      <c r="D275" s="2" t="str">
        <f t="shared" si="3"/>
        <v>Error?</v>
      </c>
    </row>
    <row r="276" spans="1:4" x14ac:dyDescent="0.2">
      <c r="A276" s="5">
        <v>215</v>
      </c>
      <c r="B276" s="138">
        <f>'Assets-Liab 5-6'!M19</f>
        <v>871018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20380817</v>
      </c>
      <c r="C279" s="2" t="s">
        <v>594</v>
      </c>
      <c r="D279" s="2" t="str">
        <f t="shared" si="3"/>
        <v>Error?</v>
      </c>
    </row>
    <row r="280" spans="1:4" x14ac:dyDescent="0.2">
      <c r="A280" s="5">
        <v>219</v>
      </c>
      <c r="B280" s="138">
        <f>'Assets-Liab 5-6'!M40</f>
        <v>20380817</v>
      </c>
      <c r="D280" s="2" t="str">
        <f t="shared" si="3"/>
        <v>Error?</v>
      </c>
    </row>
    <row r="281" spans="1:4" x14ac:dyDescent="0.2">
      <c r="A281" s="5">
        <v>220</v>
      </c>
      <c r="B281" s="138">
        <f>'Assets-Liab 5-6'!M41</f>
        <v>20380817</v>
      </c>
      <c r="C281" s="2" t="s">
        <v>594</v>
      </c>
      <c r="D281" s="2" t="str">
        <f t="shared" si="3"/>
        <v>Error?</v>
      </c>
    </row>
    <row r="282" spans="1:4" x14ac:dyDescent="0.2">
      <c r="A282" s="5">
        <v>221</v>
      </c>
      <c r="B282" s="138">
        <f>'Assets-Liab 5-6'!N21</f>
        <v>152479</v>
      </c>
      <c r="D282" s="2" t="str">
        <f t="shared" si="3"/>
        <v>Error?</v>
      </c>
    </row>
    <row r="283" spans="1:4" x14ac:dyDescent="0.2">
      <c r="A283" s="5">
        <v>222</v>
      </c>
      <c r="B283" s="138">
        <f>'Assets-Liab 5-6'!N22</f>
        <v>7032521</v>
      </c>
      <c r="D283" s="2" t="str">
        <f t="shared" si="3"/>
        <v>Error?</v>
      </c>
    </row>
    <row r="284" spans="1:4" x14ac:dyDescent="0.2">
      <c r="A284" s="5">
        <v>223</v>
      </c>
      <c r="B284" s="138">
        <f>'Assets-Liab 5-6'!N23</f>
        <v>7185000</v>
      </c>
      <c r="C284" s="2" t="s">
        <v>594</v>
      </c>
      <c r="D284" s="2" t="str">
        <f t="shared" si="3"/>
        <v>Error?</v>
      </c>
    </row>
    <row r="285" spans="1:4" x14ac:dyDescent="0.2">
      <c r="A285" s="5">
        <v>224</v>
      </c>
      <c r="B285" s="138">
        <f>'Assets-Liab 5-6'!N36</f>
        <v>7185000</v>
      </c>
      <c r="D285" s="2" t="str">
        <f t="shared" si="3"/>
        <v>Error?</v>
      </c>
    </row>
    <row r="286" spans="1:4" x14ac:dyDescent="0.2">
      <c r="A286" s="10">
        <v>225</v>
      </c>
      <c r="D286" s="2" t="str">
        <f t="shared" si="3"/>
        <v>OK</v>
      </c>
    </row>
    <row r="287" spans="1:4" x14ac:dyDescent="0.2">
      <c r="A287" s="5">
        <v>226</v>
      </c>
      <c r="B287" s="138">
        <f>'Assets-Liab 5-6'!N37</f>
        <v>7185000</v>
      </c>
      <c r="C287" s="2" t="s">
        <v>594</v>
      </c>
      <c r="D287" s="2" t="str">
        <f t="shared" si="3"/>
        <v>Error?</v>
      </c>
    </row>
    <row r="288" spans="1:4" x14ac:dyDescent="0.2">
      <c r="A288" s="5">
        <v>227</v>
      </c>
      <c r="B288" s="138">
        <f>'Assets-Liab 5-6'!N41</f>
        <v>7185000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2045979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135013</v>
      </c>
      <c r="D717" s="2" t="str">
        <f t="shared" si="10"/>
        <v>Error?</v>
      </c>
    </row>
    <row r="718" spans="1:4" x14ac:dyDescent="0.2">
      <c r="A718" s="5">
        <v>657</v>
      </c>
      <c r="B718" s="138">
        <f>'Expenditures 15-22'!C14</f>
        <v>107894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3042022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60524</v>
      </c>
      <c r="D722" s="2" t="str">
        <f t="shared" si="10"/>
        <v>Error?</v>
      </c>
    </row>
    <row r="723" spans="1:4" x14ac:dyDescent="0.2">
      <c r="A723" s="5">
        <v>662</v>
      </c>
      <c r="B723" s="138">
        <f>'Expenditures 15-22'!C38</f>
        <v>43643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38372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142539</v>
      </c>
      <c r="C727" s="2" t="s">
        <v>594</v>
      </c>
      <c r="D727" s="2" t="str">
        <f t="shared" si="10"/>
        <v>Error?</v>
      </c>
    </row>
    <row r="728" spans="1:4" x14ac:dyDescent="0.2">
      <c r="A728" s="5">
        <v>667</v>
      </c>
      <c r="B728" s="138">
        <f>'Expenditures 15-22'!C44</f>
        <v>95133</v>
      </c>
      <c r="D728" s="2" t="str">
        <f t="shared" si="10"/>
        <v>Error?</v>
      </c>
    </row>
    <row r="729" spans="1:4" x14ac:dyDescent="0.2">
      <c r="A729" s="5">
        <v>668</v>
      </c>
      <c r="B729" s="138">
        <f>'Expenditures 15-22'!C45</f>
        <v>55362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150495</v>
      </c>
      <c r="C731" s="2" t="s">
        <v>594</v>
      </c>
      <c r="D731" s="2" t="str">
        <f t="shared" si="10"/>
        <v>Error?</v>
      </c>
    </row>
    <row r="732" spans="1:4" x14ac:dyDescent="0.2">
      <c r="A732" s="5">
        <v>671</v>
      </c>
      <c r="B732" s="138">
        <f>'Expenditures 15-22'!C49</f>
        <v>5006</v>
      </c>
      <c r="D732" s="2" t="str">
        <f t="shared" si="10"/>
        <v>Error?</v>
      </c>
    </row>
    <row r="733" spans="1:4" x14ac:dyDescent="0.2">
      <c r="A733" s="5">
        <v>672</v>
      </c>
      <c r="B733" s="138">
        <f>'Expenditures 15-22'!C50</f>
        <v>186986</v>
      </c>
      <c r="D733" s="2" t="str">
        <f t="shared" si="10"/>
        <v>Error?</v>
      </c>
    </row>
    <row r="734" spans="1:4" x14ac:dyDescent="0.2">
      <c r="A734" s="5">
        <v>673</v>
      </c>
      <c r="B734" s="138">
        <f>'Expenditures 15-22'!C53</f>
        <v>191992</v>
      </c>
      <c r="C734" s="2" t="s">
        <v>594</v>
      </c>
      <c r="D734" s="2" t="str">
        <f t="shared" si="10"/>
        <v>Error?</v>
      </c>
    </row>
    <row r="735" spans="1:4" x14ac:dyDescent="0.2">
      <c r="A735" s="5">
        <v>674</v>
      </c>
      <c r="B735" s="138">
        <f>'Expenditures 15-22'!C55</f>
        <v>454803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454803</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38865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140394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179259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1119088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4161110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632389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28949</v>
      </c>
      <c r="D775" s="2" t="str">
        <f t="shared" si="11"/>
        <v>Error?</v>
      </c>
    </row>
    <row r="776" spans="1:4" x14ac:dyDescent="0.2">
      <c r="A776" s="5">
        <v>715</v>
      </c>
      <c r="B776" s="138">
        <f>'Expenditures 15-22'!D14</f>
        <v>1437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885976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15593</v>
      </c>
      <c r="D780" s="2" t="str">
        <f t="shared" si="11"/>
        <v>Error?</v>
      </c>
    </row>
    <row r="781" spans="1:4" x14ac:dyDescent="0.2">
      <c r="A781" s="5">
        <v>720</v>
      </c>
      <c r="B781" s="138">
        <f>'Expenditures 15-22'!D38</f>
        <v>13324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12833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41750</v>
      </c>
      <c r="C785" s="2" t="s">
        <v>594</v>
      </c>
      <c r="D785" s="2" t="str">
        <f t="shared" si="11"/>
        <v>Error?</v>
      </c>
    </row>
    <row r="786" spans="1:4" x14ac:dyDescent="0.2">
      <c r="A786" s="5">
        <v>725</v>
      </c>
      <c r="B786" s="138">
        <f>'Expenditures 15-22'!D44</f>
        <v>18006</v>
      </c>
      <c r="D786" s="2" t="str">
        <f t="shared" si="11"/>
        <v>Error?</v>
      </c>
    </row>
    <row r="787" spans="1:4" x14ac:dyDescent="0.2">
      <c r="A787" s="5">
        <v>726</v>
      </c>
      <c r="B787" s="138">
        <f>'Expenditures 15-22'!D45</f>
        <v>21009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39015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44545</v>
      </c>
      <c r="D791" s="2" t="str">
        <f t="shared" si="11"/>
        <v>Error?</v>
      </c>
    </row>
    <row r="792" spans="1:4" x14ac:dyDescent="0.2">
      <c r="A792" s="5">
        <v>731</v>
      </c>
      <c r="B792" s="138">
        <f>'Expenditures 15-22'!D53</f>
        <v>44545</v>
      </c>
      <c r="C792" s="2" t="s">
        <v>594</v>
      </c>
      <c r="D792" s="2" t="str">
        <f t="shared" si="11"/>
        <v>Error?</v>
      </c>
    </row>
    <row r="793" spans="1:4" x14ac:dyDescent="0.2">
      <c r="A793" s="5">
        <v>732</v>
      </c>
      <c r="B793" s="138">
        <f>'Expenditures 15-22'!D55</f>
        <v>113188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113188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6873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39051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45924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284422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1170398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4169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21781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31092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224</v>
      </c>
      <c r="D838" s="2" t="str">
        <f t="shared" si="12"/>
        <v>Error?</v>
      </c>
    </row>
    <row r="839" spans="1:4" x14ac:dyDescent="0.2">
      <c r="A839" s="5">
        <v>778</v>
      </c>
      <c r="B839" s="138">
        <f>'Expenditures 15-22'!E38</f>
        <v>456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699</v>
      </c>
      <c r="C843" s="2" t="s">
        <v>594</v>
      </c>
      <c r="D843" s="2" t="str">
        <f t="shared" si="12"/>
        <v>Error?</v>
      </c>
    </row>
    <row r="844" spans="1:4" x14ac:dyDescent="0.2">
      <c r="A844" s="5">
        <v>783</v>
      </c>
      <c r="B844" s="138">
        <f>'Expenditures 15-22'!E44</f>
        <v>23548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23548</v>
      </c>
      <c r="C847" s="2" t="s">
        <v>594</v>
      </c>
      <c r="D847" s="2" t="str">
        <f t="shared" si="12"/>
        <v>Error?</v>
      </c>
    </row>
    <row r="848" spans="1:4" x14ac:dyDescent="0.2">
      <c r="A848" s="5">
        <v>787</v>
      </c>
      <c r="B848" s="138">
        <f>'Expenditures 15-22'!E49</f>
        <v>7874</v>
      </c>
      <c r="D848" s="2" t="str">
        <f t="shared" si="12"/>
        <v>Error?</v>
      </c>
    </row>
    <row r="849" spans="1:4" x14ac:dyDescent="0.2">
      <c r="A849" s="5">
        <v>788</v>
      </c>
      <c r="B849" s="138">
        <f>'Expenditures 15-22'!E50</f>
        <v>5461</v>
      </c>
      <c r="D849" s="2" t="str">
        <f t="shared" si="12"/>
        <v>Error?</v>
      </c>
    </row>
    <row r="850" spans="1:4" x14ac:dyDescent="0.2">
      <c r="A850" s="5">
        <v>789</v>
      </c>
      <c r="B850" s="138">
        <f>'Expenditures 15-22'!E53</f>
        <v>13335</v>
      </c>
      <c r="C850" s="2" t="s">
        <v>594</v>
      </c>
      <c r="D850" s="2" t="str">
        <f t="shared" si="12"/>
        <v>Error?</v>
      </c>
    </row>
    <row r="851" spans="1:4" x14ac:dyDescent="0.2">
      <c r="A851" s="5">
        <v>790</v>
      </c>
      <c r="B851" s="138">
        <f>'Expenditures 15-22'!E55</f>
        <v>2756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2756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22936</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1546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24482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64820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461144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105179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5499</v>
      </c>
      <c r="D891" s="2" t="str">
        <f t="shared" si="12"/>
        <v>Error?</v>
      </c>
    </row>
    <row r="892" spans="1:4" x14ac:dyDescent="0.2">
      <c r="A892" s="5">
        <v>831</v>
      </c>
      <c r="B892" s="138">
        <f>'Expenditures 15-22'!F14</f>
        <v>46251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202351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764</v>
      </c>
      <c r="C901" s="2" t="s">
        <v>594</v>
      </c>
      <c r="D901" s="2" t="str">
        <f t="shared" si="13"/>
        <v>Error?</v>
      </c>
    </row>
    <row r="902" spans="1:4" x14ac:dyDescent="0.2">
      <c r="A902" s="5">
        <v>841</v>
      </c>
      <c r="B902" s="138">
        <f>'Expenditures 15-22'!F44</f>
        <v>81373</v>
      </c>
      <c r="D902" s="2" t="str">
        <f t="shared" si="13"/>
        <v>Error?</v>
      </c>
    </row>
    <row r="903" spans="1:4" x14ac:dyDescent="0.2">
      <c r="A903" s="5">
        <v>842</v>
      </c>
      <c r="B903" s="138">
        <f>'Expenditures 15-22'!F45</f>
        <v>7385</v>
      </c>
      <c r="D903" s="2" t="str">
        <f t="shared" si="13"/>
        <v>Error?</v>
      </c>
    </row>
    <row r="904" spans="1:4" x14ac:dyDescent="0.2">
      <c r="A904" s="5">
        <v>843</v>
      </c>
      <c r="B904" s="138">
        <f>'Expenditures 15-22'!F46</f>
        <v>8062</v>
      </c>
      <c r="D904" s="2" t="str">
        <f t="shared" si="13"/>
        <v>Error?</v>
      </c>
    </row>
    <row r="905" spans="1:4" x14ac:dyDescent="0.2">
      <c r="A905" s="5">
        <v>844</v>
      </c>
      <c r="B905" s="138">
        <f>'Expenditures 15-22'!F47</f>
        <v>96820</v>
      </c>
      <c r="C905" s="2" t="s">
        <v>594</v>
      </c>
      <c r="D905" s="2" t="str">
        <f t="shared" si="13"/>
        <v>Error?</v>
      </c>
    </row>
    <row r="906" spans="1:4" x14ac:dyDescent="0.2">
      <c r="A906" s="5">
        <v>845</v>
      </c>
      <c r="B906" s="138">
        <f>'Expenditures 15-22'!F49</f>
        <v>5164</v>
      </c>
      <c r="D906" s="2" t="str">
        <f t="shared" si="13"/>
        <v>Error?</v>
      </c>
    </row>
    <row r="907" spans="1:4" x14ac:dyDescent="0.2">
      <c r="A907" s="5">
        <v>846</v>
      </c>
      <c r="B907" s="138">
        <f>'Expenditures 15-22'!F50</f>
        <v>4855</v>
      </c>
      <c r="D907" s="2" t="str">
        <f t="shared" si="13"/>
        <v>Error?</v>
      </c>
    </row>
    <row r="908" spans="1:4" x14ac:dyDescent="0.2">
      <c r="A908" s="5">
        <v>847</v>
      </c>
      <c r="B908" s="138">
        <f>'Expenditures 15-22'!F53</f>
        <v>10019</v>
      </c>
      <c r="C908" s="2" t="s">
        <v>594</v>
      </c>
      <c r="D908" s="2" t="str">
        <f t="shared" si="13"/>
        <v>Error?</v>
      </c>
    </row>
    <row r="909" spans="1:4" x14ac:dyDescent="0.2">
      <c r="A909" s="5">
        <v>848</v>
      </c>
      <c r="B909" s="138">
        <f>'Expenditures 15-22'!F55</f>
        <v>8474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8474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267</v>
      </c>
      <c r="D913" s="2" t="str">
        <f t="shared" si="13"/>
        <v>Error?</v>
      </c>
    </row>
    <row r="914" spans="1:4" x14ac:dyDescent="0.2">
      <c r="A914" s="5">
        <v>853</v>
      </c>
      <c r="B914" s="138">
        <f>'Expenditures 15-22'!F61</f>
        <v>997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161658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162922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278999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481350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11247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27747</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2086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2086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1879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1879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3965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31712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2275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29744</v>
      </c>
      <c r="D1007" s="2" t="str">
        <f t="shared" si="14"/>
        <v>Error?</v>
      </c>
    </row>
    <row r="1008" spans="1:4" x14ac:dyDescent="0.2">
      <c r="A1008" s="5">
        <v>947</v>
      </c>
      <c r="B1008" s="138">
        <f>'Expenditures 15-22'!H14</f>
        <v>6080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38099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25</v>
      </c>
      <c r="C1017" s="2" t="s">
        <v>594</v>
      </c>
      <c r="D1017" s="2" t="str">
        <f t="shared" si="14"/>
        <v>Error?</v>
      </c>
    </row>
    <row r="1018" spans="1:4" x14ac:dyDescent="0.2">
      <c r="A1018" s="5">
        <v>957</v>
      </c>
      <c r="B1018" s="138">
        <f>'Expenditures 15-22'!H44</f>
        <v>520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520</v>
      </c>
      <c r="C1021" s="2" t="s">
        <v>594</v>
      </c>
      <c r="D1021" s="2" t="str">
        <f t="shared" si="14"/>
        <v>Error?</v>
      </c>
    </row>
    <row r="1022" spans="1:4" x14ac:dyDescent="0.2">
      <c r="A1022" s="5">
        <v>961</v>
      </c>
      <c r="B1022" s="138">
        <f>'Expenditures 15-22'!H49</f>
        <v>8853</v>
      </c>
      <c r="D1022" s="2" t="str">
        <f t="shared" si="14"/>
        <v>Error?</v>
      </c>
    </row>
    <row r="1023" spans="1:4" x14ac:dyDescent="0.2">
      <c r="A1023" s="5">
        <v>962</v>
      </c>
      <c r="B1023" s="138">
        <f>'Expenditures 15-22'!H50</f>
        <v>11635</v>
      </c>
      <c r="D1023" s="2" t="str">
        <f t="shared" ref="D1023:D1086" si="15">IF(ISBLANK(B1023),"OK",IF(A1023-B1023=0,"OK","Error?"))</f>
        <v>Error?</v>
      </c>
    </row>
    <row r="1024" spans="1:4" x14ac:dyDescent="0.2">
      <c r="A1024" s="5">
        <v>963</v>
      </c>
      <c r="B1024" s="138">
        <f>'Expenditures 15-22'!H53</f>
        <v>20488</v>
      </c>
      <c r="C1024" s="2" t="s">
        <v>594</v>
      </c>
      <c r="D1024" s="2" t="str">
        <f t="shared" si="15"/>
        <v>Error?</v>
      </c>
    </row>
    <row r="1025" spans="1:4" x14ac:dyDescent="0.2">
      <c r="A1025" s="5">
        <v>964</v>
      </c>
      <c r="B1025" s="138">
        <f>'Expenditures 15-22'!H55</f>
        <v>4200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4200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25233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63332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2801238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199205</v>
      </c>
      <c r="C1105" s="2" t="s">
        <v>594</v>
      </c>
      <c r="D1105" s="2" t="str">
        <f t="shared" si="16"/>
        <v>Error?</v>
      </c>
    </row>
    <row r="1106" spans="1:4" x14ac:dyDescent="0.2">
      <c r="A1106" s="5">
        <v>1045</v>
      </c>
      <c r="B1106" s="138">
        <f>'Expenditures 15-22'!K14</f>
        <v>183443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4227287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76341</v>
      </c>
      <c r="C1110" s="2" t="s">
        <v>594</v>
      </c>
      <c r="D1110" s="2" t="str">
        <f t="shared" si="16"/>
        <v>Error?</v>
      </c>
    </row>
    <row r="1111" spans="1:4" x14ac:dyDescent="0.2">
      <c r="A1111" s="5">
        <v>1050</v>
      </c>
      <c r="B1111" s="138">
        <f>'Expenditures 15-22'!K38</f>
        <v>58117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51319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185777</v>
      </c>
      <c r="C1115" s="2" t="s">
        <v>594</v>
      </c>
      <c r="D1115" s="2" t="str">
        <f t="shared" si="16"/>
        <v>Error?</v>
      </c>
    </row>
    <row r="1116" spans="1:4" x14ac:dyDescent="0.2">
      <c r="A1116" s="5">
        <v>1055</v>
      </c>
      <c r="B1116" s="138">
        <f>'Expenditures 15-22'!K44</f>
        <v>220666</v>
      </c>
      <c r="C1116" s="2" t="s">
        <v>594</v>
      </c>
      <c r="D1116" s="2" t="str">
        <f t="shared" si="16"/>
        <v>Error?</v>
      </c>
    </row>
    <row r="1117" spans="1:4" x14ac:dyDescent="0.2">
      <c r="A1117" s="5">
        <v>1056</v>
      </c>
      <c r="B1117" s="138">
        <f>'Expenditures 15-22'!K45</f>
        <v>83756</v>
      </c>
      <c r="C1117" s="2" t="s">
        <v>594</v>
      </c>
      <c r="D1117" s="2" t="str">
        <f t="shared" si="16"/>
        <v>Error?</v>
      </c>
    </row>
    <row r="1118" spans="1:4" x14ac:dyDescent="0.2">
      <c r="A1118" s="5">
        <v>1057</v>
      </c>
      <c r="B1118" s="138">
        <f>'Expenditures 15-22'!K46</f>
        <v>8062</v>
      </c>
      <c r="C1118" s="2" t="s">
        <v>594</v>
      </c>
      <c r="D1118" s="2" t="str">
        <f t="shared" si="16"/>
        <v>Error?</v>
      </c>
    </row>
    <row r="1119" spans="1:4" x14ac:dyDescent="0.2">
      <c r="A1119" s="5">
        <v>1058</v>
      </c>
      <c r="B1119" s="138">
        <f>'Expenditures 15-22'!K47</f>
        <v>312484</v>
      </c>
      <c r="C1119" s="2" t="s">
        <v>594</v>
      </c>
      <c r="D1119" s="2" t="str">
        <f t="shared" si="16"/>
        <v>Error?</v>
      </c>
    </row>
    <row r="1120" spans="1:4" x14ac:dyDescent="0.2">
      <c r="A1120" s="5">
        <v>1059</v>
      </c>
      <c r="B1120" s="138">
        <f>'Expenditures 15-22'!K49</f>
        <v>26897</v>
      </c>
      <c r="C1120" s="2" t="s">
        <v>594</v>
      </c>
      <c r="D1120" s="2" t="str">
        <f t="shared" si="16"/>
        <v>Error?</v>
      </c>
    </row>
    <row r="1121" spans="1:4" x14ac:dyDescent="0.2">
      <c r="A1121" s="5">
        <v>1060</v>
      </c>
      <c r="B1121" s="138">
        <f>'Expenditures 15-22'!K50</f>
        <v>253482</v>
      </c>
      <c r="C1121" s="2" t="s">
        <v>594</v>
      </c>
      <c r="D1121" s="2" t="str">
        <f t="shared" si="16"/>
        <v>Error?</v>
      </c>
    </row>
    <row r="1122" spans="1:4" x14ac:dyDescent="0.2">
      <c r="A1122" s="5">
        <v>1061</v>
      </c>
      <c r="B1122" s="138">
        <f>'Expenditures 15-22'!K53</f>
        <v>280379</v>
      </c>
      <c r="C1122" s="2" t="s">
        <v>594</v>
      </c>
      <c r="D1122" s="2" t="str">
        <f t="shared" si="16"/>
        <v>Error?</v>
      </c>
    </row>
    <row r="1123" spans="1:4" x14ac:dyDescent="0.2">
      <c r="A1123" s="5">
        <v>1062</v>
      </c>
      <c r="B1123" s="138">
        <f>'Expenditures 15-22'!K55</f>
        <v>583421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583421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46005</v>
      </c>
      <c r="C1127" s="2" t="s">
        <v>594</v>
      </c>
      <c r="D1127" s="2" t="str">
        <f t="shared" si="16"/>
        <v>Error?</v>
      </c>
    </row>
    <row r="1128" spans="1:4" x14ac:dyDescent="0.2">
      <c r="A1128" s="5">
        <v>1067</v>
      </c>
      <c r="B1128" s="138">
        <f>'Expenditures 15-22'!K61</f>
        <v>23933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344528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414466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1776527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365232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6369046</v>
      </c>
      <c r="C1152" s="2" t="s">
        <v>594</v>
      </c>
      <c r="D1152" s="2" t="str">
        <f t="shared" si="17"/>
        <v>Error?</v>
      </c>
    </row>
    <row r="1153" spans="1:4" x14ac:dyDescent="0.2">
      <c r="A1153" s="5">
        <v>1092</v>
      </c>
      <c r="B1153" s="138">
        <f>'Expenditures 15-22'!K115</f>
        <v>337477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368930</v>
      </c>
      <c r="D1221" s="2" t="str">
        <f t="shared" si="18"/>
        <v>Error?</v>
      </c>
    </row>
    <row r="1222" spans="1:4" x14ac:dyDescent="0.2">
      <c r="A1222" s="10">
        <v>1161</v>
      </c>
      <c r="D1222" s="2" t="str">
        <f t="shared" si="18"/>
        <v>OK</v>
      </c>
    </row>
    <row r="1223" spans="1:4" x14ac:dyDescent="0.2">
      <c r="A1223" s="5">
        <v>1162</v>
      </c>
      <c r="B1223" s="138">
        <f>'Expenditures 15-22'!C127</f>
        <v>368930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368930</v>
      </c>
      <c r="C1225" s="2" t="s">
        <v>594</v>
      </c>
      <c r="D1225" s="2" t="str">
        <f t="shared" si="18"/>
        <v>Error?</v>
      </c>
    </row>
    <row r="1226" spans="1:4" x14ac:dyDescent="0.2">
      <c r="A1226" s="5">
        <v>1165</v>
      </c>
      <c r="B1226" s="138">
        <f>'Expenditures 15-22'!C151</f>
        <v>368930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63075</v>
      </c>
      <c r="D1229" s="2" t="str">
        <f t="shared" si="18"/>
        <v>Error?</v>
      </c>
    </row>
    <row r="1230" spans="1:4" x14ac:dyDescent="0.2">
      <c r="A1230" s="10">
        <v>1169</v>
      </c>
      <c r="D1230" s="2" t="str">
        <f t="shared" si="18"/>
        <v>OK</v>
      </c>
    </row>
    <row r="1231" spans="1:4" x14ac:dyDescent="0.2">
      <c r="A1231" s="5">
        <v>1170</v>
      </c>
      <c r="B1231" s="138">
        <f>'Expenditures 15-22'!D127</f>
        <v>63075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63075</v>
      </c>
      <c r="C1233" s="2" t="s">
        <v>594</v>
      </c>
      <c r="D1233" s="2" t="str">
        <f t="shared" si="18"/>
        <v>Error?</v>
      </c>
    </row>
    <row r="1234" spans="1:4" x14ac:dyDescent="0.2">
      <c r="A1234" s="5">
        <v>1173</v>
      </c>
      <c r="B1234" s="138">
        <f>'Expenditures 15-22'!D151</f>
        <v>63075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237779</v>
      </c>
      <c r="D1237" s="2" t="str">
        <f t="shared" si="18"/>
        <v>Error?</v>
      </c>
    </row>
    <row r="1238" spans="1:4" x14ac:dyDescent="0.2">
      <c r="A1238" s="10">
        <v>1177</v>
      </c>
      <c r="D1238" s="2" t="str">
        <f t="shared" si="18"/>
        <v>OK</v>
      </c>
    </row>
    <row r="1239" spans="1:4" x14ac:dyDescent="0.2">
      <c r="A1239" s="5">
        <v>1178</v>
      </c>
      <c r="B1239" s="138">
        <f>'Expenditures 15-22'!E127</f>
        <v>237779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237779</v>
      </c>
      <c r="C1241" s="2" t="s">
        <v>594</v>
      </c>
      <c r="D1241" s="2" t="str">
        <f t="shared" si="18"/>
        <v>Error?</v>
      </c>
    </row>
    <row r="1242" spans="1:4" x14ac:dyDescent="0.2">
      <c r="A1242" s="5">
        <v>1181</v>
      </c>
      <c r="B1242" s="138">
        <f>'Expenditures 15-22'!E151</f>
        <v>237779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244209</v>
      </c>
      <c r="D1245" s="2" t="str">
        <f t="shared" si="18"/>
        <v>Error?</v>
      </c>
    </row>
    <row r="1246" spans="1:4" x14ac:dyDescent="0.2">
      <c r="A1246" s="10">
        <v>1185</v>
      </c>
      <c r="D1246" s="2" t="str">
        <f t="shared" si="18"/>
        <v>OK</v>
      </c>
    </row>
    <row r="1247" spans="1:4" x14ac:dyDescent="0.2">
      <c r="A1247" s="5">
        <v>1186</v>
      </c>
      <c r="B1247" s="138">
        <f>'Expenditures 15-22'!F127</f>
        <v>244209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244209</v>
      </c>
      <c r="C1249" s="2" t="s">
        <v>594</v>
      </c>
      <c r="D1249" s="2" t="str">
        <f t="shared" si="18"/>
        <v>Error?</v>
      </c>
    </row>
    <row r="1250" spans="1:4" x14ac:dyDescent="0.2">
      <c r="A1250" s="5">
        <v>1189</v>
      </c>
      <c r="B1250" s="138">
        <f>'Expenditures 15-22'!F151</f>
        <v>244209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31238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31238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31238</v>
      </c>
      <c r="C1258" s="2" t="s">
        <v>594</v>
      </c>
      <c r="D1258" s="2" t="str">
        <f t="shared" si="18"/>
        <v>Error?</v>
      </c>
    </row>
    <row r="1259" spans="1:4" x14ac:dyDescent="0.2">
      <c r="A1259" s="5">
        <v>1198</v>
      </c>
      <c r="B1259" s="138">
        <f>'Expenditures 15-22'!G151</f>
        <v>31238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460</v>
      </c>
      <c r="D1262" s="2" t="str">
        <f t="shared" si="18"/>
        <v>Error?</v>
      </c>
    </row>
    <row r="1263" spans="1:4" x14ac:dyDescent="0.2">
      <c r="A1263" s="10">
        <v>1202</v>
      </c>
      <c r="D1263" s="2" t="str">
        <f t="shared" si="18"/>
        <v>OK</v>
      </c>
    </row>
    <row r="1264" spans="1:4" x14ac:dyDescent="0.2">
      <c r="A1264" s="5">
        <v>1203</v>
      </c>
      <c r="B1264" s="138">
        <f>'Expenditures 15-22'!H127</f>
        <v>460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460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460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945691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945691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945691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945691</v>
      </c>
      <c r="C1288" s="2" t="s">
        <v>594</v>
      </c>
      <c r="D1288" s="2" t="str">
        <f t="shared" si="19"/>
        <v>Error?</v>
      </c>
    </row>
    <row r="1289" spans="1:4" x14ac:dyDescent="0.2">
      <c r="A1289" s="5">
        <v>1228</v>
      </c>
      <c r="B1289" s="138">
        <f>'Expenditures 15-22'!K152</f>
        <v>-48395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258959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375000</v>
      </c>
      <c r="D1315" s="2" t="str">
        <f t="shared" si="19"/>
        <v>Error?</v>
      </c>
    </row>
    <row r="1316" spans="1:4" x14ac:dyDescent="0.2">
      <c r="A1316" s="5">
        <v>1255</v>
      </c>
      <c r="B1316" s="138">
        <f>'Expenditures 15-22'!H171</f>
        <v>1700</v>
      </c>
      <c r="D1316" s="2" t="str">
        <f t="shared" si="19"/>
        <v>Error?</v>
      </c>
    </row>
    <row r="1317" spans="1:4" x14ac:dyDescent="0.2">
      <c r="A1317" s="5">
        <v>1256</v>
      </c>
      <c r="B1317" s="138">
        <f>'Expenditures 15-22'!H172</f>
        <v>635659</v>
      </c>
      <c r="C1317" s="2" t="s">
        <v>594</v>
      </c>
      <c r="D1317" s="2" t="str">
        <f t="shared" si="19"/>
        <v>Error?</v>
      </c>
    </row>
    <row r="1318" spans="1:4" x14ac:dyDescent="0.2">
      <c r="A1318" s="5">
        <v>1257</v>
      </c>
      <c r="B1318" s="138">
        <f>'Expenditures 15-22'!H174</f>
        <v>635659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258959</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375000</v>
      </c>
      <c r="C1329" s="2" t="s">
        <v>594</v>
      </c>
      <c r="D1329" s="2" t="str">
        <f t="shared" si="19"/>
        <v>Error?</v>
      </c>
    </row>
    <row r="1330" spans="1:4" x14ac:dyDescent="0.2">
      <c r="A1330" s="5">
        <v>1269</v>
      </c>
      <c r="B1330" s="138">
        <f>'Expenditures 15-22'!K171</f>
        <v>1700</v>
      </c>
      <c r="C1330" s="2" t="s">
        <v>594</v>
      </c>
      <c r="D1330" s="2" t="str">
        <f t="shared" si="19"/>
        <v>Error?</v>
      </c>
    </row>
    <row r="1331" spans="1:4" x14ac:dyDescent="0.2">
      <c r="A1331" s="5">
        <v>1270</v>
      </c>
      <c r="B1331" s="138">
        <f>'Expenditures 15-22'!K172</f>
        <v>635659</v>
      </c>
      <c r="C1331" s="2" t="s">
        <v>594</v>
      </c>
      <c r="D1331" s="2" t="str">
        <f t="shared" si="19"/>
        <v>Error?</v>
      </c>
    </row>
    <row r="1332" spans="1:4" x14ac:dyDescent="0.2">
      <c r="A1332" s="5">
        <v>1271</v>
      </c>
      <c r="B1332" s="138">
        <f>'Expenditures 15-22'!K174</f>
        <v>635659</v>
      </c>
      <c r="C1332" s="2" t="s">
        <v>594</v>
      </c>
      <c r="D1332" s="2" t="str">
        <f t="shared" si="19"/>
        <v>Error?</v>
      </c>
    </row>
    <row r="1333" spans="1:4" x14ac:dyDescent="0.2">
      <c r="A1333" s="5">
        <v>1272</v>
      </c>
      <c r="B1333" s="138">
        <f>'Expenditures 15-22'!K175</f>
        <v>-10363</v>
      </c>
      <c r="C1333" s="2" t="s">
        <v>594</v>
      </c>
      <c r="D1333" s="2" t="str">
        <f t="shared" si="19"/>
        <v>Error?</v>
      </c>
    </row>
    <row r="1334" spans="1:4" x14ac:dyDescent="0.2">
      <c r="A1334" s="10">
        <v>1273</v>
      </c>
      <c r="D1334" s="2" t="str">
        <f t="shared" si="19"/>
        <v>OK</v>
      </c>
    </row>
    <row r="1335" spans="1:4" x14ac:dyDescent="0.2">
      <c r="A1335" s="5">
        <v>1274</v>
      </c>
      <c r="B1335" s="138">
        <f>'Expenditures 15-22'!C182</f>
        <v>309133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309133</v>
      </c>
      <c r="C1339" s="2" t="s">
        <v>594</v>
      </c>
      <c r="D1339" s="2" t="str">
        <f t="shared" si="19"/>
        <v>Error?</v>
      </c>
    </row>
    <row r="1340" spans="1:4" x14ac:dyDescent="0.2">
      <c r="A1340" s="5">
        <v>1279</v>
      </c>
      <c r="B1340" s="138">
        <f>'Expenditures 15-22'!C210</f>
        <v>309133</v>
      </c>
      <c r="C1340" s="2" t="s">
        <v>594</v>
      </c>
      <c r="D1340" s="2" t="str">
        <f t="shared" si="19"/>
        <v>Error?</v>
      </c>
    </row>
    <row r="1341" spans="1:4" x14ac:dyDescent="0.2">
      <c r="A1341" s="5">
        <v>1280</v>
      </c>
      <c r="B1341" s="138">
        <f>'Expenditures 15-22'!D182</f>
        <v>14638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14638</v>
      </c>
      <c r="C1345" s="2" t="s">
        <v>594</v>
      </c>
      <c r="D1345" s="2" t="str">
        <f t="shared" si="20"/>
        <v>Error?</v>
      </c>
    </row>
    <row r="1346" spans="1:4" x14ac:dyDescent="0.2">
      <c r="A1346" s="5">
        <v>1285</v>
      </c>
      <c r="B1346" s="138">
        <f>'Expenditures 15-22'!D210</f>
        <v>14638</v>
      </c>
      <c r="C1346" s="2" t="s">
        <v>594</v>
      </c>
      <c r="D1346" s="2" t="str">
        <f t="shared" si="20"/>
        <v>Error?</v>
      </c>
    </row>
    <row r="1347" spans="1:4" x14ac:dyDescent="0.2">
      <c r="A1347" s="5">
        <v>1286</v>
      </c>
      <c r="B1347" s="138">
        <f>'Expenditures 15-22'!E182</f>
        <v>190071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190071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190071</v>
      </c>
      <c r="C1353" s="2" t="s">
        <v>594</v>
      </c>
      <c r="D1353" s="2" t="str">
        <f t="shared" si="20"/>
        <v>Error?</v>
      </c>
    </row>
    <row r="1354" spans="1:4" x14ac:dyDescent="0.2">
      <c r="A1354" s="5">
        <v>1293</v>
      </c>
      <c r="B1354" s="138">
        <f>'Expenditures 15-22'!F182</f>
        <v>56464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56464</v>
      </c>
      <c r="C1358" s="2" t="s">
        <v>594</v>
      </c>
      <c r="D1358" s="2" t="str">
        <f t="shared" si="20"/>
        <v>Error?</v>
      </c>
    </row>
    <row r="1359" spans="1:4" x14ac:dyDescent="0.2">
      <c r="A1359" s="5">
        <v>1298</v>
      </c>
      <c r="B1359" s="138">
        <f>'Expenditures 15-22'!F210</f>
        <v>56464</v>
      </c>
      <c r="C1359" s="2" t="s">
        <v>594</v>
      </c>
      <c r="D1359" s="2" t="str">
        <f t="shared" si="20"/>
        <v>Error?</v>
      </c>
    </row>
    <row r="1360" spans="1:4" x14ac:dyDescent="0.2">
      <c r="A1360" s="5">
        <v>1299</v>
      </c>
      <c r="B1360" s="138">
        <f>'Expenditures 15-22'!G182</f>
        <v>16525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16525</v>
      </c>
      <c r="C1364" s="2" t="s">
        <v>594</v>
      </c>
      <c r="D1364" s="2" t="str">
        <f t="shared" si="20"/>
        <v>Error?</v>
      </c>
    </row>
    <row r="1365" spans="1:4" x14ac:dyDescent="0.2">
      <c r="A1365" s="5">
        <v>1304</v>
      </c>
      <c r="B1365" s="138">
        <f>'Expenditures 15-22'!G210</f>
        <v>16525</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586831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586831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586831</v>
      </c>
      <c r="C1388" s="2" t="s">
        <v>594</v>
      </c>
      <c r="D1388" s="2" t="str">
        <f t="shared" si="20"/>
        <v>Error?</v>
      </c>
    </row>
    <row r="1389" spans="1:4" x14ac:dyDescent="0.2">
      <c r="A1389" s="5">
        <v>1328</v>
      </c>
      <c r="B1389" s="138">
        <f>'Expenditures 15-22'!K211</f>
        <v>21246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1926</v>
      </c>
      <c r="D1407" s="2" t="str">
        <f t="shared" ref="D1407:D1470" si="21">IF(ISBLANK(B1407),"OK",IF(A1407-B1407=0,"OK","Error?"))</f>
        <v>Error?</v>
      </c>
    </row>
    <row r="1408" spans="1:4" x14ac:dyDescent="0.2">
      <c r="A1408" s="5">
        <v>1347</v>
      </c>
      <c r="B1408" s="138">
        <f>'Expenditures 15-22'!D223</f>
        <v>3292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104036</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874</v>
      </c>
      <c r="D1412" s="2" t="str">
        <f t="shared" si="21"/>
        <v>Error?</v>
      </c>
    </row>
    <row r="1413" spans="1:4" x14ac:dyDescent="0.2">
      <c r="A1413" s="5">
        <v>1352</v>
      </c>
      <c r="B1413" s="138">
        <f>'Expenditures 15-22'!D234</f>
        <v>619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535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2028</v>
      </c>
      <c r="C1417" s="2" t="s">
        <v>594</v>
      </c>
      <c r="D1417" s="2" t="str">
        <f t="shared" si="21"/>
        <v>Error?</v>
      </c>
    </row>
    <row r="1418" spans="1:4" x14ac:dyDescent="0.2">
      <c r="A1418" s="5">
        <v>1357</v>
      </c>
      <c r="B1418" s="138">
        <f>'Expenditures 15-22'!D240</f>
        <v>1381</v>
      </c>
      <c r="D1418" s="2" t="str">
        <f t="shared" si="21"/>
        <v>Error?</v>
      </c>
    </row>
    <row r="1419" spans="1:4" x14ac:dyDescent="0.2">
      <c r="A1419" s="5">
        <v>1358</v>
      </c>
      <c r="B1419" s="138">
        <f>'Expenditures 15-22'!D241</f>
        <v>12365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13746</v>
      </c>
      <c r="C1421" s="2" t="s">
        <v>594</v>
      </c>
      <c r="D1421" s="2" t="str">
        <f t="shared" si="21"/>
        <v>Error?</v>
      </c>
    </row>
    <row r="1422" spans="1:4" x14ac:dyDescent="0.2">
      <c r="A1422" s="5">
        <v>1361</v>
      </c>
      <c r="B1422" s="138">
        <f>'Expenditures 15-22'!D245</f>
        <v>890</v>
      </c>
      <c r="D1422" s="2" t="str">
        <f t="shared" si="21"/>
        <v>Error?</v>
      </c>
    </row>
    <row r="1423" spans="1:4" x14ac:dyDescent="0.2">
      <c r="A1423" s="5">
        <v>1362</v>
      </c>
      <c r="B1423" s="138">
        <f>'Expenditures 15-22'!D246</f>
        <v>18572</v>
      </c>
      <c r="D1423" s="2" t="str">
        <f t="shared" si="21"/>
        <v>Error?</v>
      </c>
    </row>
    <row r="1424" spans="1:4" x14ac:dyDescent="0.2">
      <c r="A1424" s="5">
        <v>1363</v>
      </c>
      <c r="B1424" s="138">
        <f>'Expenditures 15-22'!D257</f>
        <v>19462</v>
      </c>
      <c r="C1424" s="2" t="s">
        <v>594</v>
      </c>
      <c r="D1424" s="2" t="str">
        <f t="shared" si="21"/>
        <v>Error?</v>
      </c>
    </row>
    <row r="1425" spans="1:4" x14ac:dyDescent="0.2">
      <c r="A1425" s="5">
        <v>1364</v>
      </c>
      <c r="B1425" s="138">
        <f>'Expenditures 15-22'!D259</f>
        <v>31820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31820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7944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74494</v>
      </c>
      <c r="D1431" s="2" t="str">
        <f t="shared" si="21"/>
        <v>Error?</v>
      </c>
    </row>
    <row r="1432" spans="1:4" x14ac:dyDescent="0.2">
      <c r="A1432" s="5">
        <v>1371</v>
      </c>
      <c r="B1432" s="138">
        <f>'Expenditures 15-22'!D267</f>
        <v>61184</v>
      </c>
      <c r="D1432" s="2" t="str">
        <f t="shared" si="21"/>
        <v>Error?</v>
      </c>
    </row>
    <row r="1433" spans="1:4" x14ac:dyDescent="0.2">
      <c r="A1433" s="5">
        <v>1372</v>
      </c>
      <c r="B1433" s="138">
        <f>'Expenditures 15-22'!D268</f>
        <v>33167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176789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243845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347881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1926</v>
      </c>
      <c r="C1471" s="2" t="s">
        <v>594</v>
      </c>
      <c r="D1471" s="2" t="str">
        <f t="shared" ref="D1471:D1534" si="22">IF(ISBLANK(B1471),"OK",IF(A1471-B1471=0,"OK","Error?"))</f>
        <v>Error?</v>
      </c>
    </row>
    <row r="1472" spans="1:4" x14ac:dyDescent="0.2">
      <c r="A1472" s="5">
        <v>1411</v>
      </c>
      <c r="B1472" s="138">
        <f>'Expenditures 15-22'!K223</f>
        <v>3292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104036</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874</v>
      </c>
      <c r="C1476" s="2" t="s">
        <v>594</v>
      </c>
      <c r="D1476" s="2" t="str">
        <f t="shared" si="22"/>
        <v>Error?</v>
      </c>
    </row>
    <row r="1477" spans="1:4" x14ac:dyDescent="0.2">
      <c r="A1477" s="5">
        <v>1416</v>
      </c>
      <c r="B1477" s="138">
        <f>'Expenditures 15-22'!K234</f>
        <v>619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535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2028</v>
      </c>
      <c r="C1481" s="2" t="s">
        <v>594</v>
      </c>
      <c r="D1481" s="2" t="str">
        <f t="shared" si="22"/>
        <v>Error?</v>
      </c>
    </row>
    <row r="1482" spans="1:4" x14ac:dyDescent="0.2">
      <c r="A1482" s="5">
        <v>1421</v>
      </c>
      <c r="B1482" s="138">
        <f>'Expenditures 15-22'!K240</f>
        <v>1381</v>
      </c>
      <c r="C1482" s="2" t="s">
        <v>594</v>
      </c>
      <c r="D1482" s="2" t="str">
        <f t="shared" si="22"/>
        <v>Error?</v>
      </c>
    </row>
    <row r="1483" spans="1:4" x14ac:dyDescent="0.2">
      <c r="A1483" s="5">
        <v>1422</v>
      </c>
      <c r="B1483" s="138">
        <f>'Expenditures 15-22'!K241</f>
        <v>12365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13746</v>
      </c>
      <c r="C1485" s="2" t="s">
        <v>594</v>
      </c>
      <c r="D1485" s="2" t="str">
        <f t="shared" si="22"/>
        <v>Error?</v>
      </c>
    </row>
    <row r="1486" spans="1:4" x14ac:dyDescent="0.2">
      <c r="A1486" s="5">
        <v>1425</v>
      </c>
      <c r="B1486" s="138">
        <f>'Expenditures 15-22'!K245</f>
        <v>890</v>
      </c>
      <c r="C1486" s="2" t="s">
        <v>594</v>
      </c>
      <c r="D1486" s="2" t="str">
        <f t="shared" si="22"/>
        <v>Error?</v>
      </c>
    </row>
    <row r="1487" spans="1:4" x14ac:dyDescent="0.2">
      <c r="A1487" s="5">
        <v>1426</v>
      </c>
      <c r="B1487" s="138">
        <f>'Expenditures 15-22'!K246</f>
        <v>18572</v>
      </c>
      <c r="C1487" s="2" t="s">
        <v>594</v>
      </c>
      <c r="D1487" s="2" t="str">
        <f t="shared" si="22"/>
        <v>Error?</v>
      </c>
    </row>
    <row r="1488" spans="1:4" x14ac:dyDescent="0.2">
      <c r="A1488" s="5">
        <v>1427</v>
      </c>
      <c r="B1488" s="138">
        <f>'Expenditures 15-22'!K257</f>
        <v>19462</v>
      </c>
      <c r="C1488" s="2" t="s">
        <v>594</v>
      </c>
      <c r="D1488" s="2" t="str">
        <f t="shared" si="22"/>
        <v>Error?</v>
      </c>
    </row>
    <row r="1489" spans="1:4" x14ac:dyDescent="0.2">
      <c r="A1489" s="5">
        <v>1428</v>
      </c>
      <c r="B1489" s="138">
        <f>'Expenditures 15-22'!K259</f>
        <v>31820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31820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7944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74494</v>
      </c>
      <c r="C1495" s="2" t="s">
        <v>594</v>
      </c>
      <c r="D1495" s="2" t="str">
        <f t="shared" si="22"/>
        <v>Error?</v>
      </c>
    </row>
    <row r="1496" spans="1:4" x14ac:dyDescent="0.2">
      <c r="A1496" s="5">
        <v>1435</v>
      </c>
      <c r="B1496" s="138">
        <f>'Expenditures 15-22'!K267</f>
        <v>61184</v>
      </c>
      <c r="C1496" s="2" t="s">
        <v>594</v>
      </c>
      <c r="D1496" s="2" t="str">
        <f t="shared" si="22"/>
        <v>Error?</v>
      </c>
    </row>
    <row r="1497" spans="1:4" x14ac:dyDescent="0.2">
      <c r="A1497" s="5">
        <v>1436</v>
      </c>
      <c r="B1497" s="138">
        <f>'Expenditures 15-22'!K268</f>
        <v>33167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176789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243845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347881</v>
      </c>
      <c r="C1517" s="2" t="s">
        <v>594</v>
      </c>
      <c r="D1517" s="2" t="str">
        <f t="shared" si="22"/>
        <v>Error?</v>
      </c>
    </row>
    <row r="1518" spans="1:4" x14ac:dyDescent="0.2">
      <c r="A1518" s="5">
        <v>1457</v>
      </c>
      <c r="B1518" s="138">
        <f>'Expenditures 15-22'!K296</f>
        <v>47700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279739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617216</v>
      </c>
      <c r="C1630" s="2" t="s">
        <v>594</v>
      </c>
      <c r="D1630" s="2" t="str">
        <f t="shared" si="24"/>
        <v>Error?</v>
      </c>
    </row>
    <row r="1631" spans="1:4" x14ac:dyDescent="0.2">
      <c r="A1631" s="5">
        <v>1570</v>
      </c>
      <c r="B1631" s="138">
        <f>'Acct Summary 7-8'!D79</f>
        <v>44264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145869</v>
      </c>
      <c r="C1644" s="2" t="s">
        <v>594</v>
      </c>
      <c r="D1644" s="2" t="str">
        <f t="shared" si="24"/>
        <v>Error?</v>
      </c>
    </row>
    <row r="1645" spans="1:4" x14ac:dyDescent="0.2">
      <c r="A1645" s="5">
        <v>1584</v>
      </c>
      <c r="B1645" s="138">
        <f>'Acct Summary 7-8'!E79</f>
        <v>162842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152479</v>
      </c>
      <c r="C1658" s="2" t="s">
        <v>594</v>
      </c>
      <c r="D1658" s="2" t="str">
        <f t="shared" si="24"/>
        <v>Error?</v>
      </c>
    </row>
    <row r="1659" spans="1:4" x14ac:dyDescent="0.2">
      <c r="A1659" s="5">
        <v>1598</v>
      </c>
      <c r="B1659" s="138">
        <f>'Acct Summary 7-8'!F79</f>
        <v>336269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357515</v>
      </c>
      <c r="C1672" s="2" t="s">
        <v>594</v>
      </c>
      <c r="D1672" s="2" t="str">
        <f t="shared" si="25"/>
        <v>Error?</v>
      </c>
    </row>
    <row r="1673" spans="1:4" x14ac:dyDescent="0.2">
      <c r="A1673" s="5">
        <v>1612</v>
      </c>
      <c r="B1673" s="138">
        <f>'Acct Summary 7-8'!G79</f>
        <v>40197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87897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1998877</v>
      </c>
      <c r="C1744" s="2" t="s">
        <v>594</v>
      </c>
      <c r="D1744" s="2" t="str">
        <f t="shared" si="26"/>
        <v>Error?</v>
      </c>
    </row>
    <row r="1745" spans="1:5" x14ac:dyDescent="0.2">
      <c r="A1745" s="5">
        <v>1684</v>
      </c>
      <c r="B1745" s="138">
        <f>'Tax Sched 23'!B5</f>
        <v>475926</v>
      </c>
      <c r="C1745" s="2" t="s">
        <v>594</v>
      </c>
      <c r="D1745" s="2" t="str">
        <f t="shared" si="26"/>
        <v>Error?</v>
      </c>
    </row>
    <row r="1746" spans="1:5" x14ac:dyDescent="0.2">
      <c r="A1746" s="5">
        <v>1685</v>
      </c>
      <c r="B1746" s="138">
        <f>'Tax Sched 23'!B6</f>
        <v>624956</v>
      </c>
      <c r="C1746" s="2" t="s">
        <v>594</v>
      </c>
      <c r="D1746" s="2" t="str">
        <f t="shared" si="26"/>
        <v>Error?</v>
      </c>
    </row>
    <row r="1747" spans="1:5" x14ac:dyDescent="0.2">
      <c r="A1747" s="5">
        <v>1686</v>
      </c>
      <c r="B1747" s="138">
        <f>'Tax Sched 23'!B7</f>
        <v>158641</v>
      </c>
      <c r="C1747" s="2" t="s">
        <v>594</v>
      </c>
      <c r="D1747" s="2" t="str">
        <f t="shared" si="26"/>
        <v>Error?</v>
      </c>
    </row>
    <row r="1748" spans="1:5" x14ac:dyDescent="0.2">
      <c r="A1748" s="5">
        <v>1687</v>
      </c>
      <c r="B1748" s="138">
        <f>'Tax Sched 23'!B8</f>
        <v>207018</v>
      </c>
      <c r="C1748" s="2" t="s">
        <v>594</v>
      </c>
      <c r="D1748" s="2" t="str">
        <f t="shared" si="26"/>
        <v>Error?</v>
      </c>
    </row>
    <row r="1749" spans="1:5" x14ac:dyDescent="0.2">
      <c r="A1749" s="5">
        <v>1688</v>
      </c>
      <c r="B1749" s="138">
        <f>'Tax Sched 23'!B10</f>
        <v>39662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418963</v>
      </c>
      <c r="C1752" s="2" t="s">
        <v>594</v>
      </c>
      <c r="D1752" s="2" t="str">
        <f t="shared" si="26"/>
        <v>Error?</v>
      </c>
    </row>
    <row r="1753" spans="1:5" x14ac:dyDescent="0.2">
      <c r="A1753" s="5">
        <v>1692</v>
      </c>
      <c r="B1753" s="138">
        <f>'Tax Sched 23'!B12</f>
        <v>40794</v>
      </c>
      <c r="C1753" s="2" t="s">
        <v>594</v>
      </c>
      <c r="D1753" s="2" t="str">
        <f t="shared" si="26"/>
        <v>Error?</v>
      </c>
    </row>
    <row r="1754" spans="1:5" x14ac:dyDescent="0.2">
      <c r="A1754" s="5">
        <v>1693</v>
      </c>
      <c r="B1754" s="138">
        <f>'Tax Sched 23'!B14</f>
        <v>31727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4193957</v>
      </c>
      <c r="C1759" s="2" t="s">
        <v>594</v>
      </c>
      <c r="D1759" s="2" t="str">
        <f t="shared" si="26"/>
        <v>Error?</v>
      </c>
    </row>
    <row r="1760" spans="1:5" x14ac:dyDescent="0.2">
      <c r="A1760" s="5">
        <v>1699</v>
      </c>
      <c r="B1760" s="138">
        <f>'Tax Sched 23'!D4</f>
        <v>1998283</v>
      </c>
      <c r="C1760" s="2" t="s">
        <v>594</v>
      </c>
      <c r="D1760" s="2" t="str">
        <f t="shared" si="26"/>
        <v>Error?</v>
      </c>
    </row>
    <row r="1761" spans="1:5" x14ac:dyDescent="0.2">
      <c r="A1761" s="5">
        <v>1700</v>
      </c>
      <c r="B1761" s="138">
        <f>'Tax Sched 23'!D5</f>
        <v>475785</v>
      </c>
      <c r="C1761" s="2" t="s">
        <v>594</v>
      </c>
      <c r="D1761" s="2" t="str">
        <f t="shared" si="26"/>
        <v>Error?</v>
      </c>
    </row>
    <row r="1762" spans="1:5" s="8" customFormat="1" x14ac:dyDescent="0.2">
      <c r="A1762" s="5">
        <v>1701</v>
      </c>
      <c r="B1762" s="138">
        <f>'Tax Sched 23'!D6</f>
        <v>624769</v>
      </c>
      <c r="C1762" s="2" t="s">
        <v>594</v>
      </c>
      <c r="D1762" s="2" t="str">
        <f t="shared" si="26"/>
        <v>Error?</v>
      </c>
      <c r="E1762" s="9"/>
    </row>
    <row r="1763" spans="1:5" x14ac:dyDescent="0.2">
      <c r="A1763" s="5">
        <v>1702</v>
      </c>
      <c r="B1763" s="138">
        <f>'Tax Sched 23'!D7</f>
        <v>158594</v>
      </c>
      <c r="C1763" s="2" t="s">
        <v>594</v>
      </c>
      <c r="D1763" s="2" t="str">
        <f t="shared" si="26"/>
        <v>Error?</v>
      </c>
    </row>
    <row r="1764" spans="1:5" x14ac:dyDescent="0.2">
      <c r="A1764" s="5">
        <v>1703</v>
      </c>
      <c r="B1764" s="138">
        <f>'Tax Sched 23'!D8</f>
        <v>206957</v>
      </c>
      <c r="C1764" s="2" t="s">
        <v>594</v>
      </c>
      <c r="D1764" s="2" t="str">
        <f t="shared" si="26"/>
        <v>Error?</v>
      </c>
    </row>
    <row r="1765" spans="1:5" x14ac:dyDescent="0.2">
      <c r="A1765" s="5">
        <v>1704</v>
      </c>
      <c r="B1765" s="138">
        <f>'Tax Sched 23'!D10</f>
        <v>39650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418839</v>
      </c>
      <c r="C1768" s="2" t="s">
        <v>594</v>
      </c>
      <c r="D1768" s="2" t="str">
        <f t="shared" si="26"/>
        <v>Error?</v>
      </c>
    </row>
    <row r="1769" spans="1:5" x14ac:dyDescent="0.2">
      <c r="A1769" s="5">
        <v>1708</v>
      </c>
      <c r="B1769" s="138">
        <f>'Tax Sched 23'!D12</f>
        <v>40782</v>
      </c>
      <c r="C1769" s="2" t="s">
        <v>594</v>
      </c>
      <c r="D1769" s="2" t="str">
        <f t="shared" si="26"/>
        <v>Error?</v>
      </c>
    </row>
    <row r="1770" spans="1:5" x14ac:dyDescent="0.2">
      <c r="A1770" s="5">
        <v>1709</v>
      </c>
      <c r="B1770" s="138">
        <f>'Tax Sched 23'!D14</f>
        <v>31718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4192711</v>
      </c>
      <c r="C1775" s="2" t="s">
        <v>594</v>
      </c>
      <c r="D1775" s="2" t="str">
        <f t="shared" si="26"/>
        <v>Error?</v>
      </c>
    </row>
    <row r="1776" spans="1:5" x14ac:dyDescent="0.2">
      <c r="A1776" s="5">
        <v>1715</v>
      </c>
      <c r="B1776" s="138">
        <f>'Tax Sched 23'!C4</f>
        <v>594</v>
      </c>
      <c r="D1776" s="2" t="str">
        <f t="shared" si="26"/>
        <v>Error?</v>
      </c>
    </row>
    <row r="1777" spans="1:4" x14ac:dyDescent="0.2">
      <c r="A1777" s="5">
        <v>1716</v>
      </c>
      <c r="B1777" s="138">
        <f>'Tax Sched 23'!C5</f>
        <v>141</v>
      </c>
      <c r="D1777" s="2" t="str">
        <f t="shared" si="26"/>
        <v>Error?</v>
      </c>
    </row>
    <row r="1778" spans="1:4" x14ac:dyDescent="0.2">
      <c r="A1778" s="5">
        <v>1717</v>
      </c>
      <c r="B1778" s="138">
        <f>'Tax Sched 23'!C6</f>
        <v>187</v>
      </c>
      <c r="D1778" s="2" t="str">
        <f t="shared" si="26"/>
        <v>Error?</v>
      </c>
    </row>
    <row r="1779" spans="1:4" x14ac:dyDescent="0.2">
      <c r="A1779" s="5">
        <v>1718</v>
      </c>
      <c r="B1779" s="138">
        <f>'Tax Sched 23'!C7</f>
        <v>47</v>
      </c>
      <c r="D1779" s="2" t="str">
        <f t="shared" si="26"/>
        <v>Error?</v>
      </c>
    </row>
    <row r="1780" spans="1:4" x14ac:dyDescent="0.2">
      <c r="A1780" s="5">
        <v>1719</v>
      </c>
      <c r="B1780" s="138">
        <f>'Tax Sched 23'!C8</f>
        <v>61</v>
      </c>
      <c r="D1780" s="2" t="str">
        <f t="shared" si="26"/>
        <v>Error?</v>
      </c>
    </row>
    <row r="1781" spans="1:4" x14ac:dyDescent="0.2">
      <c r="A1781" s="5">
        <v>1720</v>
      </c>
      <c r="B1781" s="138">
        <f>'Tax Sched 23'!C10</f>
        <v>12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124</v>
      </c>
      <c r="D1784" s="2" t="str">
        <f t="shared" si="26"/>
        <v>Error?</v>
      </c>
    </row>
    <row r="1785" spans="1:4" x14ac:dyDescent="0.2">
      <c r="A1785" s="5">
        <v>1724</v>
      </c>
      <c r="B1785" s="138">
        <f>'Tax Sched 23'!C12</f>
        <v>12</v>
      </c>
      <c r="D1785" s="2" t="str">
        <f t="shared" si="26"/>
        <v>Error?</v>
      </c>
    </row>
    <row r="1786" spans="1:4" x14ac:dyDescent="0.2">
      <c r="A1786" s="5">
        <v>1725</v>
      </c>
      <c r="B1786" s="138">
        <f>'Tax Sched 23'!C14</f>
        <v>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1246</v>
      </c>
      <c r="C1791" s="2" t="s">
        <v>594</v>
      </c>
      <c r="D1791" s="2" t="str">
        <f t="shared" ref="D1791:D1854" si="27">IF(ISBLANK(B1791),"OK",IF(A1791-B1791=0,"OK","Error?"))</f>
        <v>Error?</v>
      </c>
    </row>
    <row r="1792" spans="1:4" x14ac:dyDescent="0.2">
      <c r="A1792" s="5">
        <v>1731</v>
      </c>
      <c r="B1792" s="138">
        <f>'Tax Sched 23'!F4</f>
        <v>2064258</v>
      </c>
      <c r="C1792" s="2" t="s">
        <v>594</v>
      </c>
      <c r="D1792" s="2" t="str">
        <f t="shared" si="27"/>
        <v>Error?</v>
      </c>
    </row>
    <row r="1793" spans="1:4" x14ac:dyDescent="0.2">
      <c r="A1793" s="5">
        <v>1732</v>
      </c>
      <c r="B1793" s="138">
        <f>'Tax Sched 23'!F5</f>
        <v>491490</v>
      </c>
      <c r="C1793" s="2" t="s">
        <v>594</v>
      </c>
      <c r="D1793" s="2" t="str">
        <f t="shared" si="27"/>
        <v>Error?</v>
      </c>
    </row>
    <row r="1794" spans="1:4" x14ac:dyDescent="0.2">
      <c r="A1794" s="5">
        <v>1733</v>
      </c>
      <c r="B1794" s="138">
        <f>'Tax Sched 23'!F6</f>
        <v>643121</v>
      </c>
      <c r="C1794" s="2" t="s">
        <v>594</v>
      </c>
      <c r="D1794" s="2" t="str">
        <f t="shared" si="27"/>
        <v>Error?</v>
      </c>
    </row>
    <row r="1795" spans="1:4" x14ac:dyDescent="0.2">
      <c r="A1795" s="5">
        <v>1734</v>
      </c>
      <c r="B1795" s="138">
        <f>'Tax Sched 23'!F7</f>
        <v>163830</v>
      </c>
      <c r="C1795" s="2" t="s">
        <v>594</v>
      </c>
      <c r="D1795" s="2" t="str">
        <f t="shared" si="27"/>
        <v>Error?</v>
      </c>
    </row>
    <row r="1796" spans="1:4" x14ac:dyDescent="0.2">
      <c r="A1796" s="5">
        <v>1735</v>
      </c>
      <c r="B1796" s="138">
        <f>'Tax Sched 23'!F8</f>
        <v>211939</v>
      </c>
      <c r="C1796" s="2" t="s">
        <v>594</v>
      </c>
      <c r="D1796" s="2" t="str">
        <f t="shared" si="27"/>
        <v>Error?</v>
      </c>
    </row>
    <row r="1797" spans="1:4" x14ac:dyDescent="0.2">
      <c r="A1797" s="5">
        <v>1736</v>
      </c>
      <c r="B1797" s="138">
        <f>'Tax Sched 23'!F10</f>
        <v>40957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426882</v>
      </c>
      <c r="C1800" s="2" t="s">
        <v>594</v>
      </c>
      <c r="D1800" s="2" t="str">
        <f t="shared" si="27"/>
        <v>Error?</v>
      </c>
    </row>
    <row r="1801" spans="1:4" x14ac:dyDescent="0.2">
      <c r="A1801" s="5">
        <v>1740</v>
      </c>
      <c r="B1801" s="138">
        <f>'Tax Sched 23'!F12</f>
        <v>42694</v>
      </c>
      <c r="C1801" s="2" t="s">
        <v>594</v>
      </c>
      <c r="D1801" s="2" t="str">
        <f t="shared" si="27"/>
        <v>Error?</v>
      </c>
    </row>
    <row r="1802" spans="1:4" x14ac:dyDescent="0.2">
      <c r="A1802" s="5">
        <v>1741</v>
      </c>
      <c r="B1802" s="138">
        <f>'Tax Sched 23'!F14</f>
        <v>32767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4321848</v>
      </c>
      <c r="C1807" s="2" t="s">
        <v>594</v>
      </c>
      <c r="D1807" s="2" t="str">
        <f t="shared" si="27"/>
        <v>Error?</v>
      </c>
    </row>
    <row r="1808" spans="1:4" x14ac:dyDescent="0.2">
      <c r="A1808" s="5">
        <v>1747</v>
      </c>
      <c r="B1808" s="138">
        <f>'Tax Sched 23'!E4</f>
        <v>2064852</v>
      </c>
      <c r="D1808" s="2" t="str">
        <f t="shared" si="27"/>
        <v>Error?</v>
      </c>
    </row>
    <row r="1809" spans="1:4" x14ac:dyDescent="0.2">
      <c r="A1809" s="5">
        <v>1748</v>
      </c>
      <c r="B1809" s="138">
        <f>'Tax Sched 23'!E5</f>
        <v>491631</v>
      </c>
      <c r="D1809" s="2" t="str">
        <f t="shared" si="27"/>
        <v>Error?</v>
      </c>
    </row>
    <row r="1810" spans="1:4" x14ac:dyDescent="0.2">
      <c r="A1810" s="5">
        <v>1749</v>
      </c>
      <c r="B1810" s="138">
        <f>'Tax Sched 23'!E6</f>
        <v>643308</v>
      </c>
      <c r="D1810" s="2" t="str">
        <f t="shared" si="27"/>
        <v>Error?</v>
      </c>
    </row>
    <row r="1811" spans="1:4" x14ac:dyDescent="0.2">
      <c r="A1811" s="5">
        <v>1750</v>
      </c>
      <c r="B1811" s="138">
        <f>'Tax Sched 23'!E7</f>
        <v>163877</v>
      </c>
      <c r="D1811" s="2" t="str">
        <f t="shared" si="27"/>
        <v>Error?</v>
      </c>
    </row>
    <row r="1812" spans="1:4" x14ac:dyDescent="0.2">
      <c r="A1812" s="5">
        <v>1751</v>
      </c>
      <c r="B1812" s="138">
        <f>'Tax Sched 23'!E8</f>
        <v>212000</v>
      </c>
      <c r="D1812" s="2" t="str">
        <f t="shared" si="27"/>
        <v>Error?</v>
      </c>
    </row>
    <row r="1813" spans="1:4" x14ac:dyDescent="0.2">
      <c r="A1813" s="5">
        <v>1752</v>
      </c>
      <c r="B1813" s="138">
        <f>'Tax Sched 23'!E10</f>
        <v>40969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427006</v>
      </c>
      <c r="D1816" s="2" t="str">
        <f t="shared" si="27"/>
        <v>Error?</v>
      </c>
    </row>
    <row r="1817" spans="1:4" x14ac:dyDescent="0.2">
      <c r="A1817" s="5">
        <v>1756</v>
      </c>
      <c r="B1817" s="138">
        <f>'Tax Sched 23'!E12</f>
        <v>42706</v>
      </c>
      <c r="D1817" s="2" t="str">
        <f t="shared" si="27"/>
        <v>Error?</v>
      </c>
    </row>
    <row r="1818" spans="1:4" x14ac:dyDescent="0.2">
      <c r="A1818" s="5">
        <v>1757</v>
      </c>
      <c r="B1818" s="138">
        <f>'Tax Sched 23'!E14</f>
        <v>32776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4323094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7560000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31737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31737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31737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53601</v>
      </c>
      <c r="D2008" s="2" t="str">
        <f t="shared" si="30"/>
        <v>Error?</v>
      </c>
    </row>
    <row r="2009" spans="1:4" x14ac:dyDescent="0.2">
      <c r="A2009" s="5">
        <v>1948</v>
      </c>
      <c r="B2009" s="138">
        <f>'Cap Outlay Deprec 26'!C8</f>
        <v>17665062</v>
      </c>
      <c r="D2009" s="2" t="str">
        <f t="shared" si="30"/>
        <v>Error?</v>
      </c>
    </row>
    <row r="2010" spans="1:4" x14ac:dyDescent="0.2">
      <c r="A2010" s="5">
        <v>1949</v>
      </c>
      <c r="B2010" s="138">
        <f>'Cap Outlay Deprec 26'!C10</f>
        <v>1791136</v>
      </c>
      <c r="D2010" s="2" t="str">
        <f t="shared" si="30"/>
        <v>Error?</v>
      </c>
    </row>
    <row r="2011" spans="1:4" x14ac:dyDescent="0.2">
      <c r="A2011" s="5">
        <v>1950</v>
      </c>
      <c r="B2011" s="138">
        <f>'Cap Outlay Deprec 26'!C12</f>
        <v>486299</v>
      </c>
      <c r="D2011" s="2" t="str">
        <f t="shared" si="30"/>
        <v>Error?</v>
      </c>
    </row>
    <row r="2012" spans="1:4" x14ac:dyDescent="0.2">
      <c r="A2012" s="5">
        <v>1951</v>
      </c>
      <c r="B2012" s="138">
        <f>'Cap Outlay Deprec 26'!C13</f>
        <v>305244</v>
      </c>
      <c r="D2012" s="2" t="str">
        <f t="shared" si="30"/>
        <v>Error?</v>
      </c>
    </row>
    <row r="2013" spans="1:4" x14ac:dyDescent="0.2">
      <c r="A2013" s="5">
        <v>1952</v>
      </c>
      <c r="B2013" s="138">
        <f>'Cap Outlay Deprec 26'!C16</f>
        <v>20301342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62950</v>
      </c>
      <c r="D2017" s="2" t="str">
        <f t="shared" si="30"/>
        <v>Error?</v>
      </c>
    </row>
    <row r="2018" spans="1:4" x14ac:dyDescent="0.2">
      <c r="A2018" s="5">
        <v>1957</v>
      </c>
      <c r="B2018" s="138">
        <f>'Cap Outlay Deprec 26'!D13</f>
        <v>16525</v>
      </c>
      <c r="D2018" s="2" t="str">
        <f t="shared" si="30"/>
        <v>Error?</v>
      </c>
    </row>
    <row r="2019" spans="1:4" x14ac:dyDescent="0.2">
      <c r="A2019" s="5">
        <v>1958</v>
      </c>
      <c r="B2019" s="138">
        <f>'Cap Outlay Deprec 26'!D16</f>
        <v>79475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53601</v>
      </c>
      <c r="C2026" s="2" t="s">
        <v>594</v>
      </c>
      <c r="D2026" s="2" t="str">
        <f t="shared" si="30"/>
        <v>Error?</v>
      </c>
    </row>
    <row r="2027" spans="1:4" x14ac:dyDescent="0.2">
      <c r="A2027" s="5">
        <v>1966</v>
      </c>
      <c r="B2027" s="138">
        <f>'Cap Outlay Deprec 26'!F8</f>
        <v>17665062</v>
      </c>
      <c r="C2027" s="2" t="s">
        <v>594</v>
      </c>
      <c r="D2027" s="2" t="str">
        <f t="shared" si="30"/>
        <v>Error?</v>
      </c>
    </row>
    <row r="2028" spans="1:4" x14ac:dyDescent="0.2">
      <c r="A2028" s="5">
        <v>1967</v>
      </c>
      <c r="B2028" s="138">
        <f>'Cap Outlay Deprec 26'!F10</f>
        <v>1791136</v>
      </c>
      <c r="C2028" s="2" t="s">
        <v>594</v>
      </c>
      <c r="D2028" s="2" t="str">
        <f t="shared" si="30"/>
        <v>Error?</v>
      </c>
    </row>
    <row r="2029" spans="1:4" x14ac:dyDescent="0.2">
      <c r="A2029" s="5">
        <v>1968</v>
      </c>
      <c r="B2029" s="138">
        <f>'Cap Outlay Deprec 26'!F12</f>
        <v>549249</v>
      </c>
      <c r="C2029" s="2" t="s">
        <v>594</v>
      </c>
      <c r="D2029" s="2" t="str">
        <f t="shared" si="30"/>
        <v>Error?</v>
      </c>
    </row>
    <row r="2030" spans="1:4" x14ac:dyDescent="0.2">
      <c r="A2030" s="5">
        <v>1969</v>
      </c>
      <c r="B2030" s="138">
        <f>'Cap Outlay Deprec 26'!F13</f>
        <v>321769</v>
      </c>
      <c r="C2030" s="2" t="s">
        <v>594</v>
      </c>
      <c r="D2030" s="2" t="str">
        <f t="shared" si="30"/>
        <v>Error?</v>
      </c>
    </row>
    <row r="2031" spans="1:4" x14ac:dyDescent="0.2">
      <c r="A2031" s="5">
        <v>1970</v>
      </c>
      <c r="B2031" s="138">
        <f>'Cap Outlay Deprec 26'!F16</f>
        <v>20380817</v>
      </c>
      <c r="C2031" s="2" t="s">
        <v>594</v>
      </c>
      <c r="D2031" s="2" t="str">
        <f t="shared" si="30"/>
        <v>Error?</v>
      </c>
    </row>
    <row r="2032" spans="1:4" x14ac:dyDescent="0.2">
      <c r="A2032" s="10">
        <v>1971</v>
      </c>
      <c r="D2032" s="2" t="str">
        <f t="shared" si="30"/>
        <v>OK</v>
      </c>
    </row>
    <row r="2033" spans="1:4" x14ac:dyDescent="0.2">
      <c r="A2033" s="5">
        <v>1972</v>
      </c>
      <c r="B2033" s="138">
        <f>'Cap Outlay Deprec 26'!H8</f>
        <v>6188759</v>
      </c>
      <c r="D2033" s="2" t="str">
        <f t="shared" si="30"/>
        <v>Error?</v>
      </c>
    </row>
    <row r="2034" spans="1:4" x14ac:dyDescent="0.2">
      <c r="A2034" s="5">
        <v>1973</v>
      </c>
      <c r="B2034" s="138">
        <f>'Cap Outlay Deprec 26'!H10</f>
        <v>1050532</v>
      </c>
      <c r="D2034" s="2" t="str">
        <f t="shared" si="30"/>
        <v>Error?</v>
      </c>
    </row>
    <row r="2035" spans="1:4" x14ac:dyDescent="0.2">
      <c r="A2035" s="5">
        <v>1974</v>
      </c>
      <c r="B2035" s="138">
        <f>'Cap Outlay Deprec 26'!H12</f>
        <v>368765</v>
      </c>
      <c r="D2035" s="2" t="str">
        <f t="shared" si="30"/>
        <v>Error?</v>
      </c>
    </row>
    <row r="2036" spans="1:4" x14ac:dyDescent="0.2">
      <c r="A2036" s="5">
        <v>1975</v>
      </c>
      <c r="B2036" s="138">
        <f>'Cap Outlay Deprec 26'!H13</f>
        <v>250333</v>
      </c>
      <c r="D2036" s="2" t="str">
        <f t="shared" si="30"/>
        <v>Error?</v>
      </c>
    </row>
    <row r="2037" spans="1:4" x14ac:dyDescent="0.2">
      <c r="A2037" s="5">
        <v>1976</v>
      </c>
      <c r="B2037" s="138">
        <f>'Cap Outlay Deprec 26'!H16</f>
        <v>7858389</v>
      </c>
      <c r="C2037" s="2" t="s">
        <v>594</v>
      </c>
      <c r="D2037" s="2" t="str">
        <f t="shared" si="30"/>
        <v>Error?</v>
      </c>
    </row>
    <row r="2038" spans="1:4" x14ac:dyDescent="0.2">
      <c r="A2038" s="10">
        <v>1977</v>
      </c>
      <c r="D2038" s="2" t="str">
        <f t="shared" si="30"/>
        <v>OK</v>
      </c>
    </row>
    <row r="2039" spans="1:4" x14ac:dyDescent="0.2">
      <c r="A2039" s="5">
        <v>1978</v>
      </c>
      <c r="B2039" s="138">
        <f>'Cap Outlay Deprec 26'!I8</f>
        <v>271554</v>
      </c>
      <c r="D2039" s="2" t="str">
        <f t="shared" si="30"/>
        <v>Error?</v>
      </c>
    </row>
    <row r="2040" spans="1:4" x14ac:dyDescent="0.2">
      <c r="A2040" s="5">
        <v>1979</v>
      </c>
      <c r="B2040" s="138">
        <f>'Cap Outlay Deprec 26'!I10</f>
        <v>84310</v>
      </c>
      <c r="D2040" s="2" t="str">
        <f t="shared" si="30"/>
        <v>Error?</v>
      </c>
    </row>
    <row r="2041" spans="1:4" x14ac:dyDescent="0.2">
      <c r="A2041" s="5">
        <v>1980</v>
      </c>
      <c r="B2041" s="138">
        <f>'Cap Outlay Deprec 26'!I12</f>
        <v>47689</v>
      </c>
      <c r="D2041" s="2" t="str">
        <f t="shared" si="30"/>
        <v>Error?</v>
      </c>
    </row>
    <row r="2042" spans="1:4" x14ac:dyDescent="0.2">
      <c r="A2042" s="5">
        <v>1981</v>
      </c>
      <c r="B2042" s="138">
        <f>'Cap Outlay Deprec 26'!I13</f>
        <v>3692</v>
      </c>
      <c r="D2042" s="2" t="str">
        <f t="shared" si="30"/>
        <v>Error?</v>
      </c>
    </row>
    <row r="2043" spans="1:4" x14ac:dyDescent="0.2">
      <c r="A2043" s="5">
        <v>1982</v>
      </c>
      <c r="B2043" s="138">
        <f>'Cap Outlay Deprec 26'!I16</f>
        <v>407245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6460313</v>
      </c>
      <c r="C2051" s="2" t="s">
        <v>594</v>
      </c>
      <c r="D2051" s="2" t="str">
        <f t="shared" si="31"/>
        <v>Error?</v>
      </c>
    </row>
    <row r="2052" spans="1:4" x14ac:dyDescent="0.2">
      <c r="A2052" s="5">
        <v>1991</v>
      </c>
      <c r="B2052" s="138">
        <f>'Cap Outlay Deprec 26'!K10</f>
        <v>1134842</v>
      </c>
      <c r="C2052" s="2" t="s">
        <v>594</v>
      </c>
      <c r="D2052" s="2" t="str">
        <f t="shared" si="31"/>
        <v>Error?</v>
      </c>
    </row>
    <row r="2053" spans="1:4" x14ac:dyDescent="0.2">
      <c r="A2053" s="5">
        <v>1992</v>
      </c>
      <c r="B2053" s="138">
        <f>'Cap Outlay Deprec 26'!K12</f>
        <v>416454</v>
      </c>
      <c r="C2053" s="2" t="s">
        <v>594</v>
      </c>
      <c r="D2053" s="2" t="str">
        <f t="shared" si="31"/>
        <v>Error?</v>
      </c>
    </row>
    <row r="2054" spans="1:4" x14ac:dyDescent="0.2">
      <c r="A2054" s="5">
        <v>1993</v>
      </c>
      <c r="B2054" s="138">
        <f>'Cap Outlay Deprec 26'!K13</f>
        <v>254025</v>
      </c>
      <c r="C2054" s="2" t="s">
        <v>594</v>
      </c>
      <c r="D2054" s="2" t="str">
        <f t="shared" si="31"/>
        <v>Error?</v>
      </c>
    </row>
    <row r="2055" spans="1:4" x14ac:dyDescent="0.2">
      <c r="A2055" s="5">
        <v>1994</v>
      </c>
      <c r="B2055" s="138">
        <f>'Cap Outlay Deprec 26'!K16</f>
        <v>8265634</v>
      </c>
      <c r="C2055" s="2" t="s">
        <v>594</v>
      </c>
      <c r="D2055" s="2" t="str">
        <f t="shared" si="31"/>
        <v>Error?</v>
      </c>
    </row>
    <row r="2056" spans="1:4" x14ac:dyDescent="0.2">
      <c r="A2056" s="5">
        <v>1995</v>
      </c>
      <c r="B2056" s="138">
        <f>'Cap Outlay Deprec 26'!L5</f>
        <v>53601</v>
      </c>
      <c r="C2056" s="2" t="s">
        <v>594</v>
      </c>
      <c r="D2056" s="2" t="str">
        <f t="shared" si="31"/>
        <v>Error?</v>
      </c>
    </row>
    <row r="2057" spans="1:4" x14ac:dyDescent="0.2">
      <c r="A2057" s="5">
        <v>1996</v>
      </c>
      <c r="B2057" s="138">
        <f>'Cap Outlay Deprec 26'!L8</f>
        <v>11204749</v>
      </c>
      <c r="C2057" s="2" t="s">
        <v>594</v>
      </c>
      <c r="D2057" s="2" t="str">
        <f t="shared" si="31"/>
        <v>Error?</v>
      </c>
    </row>
    <row r="2058" spans="1:4" x14ac:dyDescent="0.2">
      <c r="A2058" s="5">
        <v>1997</v>
      </c>
      <c r="B2058" s="138">
        <f>'Cap Outlay Deprec 26'!L10</f>
        <v>656294</v>
      </c>
      <c r="C2058" s="2" t="s">
        <v>594</v>
      </c>
      <c r="D2058" s="2" t="str">
        <f t="shared" si="31"/>
        <v>Error?</v>
      </c>
    </row>
    <row r="2059" spans="1:4" x14ac:dyDescent="0.2">
      <c r="A2059" s="5">
        <v>1998</v>
      </c>
      <c r="B2059" s="138">
        <f>'Cap Outlay Deprec 26'!L12</f>
        <v>132795</v>
      </c>
      <c r="C2059" s="2" t="s">
        <v>594</v>
      </c>
      <c r="D2059" s="2" t="str">
        <f t="shared" si="31"/>
        <v>Error?</v>
      </c>
    </row>
    <row r="2060" spans="1:4" x14ac:dyDescent="0.2">
      <c r="A2060" s="5">
        <v>1999</v>
      </c>
      <c r="B2060" s="138">
        <f>'Cap Outlay Deprec 26'!L13</f>
        <v>67744</v>
      </c>
      <c r="C2060" s="2" t="s">
        <v>594</v>
      </c>
      <c r="D2060" s="2" t="str">
        <f t="shared" si="31"/>
        <v>Error?</v>
      </c>
    </row>
    <row r="2061" spans="1:4" x14ac:dyDescent="0.2">
      <c r="A2061" s="5">
        <v>2000</v>
      </c>
      <c r="B2061" s="138">
        <f>'Cap Outlay Deprec 26'!L16</f>
        <v>12115183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365232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87897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2580986</v>
      </c>
      <c r="C2551" s="2" t="s">
        <v>594</v>
      </c>
      <c r="D2551" s="2" t="str">
        <f t="shared" si="38"/>
        <v>Error?</v>
      </c>
    </row>
    <row r="2552" spans="1:4" x14ac:dyDescent="0.2">
      <c r="A2552" s="10">
        <v>2491</v>
      </c>
      <c r="D2552" s="2" t="str">
        <f t="shared" si="38"/>
        <v>OK</v>
      </c>
    </row>
    <row r="2553" spans="1:4" x14ac:dyDescent="0.2">
      <c r="A2553" s="5">
        <v>2492</v>
      </c>
      <c r="B2553" s="138">
        <f>'Acct Summary 7-8'!C6</f>
        <v>3755811</v>
      </c>
      <c r="C2553" s="2" t="s">
        <v>594</v>
      </c>
      <c r="D2553" s="2" t="str">
        <f t="shared" si="38"/>
        <v>Error?</v>
      </c>
    </row>
    <row r="2554" spans="1:4" x14ac:dyDescent="0.2">
      <c r="A2554" s="5">
        <v>2493</v>
      </c>
      <c r="B2554" s="138">
        <f>'Acct Summary 7-8'!C7</f>
        <v>369726</v>
      </c>
      <c r="C2554" s="2" t="s">
        <v>594</v>
      </c>
      <c r="D2554" s="2" t="str">
        <f t="shared" si="38"/>
        <v>Error?</v>
      </c>
    </row>
    <row r="2555" spans="1:4" x14ac:dyDescent="0.2">
      <c r="A2555" s="5">
        <v>2494</v>
      </c>
      <c r="B2555" s="138">
        <f>'Acct Summary 7-8'!C8</f>
        <v>6706523</v>
      </c>
      <c r="C2555" s="2" t="s">
        <v>594</v>
      </c>
      <c r="D2555" s="2" t="str">
        <f t="shared" si="38"/>
        <v>Error?</v>
      </c>
    </row>
    <row r="2556" spans="1:4" x14ac:dyDescent="0.2">
      <c r="A2556" s="5">
        <v>2495</v>
      </c>
      <c r="B2556" s="138">
        <f>'Acct Summary 7-8'!C12</f>
        <v>4227287</v>
      </c>
      <c r="C2556" s="2" t="s">
        <v>594</v>
      </c>
      <c r="D2556" s="2" t="str">
        <f t="shared" si="38"/>
        <v>Error?</v>
      </c>
    </row>
    <row r="2557" spans="1:4" x14ac:dyDescent="0.2">
      <c r="A2557" s="5">
        <v>2496</v>
      </c>
      <c r="B2557" s="138">
        <f>'Acct Summary 7-8'!C13</f>
        <v>1776527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365232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6369046</v>
      </c>
      <c r="C2561" s="2" t="s">
        <v>594</v>
      </c>
      <c r="D2561" s="2" t="str">
        <f t="shared" si="39"/>
        <v>Error?</v>
      </c>
    </row>
    <row r="2562" spans="1:4" x14ac:dyDescent="0.2">
      <c r="A2562" s="5">
        <v>2501</v>
      </c>
      <c r="B2562" s="138">
        <f>'Acct Summary 7-8'!C20</f>
        <v>337477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486236</v>
      </c>
      <c r="C2564" s="2" t="s">
        <v>594</v>
      </c>
      <c r="D2564" s="2" t="str">
        <f t="shared" si="39"/>
        <v>Error?</v>
      </c>
    </row>
    <row r="2565" spans="1:4" x14ac:dyDescent="0.2">
      <c r="A2565" s="10">
        <v>2504</v>
      </c>
      <c r="D2565" s="2" t="str">
        <f t="shared" si="39"/>
        <v>OK</v>
      </c>
    </row>
    <row r="2566" spans="1:4" x14ac:dyDescent="0.2">
      <c r="A2566" s="5">
        <v>2505</v>
      </c>
      <c r="B2566" s="138">
        <f>'Acct Summary 7-8'!D6</f>
        <v>411060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897296</v>
      </c>
      <c r="C2568" s="2" t="s">
        <v>594</v>
      </c>
      <c r="D2568" s="2" t="str">
        <f t="shared" si="39"/>
        <v>Error?</v>
      </c>
    </row>
    <row r="2569" spans="1:4" x14ac:dyDescent="0.2">
      <c r="A2569" s="5">
        <v>2508</v>
      </c>
      <c r="B2569" s="138">
        <f>'Acct Summary 7-8'!D13</f>
        <v>945691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945691</v>
      </c>
      <c r="C2573" s="2" t="s">
        <v>594</v>
      </c>
      <c r="D2573" s="2" t="str">
        <f t="shared" si="39"/>
        <v>Error?</v>
      </c>
    </row>
    <row r="2574" spans="1:4" x14ac:dyDescent="0.2">
      <c r="A2574" s="5">
        <v>2513</v>
      </c>
      <c r="B2574" s="138">
        <f>'Acct Summary 7-8'!D20</f>
        <v>-48395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162862</v>
      </c>
      <c r="C2591" s="2" t="s">
        <v>594</v>
      </c>
      <c r="D2591" s="2" t="str">
        <f t="shared" si="39"/>
        <v>Error?</v>
      </c>
    </row>
    <row r="2592" spans="1:4" x14ac:dyDescent="0.2">
      <c r="A2592" s="10">
        <v>2531</v>
      </c>
      <c r="D2592" s="2" t="str">
        <f t="shared" si="39"/>
        <v>OK</v>
      </c>
    </row>
    <row r="2593" spans="1:4" x14ac:dyDescent="0.2">
      <c r="A2593" s="5">
        <v>2532</v>
      </c>
      <c r="B2593" s="138">
        <f>'Acct Summary 7-8'!F6</f>
        <v>445215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608077</v>
      </c>
      <c r="C2595" s="2" t="s">
        <v>594</v>
      </c>
      <c r="D2595" s="2" t="str">
        <f t="shared" si="39"/>
        <v>Error?</v>
      </c>
    </row>
    <row r="2596" spans="1:4" x14ac:dyDescent="0.2">
      <c r="A2596" s="5">
        <v>2535</v>
      </c>
      <c r="B2596" s="138">
        <f>'Acct Summary 7-8'!F13</f>
        <v>586831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586831</v>
      </c>
      <c r="C2600" s="2" t="s">
        <v>594</v>
      </c>
      <c r="D2600" s="2" t="str">
        <f t="shared" si="39"/>
        <v>Error?</v>
      </c>
    </row>
    <row r="2601" spans="1:4" x14ac:dyDescent="0.2">
      <c r="A2601" s="5">
        <v>2540</v>
      </c>
      <c r="B2601" s="138">
        <f>'Acct Summary 7-8'!F20</f>
        <v>21246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395581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395581</v>
      </c>
      <c r="C2606" s="2" t="s">
        <v>594</v>
      </c>
      <c r="D2606" s="2" t="str">
        <f t="shared" si="39"/>
        <v>Error?</v>
      </c>
    </row>
    <row r="2607" spans="1:4" x14ac:dyDescent="0.2">
      <c r="A2607" s="5">
        <v>2546</v>
      </c>
      <c r="B2607" s="138">
        <f>'Acct Summary 7-8'!G12</f>
        <v>104036</v>
      </c>
      <c r="C2607" s="2" t="s">
        <v>594</v>
      </c>
      <c r="D2607" s="2" t="str">
        <f t="shared" si="39"/>
        <v>Error?</v>
      </c>
    </row>
    <row r="2608" spans="1:4" x14ac:dyDescent="0.2">
      <c r="A2608" s="5">
        <v>2547</v>
      </c>
      <c r="B2608" s="138">
        <f>'Acct Summary 7-8'!G13</f>
        <v>243845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347881</v>
      </c>
      <c r="C2612" s="2" t="s">
        <v>594</v>
      </c>
      <c r="D2612" s="2" t="str">
        <f t="shared" si="39"/>
        <v>Error?</v>
      </c>
    </row>
    <row r="2613" spans="1:4" x14ac:dyDescent="0.2">
      <c r="A2613" s="5">
        <v>2552</v>
      </c>
      <c r="B2613" s="138">
        <f>'Acct Summary 7-8'!G20</f>
        <v>47700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625296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625296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635659</v>
      </c>
      <c r="C2634" s="2" t="s">
        <v>594</v>
      </c>
      <c r="D2634" s="2" t="str">
        <f t="shared" si="40"/>
        <v>Error?</v>
      </c>
    </row>
    <row r="2635" spans="1:4" x14ac:dyDescent="0.2">
      <c r="A2635" s="5">
        <v>2574</v>
      </c>
      <c r="B2635" s="138">
        <f>'Acct Summary 7-8'!E17</f>
        <v>635659</v>
      </c>
      <c r="C2635" s="2" t="s">
        <v>594</v>
      </c>
      <c r="D2635" s="2" t="str">
        <f t="shared" si="40"/>
        <v>Error?</v>
      </c>
    </row>
    <row r="2636" spans="1:4" x14ac:dyDescent="0.2">
      <c r="A2636" s="5">
        <v>2575</v>
      </c>
      <c r="B2636" s="138">
        <f>'Acct Summary 7-8'!E20</f>
        <v>-10363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365232</v>
      </c>
      <c r="C2789" s="2" t="s">
        <v>594</v>
      </c>
      <c r="D2789" s="2" t="str">
        <f t="shared" si="42"/>
        <v>Error?</v>
      </c>
    </row>
    <row r="2790" spans="1:4" x14ac:dyDescent="0.2">
      <c r="A2790" s="5">
        <v>2729</v>
      </c>
      <c r="B2790" s="138">
        <f>'Expenditures 15-22'!E102</f>
        <v>365232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74662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515630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203546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515630</v>
      </c>
      <c r="D2912" s="2" t="str">
        <f t="shared" si="44"/>
        <v>Error?</v>
      </c>
    </row>
    <row r="2913" spans="1:4" x14ac:dyDescent="0.2">
      <c r="A2913" s="5">
        <v>2852</v>
      </c>
      <c r="B2913" s="138">
        <f>'Assets-Liab 5-6'!I41</f>
        <v>515630</v>
      </c>
      <c r="C2913" s="2" t="s">
        <v>594</v>
      </c>
      <c r="D2913" s="2" t="str">
        <f t="shared" si="44"/>
        <v>Error?</v>
      </c>
    </row>
    <row r="2914" spans="1:4" x14ac:dyDescent="0.2">
      <c r="A2914" s="5">
        <v>2853</v>
      </c>
      <c r="B2914" s="138">
        <f>'Assets-Liab 5-6'!L33</f>
        <v>203546</v>
      </c>
      <c r="D2914" s="2" t="str">
        <f t="shared" si="44"/>
        <v>Error?</v>
      </c>
    </row>
    <row r="2915" spans="1:4" x14ac:dyDescent="0.2">
      <c r="A2915" s="10">
        <v>2854</v>
      </c>
      <c r="D2915" s="2" t="str">
        <f t="shared" si="44"/>
        <v>OK</v>
      </c>
    </row>
    <row r="2916" spans="1:4" x14ac:dyDescent="0.2">
      <c r="A2916" s="5">
        <v>2855</v>
      </c>
      <c r="B2916" s="138">
        <f>'Assets-Liab 5-6'!L34</f>
        <v>203546</v>
      </c>
      <c r="C2916" s="2" t="s">
        <v>594</v>
      </c>
      <c r="D2916" s="2" t="str">
        <f t="shared" si="44"/>
        <v>Error?</v>
      </c>
    </row>
    <row r="2917" spans="1:4" x14ac:dyDescent="0.2">
      <c r="A2917" s="5">
        <v>2856</v>
      </c>
      <c r="B2917" s="138">
        <f>'Assets-Liab 5-6'!L41</f>
        <v>203546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2556</v>
      </c>
      <c r="D2949" s="2" t="str">
        <f t="shared" si="45"/>
        <v>Error?</v>
      </c>
    </row>
    <row r="2950" spans="1:4" x14ac:dyDescent="0.2">
      <c r="A2950" s="5">
        <v>2889</v>
      </c>
      <c r="B2950" s="138">
        <f>'Expenditures 15-22'!E79</f>
        <v>362676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2556</v>
      </c>
      <c r="C2973" s="2" t="s">
        <v>594</v>
      </c>
      <c r="D2973" s="2" t="str">
        <f t="shared" si="45"/>
        <v>Error?</v>
      </c>
    </row>
    <row r="2974" spans="1:4" x14ac:dyDescent="0.2">
      <c r="A2974" s="5">
        <v>2913</v>
      </c>
      <c r="B2974" s="138">
        <f>'Expenditures 15-22'!K79</f>
        <v>362676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91274</v>
      </c>
      <c r="D3055" s="2" t="str">
        <f t="shared" si="46"/>
        <v>Error?</v>
      </c>
    </row>
    <row r="3056" spans="1:4" x14ac:dyDescent="0.2">
      <c r="A3056" s="5">
        <v>2995</v>
      </c>
      <c r="B3056" s="138">
        <f>'Expenditures 15-22'!D10</f>
        <v>14012</v>
      </c>
      <c r="D3056" s="2" t="str">
        <f t="shared" si="46"/>
        <v>Error?</v>
      </c>
    </row>
    <row r="3057" spans="1:4" x14ac:dyDescent="0.2">
      <c r="A3057" s="5">
        <v>2996</v>
      </c>
      <c r="B3057" s="138">
        <f>'Expenditures 15-22'!E10</f>
        <v>3068</v>
      </c>
      <c r="D3057" s="2" t="str">
        <f t="shared" si="46"/>
        <v>Error?</v>
      </c>
    </row>
    <row r="3058" spans="1:4" x14ac:dyDescent="0.2">
      <c r="A3058" s="5">
        <v>2997</v>
      </c>
      <c r="B3058" s="138">
        <f>'Expenditures 15-22'!F10</f>
        <v>38925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147279</v>
      </c>
      <c r="C3062" s="2" t="s">
        <v>594</v>
      </c>
      <c r="D3062" s="2" t="str">
        <f t="shared" si="46"/>
        <v>Error?</v>
      </c>
    </row>
    <row r="3063" spans="1:4" x14ac:dyDescent="0.2">
      <c r="A3063" s="10">
        <v>3002</v>
      </c>
      <c r="D3063" s="2" t="str">
        <f t="shared" si="46"/>
        <v>OK</v>
      </c>
    </row>
    <row r="3064" spans="1:4" x14ac:dyDescent="0.2">
      <c r="A3064" s="5">
        <v>3003</v>
      </c>
      <c r="B3064" s="138">
        <f>'Expenditures 15-22'!D219</f>
        <v>10181</v>
      </c>
      <c r="D3064" s="2" t="str">
        <f t="shared" si="46"/>
        <v>Error?</v>
      </c>
    </row>
    <row r="3065" spans="1:4" x14ac:dyDescent="0.2">
      <c r="A3065" s="5">
        <v>3004</v>
      </c>
      <c r="B3065" s="138">
        <f>'Expenditures 15-22'!K219</f>
        <v>10181</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40121</v>
      </c>
      <c r="C3225" s="2" t="s">
        <v>594</v>
      </c>
      <c r="D3225" s="2" t="str">
        <f t="shared" si="49"/>
        <v>Error?</v>
      </c>
    </row>
    <row r="3226" spans="1:4" x14ac:dyDescent="0.2">
      <c r="A3226" s="5">
        <v>3165</v>
      </c>
      <c r="B3226" s="138">
        <f>'Acct Summary 7-8'!I8</f>
        <v>40121</v>
      </c>
      <c r="C3226" s="2" t="s">
        <v>594</v>
      </c>
      <c r="D3226" s="2" t="str">
        <f t="shared" si="49"/>
        <v>Error?</v>
      </c>
    </row>
    <row r="3227" spans="1:4" x14ac:dyDescent="0.2">
      <c r="A3227" s="5">
        <v>3166</v>
      </c>
      <c r="B3227" s="138">
        <f>'Acct Summary 7-8'!I20</f>
        <v>40121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337477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150000</v>
      </c>
      <c r="C3238" s="2" t="s">
        <v>594</v>
      </c>
      <c r="D3238" s="2" t="str">
        <f t="shared" si="49"/>
        <v>Error?</v>
      </c>
    </row>
    <row r="3239" spans="1:4" x14ac:dyDescent="0.2">
      <c r="A3239" s="5">
        <v>3178</v>
      </c>
      <c r="B3239" s="138">
        <f>'Acct Summary 7-8'!D78</f>
        <v>101605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21246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47700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-10363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150000</v>
      </c>
      <c r="C3318" s="2" t="s">
        <v>594</v>
      </c>
      <c r="D3318" s="2" t="str">
        <f t="shared" si="50"/>
        <v>Error?</v>
      </c>
    </row>
    <row r="3319" spans="1:4" x14ac:dyDescent="0.2">
      <c r="A3319" s="5">
        <v>3258</v>
      </c>
      <c r="B3319" s="138">
        <f>'Acct Summary 7-8'!I77</f>
        <v>-150000</v>
      </c>
      <c r="C3319" s="2" t="s">
        <v>594</v>
      </c>
      <c r="D3319" s="2" t="str">
        <f t="shared" si="50"/>
        <v>Error?</v>
      </c>
    </row>
    <row r="3320" spans="1:4" x14ac:dyDescent="0.2">
      <c r="A3320" s="5">
        <v>3259</v>
      </c>
      <c r="B3320" s="138">
        <f>'Acct Summary 7-8'!I78</f>
        <v>-109879</v>
      </c>
      <c r="C3320" s="2" t="s">
        <v>594</v>
      </c>
      <c r="D3320" s="2" t="str">
        <f t="shared" si="50"/>
        <v>Error?</v>
      </c>
    </row>
    <row r="3321" spans="1:4" x14ac:dyDescent="0.2">
      <c r="A3321" s="5">
        <v>3260</v>
      </c>
      <c r="B3321" s="138">
        <f>'Acct Summary 7-8'!I79</f>
        <v>625509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515630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563096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176667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2002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3261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745026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48939</v>
      </c>
      <c r="D3387" s="2" t="str">
        <f t="shared" si="51"/>
        <v>Error?</v>
      </c>
    </row>
    <row r="3388" spans="1:4" x14ac:dyDescent="0.2">
      <c r="A3388" s="5">
        <v>3327</v>
      </c>
      <c r="B3388" s="138">
        <f>'Expenditures 15-22'!D217</f>
        <v>34182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48939</v>
      </c>
      <c r="C3390" s="2" t="s">
        <v>594</v>
      </c>
      <c r="D3390" s="2" t="str">
        <f t="shared" si="51"/>
        <v>Error?</v>
      </c>
    </row>
    <row r="3391" spans="1:4" x14ac:dyDescent="0.2">
      <c r="A3391" s="5">
        <v>3330</v>
      </c>
      <c r="B3391" s="138">
        <f>'Expenditures 15-22'!K217</f>
        <v>34182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617041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145869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148575</v>
      </c>
      <c r="D3417" s="2" t="str">
        <f t="shared" si="52"/>
        <v>Error?</v>
      </c>
    </row>
    <row r="3418" spans="1:4" x14ac:dyDescent="0.2">
      <c r="A3418" s="10">
        <v>3357</v>
      </c>
      <c r="D3418" s="2" t="str">
        <f t="shared" si="52"/>
        <v>OK</v>
      </c>
    </row>
    <row r="3419" spans="1:4" x14ac:dyDescent="0.2">
      <c r="A3419" s="5">
        <v>3358</v>
      </c>
      <c r="B3419" s="138">
        <f>'Assets-Liab 5-6'!F4</f>
        <v>356895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87601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440968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203546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157731</v>
      </c>
      <c r="C3446" s="2" t="s">
        <v>594</v>
      </c>
      <c r="D3446" s="2" t="str">
        <f t="shared" si="52"/>
        <v>Error?</v>
      </c>
    </row>
    <row r="3447" spans="1:4" x14ac:dyDescent="0.2">
      <c r="A3447" s="5">
        <v>3386</v>
      </c>
      <c r="B3447" s="138">
        <f>'Tax Sched 23'!D16</f>
        <v>157684</v>
      </c>
      <c r="C3447" s="2" t="s">
        <v>594</v>
      </c>
      <c r="D3447" s="2" t="str">
        <f t="shared" si="52"/>
        <v>Error?</v>
      </c>
    </row>
    <row r="3448" spans="1:4" x14ac:dyDescent="0.2">
      <c r="A3448" s="5">
        <v>3387</v>
      </c>
      <c r="B3448" s="138">
        <f>'Tax Sched 23'!C16</f>
        <v>47</v>
      </c>
      <c r="D3448" s="2" t="str">
        <f t="shared" si="52"/>
        <v>Error?</v>
      </c>
    </row>
    <row r="3449" spans="1:4" x14ac:dyDescent="0.2">
      <c r="A3449" s="5">
        <v>3388</v>
      </c>
      <c r="B3449" s="138">
        <f>'Tax Sched 23'!F16</f>
        <v>162953</v>
      </c>
      <c r="C3449" s="2" t="s">
        <v>594</v>
      </c>
      <c r="D3449" s="2" t="str">
        <f t="shared" si="52"/>
        <v>Error?</v>
      </c>
    </row>
    <row r="3450" spans="1:4" x14ac:dyDescent="0.2">
      <c r="A3450" s="5">
        <v>3389</v>
      </c>
      <c r="B3450" s="138">
        <f>'Tax Sched 23'!E16</f>
        <v>163000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6753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4826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11579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11579</v>
      </c>
      <c r="D3567" s="2" t="str">
        <f t="shared" si="54"/>
        <v>Error?</v>
      </c>
    </row>
    <row r="3568" spans="1:4" x14ac:dyDescent="0.2">
      <c r="A3568" s="5">
        <v>3507</v>
      </c>
      <c r="B3568" s="138">
        <f>'Assets-Liab 5-6'!K41</f>
        <v>11579</v>
      </c>
      <c r="C3568" s="2" t="s">
        <v>594</v>
      </c>
      <c r="D3568" s="2" t="str">
        <f t="shared" si="54"/>
        <v>Error?</v>
      </c>
    </row>
    <row r="3569" spans="1:4" x14ac:dyDescent="0.2">
      <c r="A3569" s="5">
        <v>3508</v>
      </c>
      <c r="B3569" s="138">
        <f>'Acct Summary 7-8'!K4</f>
        <v>40862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40862</v>
      </c>
      <c r="C3571" s="2" t="s">
        <v>594</v>
      </c>
      <c r="D3571" s="2" t="str">
        <f t="shared" si="54"/>
        <v>Error?</v>
      </c>
    </row>
    <row r="3572" spans="1:4" x14ac:dyDescent="0.2">
      <c r="A3572" s="5">
        <v>3511</v>
      </c>
      <c r="B3572" s="138">
        <f>'Acct Summary 7-8'!K13</f>
        <v>32783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32783</v>
      </c>
      <c r="C3575" s="2" t="s">
        <v>594</v>
      </c>
      <c r="D3575" s="2" t="str">
        <f t="shared" si="54"/>
        <v>Error?</v>
      </c>
    </row>
    <row r="3576" spans="1:4" x14ac:dyDescent="0.2">
      <c r="A3576" s="5">
        <v>3515</v>
      </c>
      <c r="B3576" s="138">
        <f>'Acct Summary 7-8'!K20</f>
        <v>8079</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8079</v>
      </c>
      <c r="C3588" s="2" t="s">
        <v>594</v>
      </c>
      <c r="D3588" s="2" t="str">
        <f t="shared" si="55"/>
        <v>Error?</v>
      </c>
    </row>
    <row r="3589" spans="1:4" x14ac:dyDescent="0.2">
      <c r="A3589" s="5">
        <v>3528</v>
      </c>
      <c r="B3589" s="138">
        <f>'Acct Summary 7-8'!K79</f>
        <v>3500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11579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30831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30831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30831</v>
      </c>
      <c r="C3635" s="2" t="s">
        <v>594</v>
      </c>
      <c r="D3635" s="2" t="str">
        <f t="shared" si="55"/>
        <v>Error?</v>
      </c>
    </row>
    <row r="3636" spans="1:4" x14ac:dyDescent="0.2">
      <c r="A3636" s="5">
        <v>3575</v>
      </c>
      <c r="B3636" s="138">
        <f>'Expenditures 15-22'!E367</f>
        <v>30831</v>
      </c>
      <c r="C3636" s="2" t="s">
        <v>594</v>
      </c>
      <c r="D3636" s="2" t="str">
        <f t="shared" si="55"/>
        <v>Error?</v>
      </c>
    </row>
    <row r="3637" spans="1:4" x14ac:dyDescent="0.2">
      <c r="A3637" s="10">
        <v>3576</v>
      </c>
      <c r="D3637" s="2" t="str">
        <f t="shared" si="55"/>
        <v>OK</v>
      </c>
    </row>
    <row r="3638" spans="1:4" x14ac:dyDescent="0.2">
      <c r="A3638" s="5">
        <v>3577</v>
      </c>
      <c r="B3638" s="138">
        <f>'Expenditures 15-22'!F348</f>
        <v>1952</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1952</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1952</v>
      </c>
      <c r="C3642" s="2" t="s">
        <v>594</v>
      </c>
      <c r="D3642" s="2" t="str">
        <f t="shared" si="55"/>
        <v>Error?</v>
      </c>
    </row>
    <row r="3643" spans="1:4" x14ac:dyDescent="0.2">
      <c r="A3643" s="5">
        <v>3582</v>
      </c>
      <c r="B3643" s="138">
        <f>'Expenditures 15-22'!F367</f>
        <v>1952</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32783</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32783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32783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32783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8079</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39662</v>
      </c>
      <c r="C3725" s="2" t="s">
        <v>594</v>
      </c>
      <c r="D3725" s="2" t="str">
        <f t="shared" si="57"/>
        <v>Error?</v>
      </c>
    </row>
    <row r="3726" spans="1:4" x14ac:dyDescent="0.2">
      <c r="A3726" s="5">
        <v>3665</v>
      </c>
      <c r="B3726" s="138">
        <f>'Tax Sched 23'!D13</f>
        <v>39650</v>
      </c>
      <c r="C3726" s="2" t="s">
        <v>594</v>
      </c>
      <c r="D3726" s="2" t="str">
        <f t="shared" si="57"/>
        <v>Error?</v>
      </c>
    </row>
    <row r="3727" spans="1:4" x14ac:dyDescent="0.2">
      <c r="A3727" s="5">
        <v>3666</v>
      </c>
      <c r="B3727" s="138">
        <f>'Tax Sched 23'!C13</f>
        <v>12</v>
      </c>
      <c r="D3727" s="2" t="str">
        <f t="shared" si="57"/>
        <v>Error?</v>
      </c>
    </row>
    <row r="3728" spans="1:4" x14ac:dyDescent="0.2">
      <c r="A3728" s="5">
        <v>3667</v>
      </c>
      <c r="B3728" s="138">
        <f>'Tax Sched 23'!F13</f>
        <v>40957</v>
      </c>
      <c r="C3728" s="2" t="s">
        <v>594</v>
      </c>
      <c r="D3728" s="2" t="str">
        <f t="shared" si="57"/>
        <v>Error?</v>
      </c>
    </row>
    <row r="3729" spans="1:4" x14ac:dyDescent="0.2">
      <c r="A3729" s="5">
        <v>3668</v>
      </c>
      <c r="B3729" s="138">
        <f>'Tax Sched 23'!E13</f>
        <v>40969</v>
      </c>
      <c r="D3729" s="2" t="str">
        <f t="shared" si="57"/>
        <v>Error?</v>
      </c>
    </row>
    <row r="3730" spans="1:4" x14ac:dyDescent="0.2">
      <c r="A3730" s="5">
        <v>3669</v>
      </c>
      <c r="B3730" s="138">
        <f>'ICR Computation 30'!E10</f>
        <v>161658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2273700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8980223</v>
      </c>
      <c r="C4122" s="2" t="s">
        <v>594</v>
      </c>
      <c r="D4122" s="2" t="str">
        <f t="shared" si="63"/>
        <v>Error?</v>
      </c>
    </row>
    <row r="4123" spans="1:4" x14ac:dyDescent="0.2">
      <c r="A4123" s="5">
        <v>4062</v>
      </c>
      <c r="B4123" s="138">
        <f>'Acct Summary 7-8'!D10</f>
        <v>897296</v>
      </c>
      <c r="C4123" s="2" t="s">
        <v>594</v>
      </c>
      <c r="D4123" s="2" t="str">
        <f t="shared" si="63"/>
        <v>Error?</v>
      </c>
    </row>
    <row r="4124" spans="1:4" x14ac:dyDescent="0.2">
      <c r="A4124" s="5">
        <v>4063</v>
      </c>
      <c r="B4124" s="138">
        <f>'Acct Summary 7-8'!E10</f>
        <v>625296</v>
      </c>
      <c r="C4124" s="2" t="s">
        <v>594</v>
      </c>
      <c r="D4124" s="2" t="str">
        <f t="shared" si="63"/>
        <v>Error?</v>
      </c>
    </row>
    <row r="4125" spans="1:4" x14ac:dyDescent="0.2">
      <c r="A4125" s="5">
        <v>4064</v>
      </c>
      <c r="B4125" s="138">
        <f>'Acct Summary 7-8'!F10</f>
        <v>608077</v>
      </c>
      <c r="C4125" s="2" t="s">
        <v>594</v>
      </c>
      <c r="D4125" s="2" t="str">
        <f t="shared" si="63"/>
        <v>Error?</v>
      </c>
    </row>
    <row r="4126" spans="1:4" x14ac:dyDescent="0.2">
      <c r="A4126" s="5">
        <v>4065</v>
      </c>
      <c r="B4126" s="138">
        <f>'Acct Summary 7-8'!G10</f>
        <v>395581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40121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40862</v>
      </c>
      <c r="C4130" s="2" t="s">
        <v>594</v>
      </c>
      <c r="D4130" s="2" t="str">
        <f t="shared" si="63"/>
        <v>Error?</v>
      </c>
    </row>
    <row r="4131" spans="1:4" x14ac:dyDescent="0.2">
      <c r="A4131" s="5">
        <v>4070</v>
      </c>
      <c r="B4131" s="138">
        <f>'Acct Summary 7-8'!C18</f>
        <v>2273700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8642746</v>
      </c>
      <c r="C4136" s="2" t="s">
        <v>594</v>
      </c>
      <c r="D4136" s="2" t="str">
        <f t="shared" si="63"/>
        <v>Error?</v>
      </c>
    </row>
    <row r="4137" spans="1:4" x14ac:dyDescent="0.2">
      <c r="A4137" s="5">
        <v>4076</v>
      </c>
      <c r="B4137" s="138">
        <f>'Acct Summary 7-8'!D19</f>
        <v>945691</v>
      </c>
      <c r="C4137" s="2" t="s">
        <v>594</v>
      </c>
      <c r="D4137" s="2" t="str">
        <f t="shared" si="63"/>
        <v>Error?</v>
      </c>
    </row>
    <row r="4138" spans="1:4" x14ac:dyDescent="0.2">
      <c r="A4138" s="5">
        <v>4077</v>
      </c>
      <c r="B4138" s="138">
        <f>'Acct Summary 7-8'!E19</f>
        <v>635659</v>
      </c>
      <c r="C4138" s="2" t="s">
        <v>594</v>
      </c>
      <c r="D4138" s="2" t="str">
        <f t="shared" si="63"/>
        <v>Error?</v>
      </c>
    </row>
    <row r="4139" spans="1:4" x14ac:dyDescent="0.2">
      <c r="A4139" s="5">
        <v>4078</v>
      </c>
      <c r="B4139" s="138">
        <f>'Acct Summary 7-8'!F19</f>
        <v>586831</v>
      </c>
      <c r="C4139" s="2" t="s">
        <v>594</v>
      </c>
      <c r="D4139" s="2" t="str">
        <f t="shared" si="63"/>
        <v>Error?</v>
      </c>
    </row>
    <row r="4140" spans="1:4" x14ac:dyDescent="0.2">
      <c r="A4140" s="5">
        <v>4079</v>
      </c>
      <c r="B4140" s="138">
        <f>'Acct Summary 7-8'!G19</f>
        <v>347881</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32783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7185000</v>
      </c>
      <c r="C4171" s="2" t="s">
        <v>594</v>
      </c>
      <c r="D4171" s="2" t="str">
        <f t="shared" si="64"/>
        <v>Error?</v>
      </c>
    </row>
    <row r="4172" spans="1:4" x14ac:dyDescent="0.2">
      <c r="A4172" s="5">
        <v>4111</v>
      </c>
      <c r="B4172" s="138">
        <f>'Short-Term Long-Term Debt 24'!J49</f>
        <v>7032521</v>
      </c>
      <c r="C4172" s="2" t="s">
        <v>594</v>
      </c>
      <c r="D4172" s="2" t="str">
        <f t="shared" si="64"/>
        <v>Error?</v>
      </c>
    </row>
    <row r="4173" spans="1:4" x14ac:dyDescent="0.2">
      <c r="A4173" s="5">
        <v>4112</v>
      </c>
      <c r="B4173" s="138">
        <f>'Short-Term Long-Term Debt 24'!H49</f>
        <v>375000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2520</v>
      </c>
      <c r="C4265" s="2" t="s">
        <v>594</v>
      </c>
      <c r="D4265" s="2" t="str">
        <f t="shared" si="65"/>
        <v>Error?</v>
      </c>
      <c r="E4265" s="128"/>
    </row>
    <row r="4266" spans="1:5" x14ac:dyDescent="0.2">
      <c r="A4266" s="12">
        <v>4205</v>
      </c>
      <c r="B4266" s="138">
        <f>('FP Info 3'!F10)*100000</f>
        <v>600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3320</v>
      </c>
      <c r="C4268" s="2" t="s">
        <v>594</v>
      </c>
      <c r="D4268" s="2" t="str">
        <f t="shared" si="65"/>
        <v>Error?</v>
      </c>
    </row>
    <row r="4269" spans="1:5" x14ac:dyDescent="0.2">
      <c r="A4269" s="12">
        <v>4208</v>
      </c>
      <c r="B4269" s="138">
        <f>'FP Info 3'!J16</f>
        <v>1636230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38701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7783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24282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81938564</v>
      </c>
      <c r="D4995" s="2" t="str">
        <f t="shared" si="77"/>
        <v>Error?</v>
      </c>
    </row>
    <row r="4996" spans="1:4" x14ac:dyDescent="0.2">
      <c r="A4996" s="12">
        <v>4935</v>
      </c>
      <c r="B4996" s="138">
        <f>'FP Info 3'!H31</f>
        <v>11307521.832</v>
      </c>
      <c r="D4996" s="2" t="str">
        <f t="shared" si="77"/>
        <v>Error?</v>
      </c>
    </row>
    <row r="4997" spans="1:4" x14ac:dyDescent="0.2">
      <c r="A4997" s="12">
        <v>4936</v>
      </c>
      <c r="B4997" s="138">
        <f>'FP Info 3'!H37</f>
        <v>7185000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39662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1998877</v>
      </c>
      <c r="D5061" s="2" t="str">
        <f t="shared" si="78"/>
        <v>Error?</v>
      </c>
    </row>
    <row r="5062" spans="1:4" x14ac:dyDescent="0.2">
      <c r="A5062" s="10">
        <v>5001</v>
      </c>
      <c r="D5062" s="2" t="str">
        <f t="shared" si="78"/>
        <v>OK</v>
      </c>
    </row>
    <row r="5063" spans="1:4" x14ac:dyDescent="0.2">
      <c r="A5063" s="5">
        <v>5002</v>
      </c>
      <c r="B5063" s="138">
        <f>'Revenues 9-14'!C7</f>
        <v>31727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2070266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309004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309004</v>
      </c>
      <c r="C5071" s="2" t="s">
        <v>594</v>
      </c>
      <c r="D5071" s="2" t="str">
        <f t="shared" si="78"/>
        <v>Error?</v>
      </c>
    </row>
    <row r="5072" spans="1:4" x14ac:dyDescent="0.2">
      <c r="A5072" s="5">
        <v>5011</v>
      </c>
      <c r="B5072" s="138">
        <f>'Revenues 9-14'!C20</f>
        <v>3190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3190</v>
      </c>
      <c r="C5087" s="2" t="s">
        <v>594</v>
      </c>
      <c r="D5087" s="2" t="str">
        <f t="shared" si="78"/>
        <v>Error?</v>
      </c>
    </row>
    <row r="5088" spans="1:4" x14ac:dyDescent="0.2">
      <c r="A5088" s="5">
        <v>5027</v>
      </c>
      <c r="B5088" s="138">
        <f>'Revenues 9-14'!C65</f>
        <v>1155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1155</v>
      </c>
      <c r="C5090" s="2" t="s">
        <v>594</v>
      </c>
      <c r="D5090" s="2" t="str">
        <f t="shared" si="78"/>
        <v>Error?</v>
      </c>
    </row>
    <row r="5091" spans="1:4" x14ac:dyDescent="0.2">
      <c r="A5091" s="5">
        <v>5030</v>
      </c>
      <c r="B5091" s="138">
        <f>'Revenues 9-14'!C70</f>
        <v>4446</v>
      </c>
      <c r="D5091" s="2" t="str">
        <f t="shared" si="78"/>
        <v>Error?</v>
      </c>
    </row>
    <row r="5092" spans="1:4" x14ac:dyDescent="0.2">
      <c r="A5092" s="5">
        <v>5031</v>
      </c>
      <c r="B5092" s="138">
        <f>'Revenues 9-14'!C71</f>
        <v>6005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3028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113719</v>
      </c>
      <c r="C5096" s="2" t="s">
        <v>594</v>
      </c>
      <c r="D5096" s="2" t="str">
        <f t="shared" si="78"/>
        <v>Error?</v>
      </c>
    </row>
    <row r="5097" spans="1:4" x14ac:dyDescent="0.2">
      <c r="A5097" s="5">
        <v>5036</v>
      </c>
      <c r="B5097" s="138">
        <f>'Revenues 9-14'!C77</f>
        <v>37252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37252</v>
      </c>
      <c r="C5102" s="2" t="s">
        <v>594</v>
      </c>
      <c r="D5102" s="2" t="str">
        <f t="shared" si="78"/>
        <v>Error?</v>
      </c>
    </row>
    <row r="5103" spans="1:4" x14ac:dyDescent="0.2">
      <c r="A5103" s="5">
        <v>5042</v>
      </c>
      <c r="B5103" s="138">
        <f>'Revenues 9-14'!C84</f>
        <v>40322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21</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40343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6057</v>
      </c>
      <c r="D5119" s="2" t="str">
        <f t="shared" ref="D5119:D5182" si="79">IF(ISBLANK(B5119),"OK",IF(A5119-B5119=0,"OK","Error?"))</f>
        <v>Error?</v>
      </c>
    </row>
    <row r="5120" spans="1:4" x14ac:dyDescent="0.2">
      <c r="A5120" s="5">
        <v>5059</v>
      </c>
      <c r="B5120" s="138">
        <f>'Revenues 9-14'!C108</f>
        <v>6057</v>
      </c>
      <c r="C5120" s="2" t="s">
        <v>594</v>
      </c>
      <c r="D5120" s="2" t="str">
        <f t="shared" si="79"/>
        <v>Error?</v>
      </c>
    </row>
    <row r="5121" spans="1:4" x14ac:dyDescent="0.2">
      <c r="A5121" s="5">
        <v>5060</v>
      </c>
      <c r="B5121" s="138">
        <f>'Revenues 9-14'!C109</f>
        <v>2580986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3512485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3512485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66023</v>
      </c>
      <c r="D5134" s="2" t="str">
        <f t="shared" si="79"/>
        <v>Error?</v>
      </c>
    </row>
    <row r="5135" spans="1:4" x14ac:dyDescent="0.2">
      <c r="A5135" s="5">
        <v>5074</v>
      </c>
      <c r="B5135" s="138">
        <f>'Revenues 9-14'!C126</f>
        <v>74633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323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140979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9245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2717</v>
      </c>
      <c r="D5167" s="2" t="str">
        <f t="shared" si="79"/>
        <v>Error?</v>
      </c>
    </row>
    <row r="5168" spans="1:4" x14ac:dyDescent="0.2">
      <c r="A5168" s="5">
        <v>5107</v>
      </c>
      <c r="B5168" s="138">
        <f>'Revenues 9-14'!C147</f>
        <v>14449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74436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243326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3755811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154966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33531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188497</v>
      </c>
      <c r="C5246" s="2" t="s">
        <v>594</v>
      </c>
      <c r="D5246" s="2" t="str">
        <f t="shared" si="80"/>
        <v>Error?</v>
      </c>
    </row>
    <row r="5247" spans="1:4" x14ac:dyDescent="0.2">
      <c r="A5247" s="5">
        <v>5186</v>
      </c>
      <c r="B5247" s="138">
        <f>'Revenues 9-14'!C203</f>
        <v>105704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7783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105704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1907</v>
      </c>
      <c r="D5279" s="2" t="str">
        <f t="shared" si="81"/>
        <v>Error?</v>
      </c>
    </row>
    <row r="5280" spans="1:4" x14ac:dyDescent="0.2">
      <c r="A5280" s="5">
        <v>5219</v>
      </c>
      <c r="B5280" s="138">
        <f>'Revenues 9-14'!C222</f>
        <v>2852</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4759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369726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369726</v>
      </c>
      <c r="C5326" s="2" t="s">
        <v>594</v>
      </c>
      <c r="D5326" s="2" t="str">
        <f t="shared" si="82"/>
        <v>Error?</v>
      </c>
    </row>
    <row r="5327" spans="1:4" x14ac:dyDescent="0.2">
      <c r="A5327" s="5">
        <v>5266</v>
      </c>
      <c r="B5327" s="138">
        <f>'Revenues 9-14'!C275</f>
        <v>6706523</v>
      </c>
      <c r="C5327" s="2" t="s">
        <v>594</v>
      </c>
      <c r="D5327" s="2" t="str">
        <f t="shared" si="82"/>
        <v>Error?</v>
      </c>
    </row>
    <row r="5328" spans="1:4" x14ac:dyDescent="0.2">
      <c r="A5328" s="5">
        <v>5267</v>
      </c>
      <c r="B5328" s="138">
        <f>'Revenues 9-14'!D5</f>
        <v>475926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475926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1069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1069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8641</v>
      </c>
      <c r="D5354" s="2" t="str">
        <f t="shared" si="82"/>
        <v>Error?</v>
      </c>
    </row>
    <row r="5355" spans="1:4" x14ac:dyDescent="0.2">
      <c r="A5355" s="5">
        <v>5294</v>
      </c>
      <c r="B5355" s="138">
        <f>'Revenues 9-14'!D108</f>
        <v>9241</v>
      </c>
      <c r="C5355" s="2" t="s">
        <v>594</v>
      </c>
      <c r="D5355" s="2" t="str">
        <f t="shared" si="82"/>
        <v>Error?</v>
      </c>
    </row>
    <row r="5356" spans="1:4" x14ac:dyDescent="0.2">
      <c r="A5356" s="5">
        <v>5295</v>
      </c>
      <c r="B5356" s="138">
        <f>'Revenues 9-14'!D109</f>
        <v>486236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411060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411060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411060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897296</v>
      </c>
      <c r="C5508" s="2" t="s">
        <v>594</v>
      </c>
      <c r="D5508" s="2" t="str">
        <f t="shared" si="85"/>
        <v>Error?</v>
      </c>
    </row>
    <row r="5509" spans="1:4" x14ac:dyDescent="0.2">
      <c r="A5509" s="5">
        <v>5448</v>
      </c>
      <c r="B5509" s="138">
        <f>'Revenues 9-14'!E5</f>
        <v>624956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624956</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340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625296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625296</v>
      </c>
      <c r="C5552" s="2" t="s">
        <v>594</v>
      </c>
      <c r="D5552" s="2" t="str">
        <f t="shared" si="85"/>
        <v>Error?</v>
      </c>
    </row>
    <row r="5553" spans="1:4" x14ac:dyDescent="0.2">
      <c r="A5553" s="5">
        <v>5492</v>
      </c>
      <c r="B5553" s="138">
        <f>'Revenues 9-14'!F5</f>
        <v>158641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158641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3991</v>
      </c>
      <c r="D5586" s="2" t="str">
        <f t="shared" si="86"/>
        <v>Error?</v>
      </c>
    </row>
    <row r="5587" spans="1:4" x14ac:dyDescent="0.2">
      <c r="A5587" s="5">
        <v>5526</v>
      </c>
      <c r="B5587" s="138">
        <f>'Revenues 9-14'!F108</f>
        <v>3991</v>
      </c>
      <c r="C5587" s="2" t="s">
        <v>594</v>
      </c>
      <c r="D5587" s="2" t="str">
        <f t="shared" si="86"/>
        <v>Error?</v>
      </c>
    </row>
    <row r="5588" spans="1:4" x14ac:dyDescent="0.2">
      <c r="A5588" s="5">
        <v>5527</v>
      </c>
      <c r="B5588" s="138">
        <f>'Revenues 9-14'!F109</f>
        <v>162862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347245</v>
      </c>
      <c r="D5615" s="2" t="str">
        <f t="shared" si="86"/>
        <v>Error?</v>
      </c>
    </row>
    <row r="5616" spans="1:4" x14ac:dyDescent="0.2">
      <c r="A5616" s="10">
        <v>5555</v>
      </c>
      <c r="D5616" s="2" t="str">
        <f t="shared" si="86"/>
        <v>OK</v>
      </c>
    </row>
    <row r="5617" spans="1:4" x14ac:dyDescent="0.2">
      <c r="A5617" s="5">
        <v>5556</v>
      </c>
      <c r="B5617" s="138">
        <f>'Revenues 9-14'!F152</f>
        <v>97970</v>
      </c>
      <c r="D5617" s="2" t="str">
        <f t="shared" si="86"/>
        <v>Error?</v>
      </c>
    </row>
    <row r="5618" spans="1:4" x14ac:dyDescent="0.2">
      <c r="A5618" s="5">
        <v>5557</v>
      </c>
      <c r="B5618" s="138">
        <f>'Revenues 9-14'!F154</f>
        <v>445215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445215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445215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608077</v>
      </c>
      <c r="C5720" s="2" t="s">
        <v>594</v>
      </c>
      <c r="D5720" s="2" t="str">
        <f t="shared" si="88"/>
        <v>Error?</v>
      </c>
    </row>
    <row r="5721" spans="1:4" x14ac:dyDescent="0.2">
      <c r="A5721" s="5">
        <v>5660</v>
      </c>
      <c r="B5721" s="138">
        <f>'Revenues 9-14'!G5</f>
        <v>207018</v>
      </c>
      <c r="D5721" s="2" t="str">
        <f t="shared" si="88"/>
        <v>Error?</v>
      </c>
    </row>
    <row r="5722" spans="1:4" x14ac:dyDescent="0.2">
      <c r="A5722" s="5">
        <v>5661</v>
      </c>
      <c r="B5722" s="138">
        <f>'Revenues 9-14'!G7</f>
        <v>0</v>
      </c>
      <c r="D5722" s="2" t="str">
        <f t="shared" si="88"/>
        <v>Error?</v>
      </c>
    </row>
    <row r="5723" spans="1:4" x14ac:dyDescent="0.2">
      <c r="A5723" s="5">
        <v>5662</v>
      </c>
      <c r="B5723" s="138">
        <f>'Revenues 9-14'!G8</f>
        <v>157731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364749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30561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30561</v>
      </c>
      <c r="C5730" s="2" t="s">
        <v>594</v>
      </c>
      <c r="D5730" s="2" t="str">
        <f t="shared" si="88"/>
        <v>Error?</v>
      </c>
    </row>
    <row r="5731" spans="1:4" x14ac:dyDescent="0.2">
      <c r="A5731" s="5">
        <v>5670</v>
      </c>
      <c r="B5731" s="138">
        <f>'Revenues 9-14'!G65</f>
        <v>271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395581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39662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39662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459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40121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40794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40794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40862</v>
      </c>
      <c r="C6023" s="2" t="s">
        <v>594</v>
      </c>
      <c r="D6023" s="2" t="str">
        <f t="shared" si="93"/>
        <v>Error?</v>
      </c>
    </row>
    <row r="6024" spans="1:5" x14ac:dyDescent="0.2">
      <c r="A6024" s="5">
        <v>5963</v>
      </c>
      <c r="B6024" s="138">
        <f>'Revenues 9-14'!G109</f>
        <v>395581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40121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40862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100240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860.27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482646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482646</v>
      </c>
      <c r="D6215" s="2" t="str">
        <f t="shared" si="96"/>
        <v>Error?</v>
      </c>
      <c r="E6215" s="2" t="s">
        <v>199</v>
      </c>
    </row>
    <row r="6216" spans="1:5" x14ac:dyDescent="0.2">
      <c r="A6216">
        <v>6155</v>
      </c>
      <c r="B6216" s="138">
        <f>'Assets-Liab 5-6'!J41</f>
        <v>482646</v>
      </c>
      <c r="D6216" s="2" t="str">
        <f t="shared" si="96"/>
        <v>Error?</v>
      </c>
      <c r="E6216" s="2" t="s">
        <v>199</v>
      </c>
    </row>
    <row r="6217" spans="1:5" x14ac:dyDescent="0.2">
      <c r="A6217">
        <v>6156</v>
      </c>
      <c r="B6217" s="138">
        <f>'Assets-Liab 5-6'!J4</f>
        <v>434847</v>
      </c>
      <c r="D6217" s="2" t="str">
        <f t="shared" si="96"/>
        <v>Error?</v>
      </c>
      <c r="E6217" s="2" t="s">
        <v>199</v>
      </c>
    </row>
    <row r="6218" spans="1:5" x14ac:dyDescent="0.2">
      <c r="A6218">
        <v>6157</v>
      </c>
      <c r="B6218" s="138">
        <f>'Assets-Liab 5-6'!J5</f>
        <v>47799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419930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419930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419930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246869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246869</v>
      </c>
      <c r="D6229" s="2" t="str">
        <f t="shared" si="96"/>
        <v>Error?</v>
      </c>
      <c r="E6229" s="2" t="s">
        <v>199</v>
      </c>
    </row>
    <row r="6230" spans="1:5" x14ac:dyDescent="0.2">
      <c r="A6230">
        <v>6169</v>
      </c>
      <c r="B6230" s="138">
        <f>'Acct Summary 7-8'!J20</f>
        <v>173061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173061</v>
      </c>
      <c r="D6263" s="2" t="str">
        <f t="shared" si="96"/>
        <v>Error?</v>
      </c>
      <c r="E6263" s="2" t="s">
        <v>199</v>
      </c>
    </row>
    <row r="6264" spans="1:5" x14ac:dyDescent="0.2">
      <c r="A6264">
        <v>6203</v>
      </c>
      <c r="B6264" s="138">
        <f>'Acct Summary 7-8'!J79</f>
        <v>309585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482646</v>
      </c>
      <c r="D6266" s="2" t="str">
        <f t="shared" si="96"/>
        <v>Error?</v>
      </c>
      <c r="E6266" s="2" t="s">
        <v>199</v>
      </c>
    </row>
    <row r="6267" spans="1:5" x14ac:dyDescent="0.2">
      <c r="A6267">
        <v>6206</v>
      </c>
      <c r="B6267" s="138">
        <f>'Acct Summary 7-8'!C82</f>
        <v>337477</v>
      </c>
      <c r="D6267" s="2" t="str">
        <f t="shared" si="96"/>
        <v>Error?</v>
      </c>
      <c r="E6267" s="2" t="s">
        <v>199</v>
      </c>
    </row>
    <row r="6268" spans="1:5" x14ac:dyDescent="0.2">
      <c r="A6268">
        <v>6207</v>
      </c>
      <c r="B6268" s="138">
        <f>'Acct Summary 7-8'!D82</f>
        <v>101605</v>
      </c>
      <c r="D6268" s="2" t="str">
        <f t="shared" si="96"/>
        <v>Error?</v>
      </c>
      <c r="E6268" s="2" t="s">
        <v>199</v>
      </c>
    </row>
    <row r="6269" spans="1:5" x14ac:dyDescent="0.2">
      <c r="A6269">
        <v>6208</v>
      </c>
      <c r="B6269" s="138">
        <f>'Acct Summary 7-8'!E82</f>
        <v>-10363</v>
      </c>
      <c r="D6269" s="2" t="str">
        <f t="shared" si="96"/>
        <v>Error?</v>
      </c>
      <c r="E6269" s="2" t="s">
        <v>199</v>
      </c>
    </row>
    <row r="6270" spans="1:5" x14ac:dyDescent="0.2">
      <c r="A6270">
        <v>6209</v>
      </c>
      <c r="B6270" s="138">
        <f>'Acct Summary 7-8'!F82</f>
        <v>21246</v>
      </c>
      <c r="D6270" s="2" t="str">
        <f t="shared" si="96"/>
        <v>Error?</v>
      </c>
      <c r="E6270" s="2" t="s">
        <v>199</v>
      </c>
    </row>
    <row r="6271" spans="1:5" x14ac:dyDescent="0.2">
      <c r="A6271">
        <v>6210</v>
      </c>
      <c r="B6271" s="138">
        <f>'Acct Summary 7-8'!G82</f>
        <v>47700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-109879</v>
      </c>
      <c r="D6273" s="2" t="str">
        <f t="shared" si="97"/>
        <v>Error?</v>
      </c>
      <c r="E6273" s="2" t="s">
        <v>199</v>
      </c>
    </row>
    <row r="6274" spans="1:5" x14ac:dyDescent="0.2">
      <c r="A6274">
        <v>6213</v>
      </c>
      <c r="B6274" s="138">
        <f>'Acct Summary 7-8'!J82</f>
        <v>173061</v>
      </c>
      <c r="D6274" s="2" t="str">
        <f t="shared" si="97"/>
        <v>Error?</v>
      </c>
      <c r="E6274" s="2" t="s">
        <v>199</v>
      </c>
    </row>
    <row r="6275" spans="1:5" x14ac:dyDescent="0.2">
      <c r="A6275">
        <v>6214</v>
      </c>
      <c r="B6275" s="138">
        <f>'Acct Summary 7-8'!K82</f>
        <v>8079</v>
      </c>
      <c r="D6275" s="2" t="str">
        <f t="shared" si="97"/>
        <v>Error?</v>
      </c>
      <c r="E6275" s="2" t="s">
        <v>199</v>
      </c>
    </row>
    <row r="6276" spans="1:5" x14ac:dyDescent="0.2">
      <c r="A6276">
        <v>6215</v>
      </c>
      <c r="B6276" s="138">
        <f>'Acct Summary 7-8'!C83</f>
        <v>0.5467729287639983</v>
      </c>
      <c r="D6276" s="2" t="str">
        <f t="shared" si="97"/>
        <v>Error?</v>
      </c>
      <c r="E6276" s="2" t="s">
        <v>199</v>
      </c>
    </row>
    <row r="6277" spans="1:5" x14ac:dyDescent="0.2">
      <c r="A6277">
        <v>6216</v>
      </c>
      <c r="B6277" s="138">
        <f>'Acct Summary 7-8'!D83</f>
        <v>0.69654964385853058</v>
      </c>
      <c r="D6277" s="2" t="str">
        <f t="shared" si="97"/>
        <v>Error?</v>
      </c>
      <c r="E6277" s="2" t="s">
        <v>199</v>
      </c>
    </row>
    <row r="6278" spans="1:5" x14ac:dyDescent="0.2">
      <c r="A6278">
        <v>6217</v>
      </c>
      <c r="B6278" s="138">
        <f>'Acct Summary 7-8'!E83</f>
        <v>-6.7963457262967361E-2</v>
      </c>
      <c r="D6278" s="2" t="str">
        <f t="shared" si="97"/>
        <v>Error?</v>
      </c>
      <c r="E6278" s="2" t="s">
        <v>199</v>
      </c>
    </row>
    <row r="6279" spans="1:5" x14ac:dyDescent="0.2">
      <c r="A6279">
        <v>6218</v>
      </c>
      <c r="B6279" s="138">
        <f>'Acct Summary 7-8'!F83</f>
        <v>5.942687719396389E-2</v>
      </c>
      <c r="D6279" s="2" t="str">
        <f t="shared" si="97"/>
        <v>Error?</v>
      </c>
      <c r="E6279" s="2" t="s">
        <v>199</v>
      </c>
    </row>
    <row r="6280" spans="1:5" x14ac:dyDescent="0.2">
      <c r="A6280">
        <v>6219</v>
      </c>
      <c r="B6280" s="138">
        <f>'Acct Summary 7-8'!G83</f>
        <v>0.54268063756442197</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-0.21309660027539126</v>
      </c>
      <c r="D6282" s="2" t="str">
        <f t="shared" si="97"/>
        <v>Error?</v>
      </c>
      <c r="E6282" s="2" t="s">
        <v>199</v>
      </c>
    </row>
    <row r="6283" spans="1:5" x14ac:dyDescent="0.2">
      <c r="A6283">
        <v>6222</v>
      </c>
      <c r="B6283" s="138">
        <f>'Acct Summary 7-8'!J83</f>
        <v>0.35856714859337901</v>
      </c>
      <c r="D6283" s="2" t="str">
        <f t="shared" si="97"/>
        <v>Error?</v>
      </c>
      <c r="E6283" s="2" t="s">
        <v>199</v>
      </c>
    </row>
    <row r="6284" spans="1:5" x14ac:dyDescent="0.2">
      <c r="A6284">
        <v>6223</v>
      </c>
      <c r="B6284" s="138">
        <f>'Acct Summary 7-8'!K83</f>
        <v>0.69772864668796963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418963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418963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967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967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419930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9245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57719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78254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72842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246869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419930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4930</v>
      </c>
      <c r="D7073" s="2" t="str">
        <f t="shared" si="109"/>
        <v>Error?</v>
      </c>
    </row>
    <row r="7074" spans="1:4" x14ac:dyDescent="0.2">
      <c r="A7074">
        <v>7013</v>
      </c>
      <c r="B7074" s="138">
        <f>'Expenditures 15-22'!K216</f>
        <v>4930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586</v>
      </c>
      <c r="D7079" s="2" t="str">
        <f t="shared" si="109"/>
        <v>Error?</v>
      </c>
    </row>
    <row r="7080" spans="1:4" x14ac:dyDescent="0.2">
      <c r="A7080">
        <v>7019</v>
      </c>
      <c r="B7080" s="138">
        <f>'Expenditures 15-22'!K226</f>
        <v>586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80128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80128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29833</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29833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24296</v>
      </c>
      <c r="D7154" s="2" t="str">
        <f t="shared" si="110"/>
        <v>Error?</v>
      </c>
    </row>
    <row r="7155" spans="1:4" x14ac:dyDescent="0.2">
      <c r="A7155">
        <v>7094</v>
      </c>
      <c r="B7155" s="138">
        <f>'Expenditures 15-22'!D323</f>
        <v>1168</v>
      </c>
      <c r="D7155" s="2" t="str">
        <f t="shared" si="110"/>
        <v>Error?</v>
      </c>
    </row>
    <row r="7156" spans="1:4" x14ac:dyDescent="0.2">
      <c r="A7156">
        <v>7095</v>
      </c>
      <c r="B7156" s="138">
        <f>'Expenditures 15-22'!E323</f>
        <v>13115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38579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7006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7006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8948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8948</v>
      </c>
      <c r="D7198" s="2" t="str">
        <f t="shared" si="111"/>
        <v>Error?</v>
      </c>
    </row>
    <row r="7199" spans="1:4" x14ac:dyDescent="0.2">
      <c r="A7199">
        <v>7138</v>
      </c>
      <c r="B7199" s="138">
        <f>'Expenditures 15-22'!C330</f>
        <v>24296</v>
      </c>
      <c r="D7199" s="2" t="str">
        <f t="shared" si="111"/>
        <v>Error?</v>
      </c>
    </row>
    <row r="7200" spans="1:4" x14ac:dyDescent="0.2">
      <c r="A7200">
        <v>7139</v>
      </c>
      <c r="B7200" s="138">
        <f>'Expenditures 15-22'!D330</f>
        <v>31001</v>
      </c>
      <c r="D7200" s="2" t="str">
        <f t="shared" si="111"/>
        <v>Error?</v>
      </c>
    </row>
    <row r="7201" spans="1:4" x14ac:dyDescent="0.2">
      <c r="A7201">
        <v>7140</v>
      </c>
      <c r="B7201" s="138">
        <f>'Expenditures 15-22'!E330</f>
        <v>191572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246869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24296</v>
      </c>
      <c r="D7216" s="2" t="str">
        <f t="shared" si="111"/>
        <v>Error?</v>
      </c>
    </row>
    <row r="7217" spans="1:4" x14ac:dyDescent="0.2">
      <c r="A7217">
        <v>7156</v>
      </c>
      <c r="B7217" s="138">
        <f>'Expenditures 15-22'!D342</f>
        <v>31001</v>
      </c>
      <c r="D7217" s="2" t="str">
        <f t="shared" si="111"/>
        <v>Error?</v>
      </c>
    </row>
    <row r="7218" spans="1:4" x14ac:dyDescent="0.2">
      <c r="A7218">
        <v>7157</v>
      </c>
      <c r="B7218" s="138">
        <f>'Expenditures 15-22'!E342</f>
        <v>191572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246869</v>
      </c>
      <c r="D7224" s="2" t="str">
        <f t="shared" si="111"/>
        <v>Error?</v>
      </c>
    </row>
    <row r="7225" spans="1:4" x14ac:dyDescent="0.2">
      <c r="A7225">
        <v>7164</v>
      </c>
      <c r="B7225" s="138">
        <f>'Expenditures 15-22'!K343</f>
        <v>173061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19282</v>
      </c>
      <c r="D7246" s="2" t="str">
        <f t="shared" si="112"/>
        <v>Error?</v>
      </c>
    </row>
    <row r="7247" spans="1:4" x14ac:dyDescent="0.2">
      <c r="A7247">
        <f t="shared" si="113"/>
        <v>7186</v>
      </c>
      <c r="B7247" s="138">
        <f>'Expenditures 15-22'!E7</f>
        <v>7</v>
      </c>
      <c r="D7247" s="2" t="str">
        <f t="shared" si="112"/>
        <v>Error?</v>
      </c>
    </row>
    <row r="7248" spans="1:4" x14ac:dyDescent="0.2">
      <c r="A7248">
        <f t="shared" si="113"/>
        <v>7187</v>
      </c>
      <c r="B7248" s="138">
        <f>'Expenditures 15-22'!F7</f>
        <v>1246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41047</v>
      </c>
      <c r="D7263" s="2" t="str">
        <f t="shared" si="112"/>
        <v>Error?</v>
      </c>
    </row>
    <row r="7264" spans="1:4" x14ac:dyDescent="0.2">
      <c r="A7264">
        <f t="shared" si="113"/>
        <v>7203</v>
      </c>
      <c r="B7264" s="138">
        <f>'Expenditures 15-22'!D17</f>
        <v>13240</v>
      </c>
      <c r="D7264" s="2" t="str">
        <f t="shared" si="112"/>
        <v>Error?</v>
      </c>
    </row>
    <row r="7265" spans="1:5" x14ac:dyDescent="0.2">
      <c r="A7265">
        <f t="shared" si="113"/>
        <v>7204</v>
      </c>
      <c r="B7265" s="138">
        <f>'Expenditures 15-22'!E17</f>
        <v>65</v>
      </c>
      <c r="D7265" s="2" t="str">
        <f t="shared" si="112"/>
        <v>Error?</v>
      </c>
    </row>
    <row r="7266" spans="1:5" x14ac:dyDescent="0.2">
      <c r="A7266">
        <f t="shared" si="113"/>
        <v>7205</v>
      </c>
      <c r="B7266" s="138">
        <f>'Expenditures 15-22'!F17</f>
        <v>1990</v>
      </c>
      <c r="D7266" s="2" t="str">
        <f t="shared" si="112"/>
        <v>Error?</v>
      </c>
    </row>
    <row r="7267" spans="1:5" x14ac:dyDescent="0.2">
      <c r="A7267">
        <f t="shared" si="113"/>
        <v>7206</v>
      </c>
      <c r="B7267" s="138">
        <f>'Expenditures 15-22'!G17</f>
        <v>16500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407245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82375</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82375</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14449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14449</v>
      </c>
      <c r="D7719" s="2" t="str">
        <f t="shared" si="126"/>
        <v>Error?</v>
      </c>
      <c r="E7719" s="2" t="s">
        <v>881</v>
      </c>
    </row>
    <row r="7720" spans="1:6" x14ac:dyDescent="0.2">
      <c r="A7720">
        <v>7659</v>
      </c>
      <c r="B7720" s="138">
        <f>'Rest Tax Levies-Tort Im 25'!H14</f>
        <v>31737</v>
      </c>
      <c r="D7720" s="2" t="str">
        <f t="shared" si="126"/>
        <v>Error?</v>
      </c>
      <c r="E7720" s="2" t="s">
        <v>881</v>
      </c>
    </row>
    <row r="7721" spans="1:6" x14ac:dyDescent="0.2">
      <c r="A7721">
        <v>7660</v>
      </c>
      <c r="B7721" s="138">
        <f>'Rest Tax Levies-Tort Im 25'!K14</f>
        <v>14449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150000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1" t="str">
        <f>COVER!A17</f>
        <v>Oakwood CUSD 76</v>
      </c>
      <c r="B7" s="2422"/>
      <c r="C7" s="2422"/>
      <c r="D7" s="2423"/>
      <c r="E7" s="2424">
        <f>COVER!A13</f>
        <v>54092076026</v>
      </c>
      <c r="F7" s="2425"/>
      <c r="G7" s="2431" t="str">
        <f>COVER!T23</f>
        <v>065.018319</v>
      </c>
      <c r="H7" s="2432"/>
      <c r="I7" s="2432"/>
      <c r="J7" s="2432"/>
      <c r="K7" s="2432"/>
      <c r="L7" s="243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4"/>
      <c r="B9" s="2435"/>
      <c r="C9" s="2435"/>
      <c r="D9" s="2435"/>
      <c r="E9" s="2435"/>
      <c r="F9" s="2436"/>
      <c r="G9" s="2405" t="str">
        <f>COVER!T13</f>
        <v>RUSSELL LEIGH &amp; ASSOCIATES</v>
      </c>
      <c r="H9" s="2437"/>
      <c r="I9" s="2437"/>
      <c r="J9" s="2437"/>
      <c r="K9" s="2437"/>
      <c r="L9" s="2438"/>
    </row>
    <row r="10" spans="1:29" ht="13.5" customHeight="1" x14ac:dyDescent="0.2">
      <c r="A10" s="2411" t="str">
        <f>COVER!A38</f>
        <v>Gary Lewis</v>
      </c>
      <c r="B10" s="2412"/>
      <c r="C10" s="2412"/>
      <c r="D10" s="2412"/>
      <c r="E10" s="2412"/>
      <c r="F10" s="2413"/>
      <c r="G10" s="2405" t="str">
        <f>COVER!T17</f>
        <v>228 E MAIN ST</v>
      </c>
      <c r="H10" s="2406"/>
      <c r="I10" s="2406"/>
      <c r="J10" s="2406"/>
      <c r="K10" s="2406"/>
      <c r="L10" s="2407"/>
    </row>
    <row r="11" spans="1:29" ht="13.5" customHeight="1" x14ac:dyDescent="0.2">
      <c r="A11" s="1185" t="s">
        <v>1599</v>
      </c>
      <c r="B11" s="1186"/>
      <c r="C11" s="1187"/>
      <c r="D11" s="1192"/>
      <c r="E11" s="1187"/>
      <c r="F11" s="1191"/>
      <c r="G11" s="2405" t="str">
        <f>COVER!T19</f>
        <v>HOOPESTON</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admin@russleigh.com</v>
      </c>
      <c r="J13" s="2418"/>
      <c r="K13" s="2418"/>
      <c r="L13" s="2419"/>
    </row>
    <row r="14" spans="1:29" ht="13.5" customHeight="1" x14ac:dyDescent="0.2">
      <c r="A14" s="2405" t="str">
        <f>COVER!A19</f>
        <v>12190 US ROUTE 150</v>
      </c>
      <c r="B14" s="2406"/>
      <c r="C14" s="2406"/>
      <c r="D14" s="2406"/>
      <c r="E14" s="2406"/>
      <c r="F14" s="2407"/>
      <c r="G14" s="1196" t="s">
        <v>1247</v>
      </c>
      <c r="H14" s="1194"/>
      <c r="I14" s="1194"/>
      <c r="J14" s="1194"/>
      <c r="K14" s="1194"/>
      <c r="L14" s="1195"/>
    </row>
    <row r="15" spans="1:29" ht="13.5" customHeight="1" x14ac:dyDescent="0.2">
      <c r="A15" s="2405" t="str">
        <f>COVER!A21</f>
        <v>Oakwood, IL</v>
      </c>
      <c r="B15" s="2406"/>
      <c r="C15" s="2406"/>
      <c r="D15" s="2406"/>
      <c r="E15" s="2406"/>
      <c r="F15" s="2407"/>
      <c r="G15" s="2402" t="str">
        <f>COVER!T15</f>
        <v>RUSS LEIGH</v>
      </c>
      <c r="H15" s="2403"/>
      <c r="I15" s="2403"/>
      <c r="J15" s="2403"/>
      <c r="K15" s="2403"/>
      <c r="L15" s="2404"/>
    </row>
    <row r="16" spans="1:29" ht="12.2" customHeight="1" x14ac:dyDescent="0.2">
      <c r="A16" s="2427">
        <f>COVER!A25</f>
        <v>61858</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6" t="s">
        <v>1246</v>
      </c>
      <c r="H17" s="1194"/>
      <c r="I17" s="1194"/>
      <c r="J17" s="1194"/>
      <c r="K17" s="1198" t="s">
        <v>1245</v>
      </c>
      <c r="L17" s="1191"/>
      <c r="M17" s="1184"/>
    </row>
    <row r="18" spans="1:13" ht="12.2" customHeight="1" x14ac:dyDescent="0.2">
      <c r="A18" s="2411"/>
      <c r="B18" s="2412"/>
      <c r="C18" s="2412"/>
      <c r="D18" s="2412"/>
      <c r="E18" s="2412"/>
      <c r="F18" s="2413"/>
      <c r="G18" s="2421" t="str">
        <f>COVER!T21</f>
        <v>217.283.9336</v>
      </c>
      <c r="H18" s="2422"/>
      <c r="I18" s="2422"/>
      <c r="J18" s="2422"/>
      <c r="K18" s="2421" t="str">
        <f>COVER!X21</f>
        <v>217.283.9736</v>
      </c>
      <c r="L18" s="242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Oakwood CUSD 76</v>
      </c>
      <c r="B1" s="2420"/>
      <c r="C1" s="2420"/>
      <c r="D1" s="2420"/>
    </row>
    <row r="2" spans="1:11" s="1215" customFormat="1" ht="12.75" x14ac:dyDescent="0.2">
      <c r="A2" s="2444">
        <f>'Single Audit Cover'!E7</f>
        <v>54092076026</v>
      </c>
      <c r="B2" s="2445"/>
      <c r="C2" s="2445"/>
      <c r="D2" s="2445"/>
    </row>
    <row r="3" spans="1:11" s="1215" customFormat="1" ht="12.75" x14ac:dyDescent="0.2">
      <c r="A3" s="2443" t="s">
        <v>1593</v>
      </c>
      <c r="B3" s="2420"/>
      <c r="C3" s="2420"/>
      <c r="D3" s="242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Oakwood CUSD 76</v>
      </c>
      <c r="B1" s="2447"/>
      <c r="C1" s="2447"/>
      <c r="D1" s="2447"/>
      <c r="E1" s="2447"/>
    </row>
    <row r="2" spans="1:5" x14ac:dyDescent="0.2">
      <c r="A2" s="2448">
        <f>'Single Audit Cover'!E7</f>
        <v>54092076026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369726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369726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369726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369726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Oakwood CUSD 76</v>
      </c>
      <c r="B1" s="2460"/>
      <c r="C1" s="2460"/>
      <c r="D1" s="2460"/>
      <c r="E1" s="2460"/>
      <c r="F1" s="2460"/>
    </row>
    <row r="2" spans="1:7" ht="13.5" customHeight="1" x14ac:dyDescent="0.2">
      <c r="A2" s="2461">
        <f>'Single Audit Cover'!E7</f>
        <v>54092076026</v>
      </c>
      <c r="B2" s="2461"/>
      <c r="C2" s="2461"/>
      <c r="D2" s="2461"/>
      <c r="E2" s="2461"/>
      <c r="F2" s="2461"/>
      <c r="G2" s="1275"/>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6" t="s">
        <v>1831</v>
      </c>
      <c r="C6" s="317"/>
      <c r="D6" s="317"/>
    </row>
    <row r="7" spans="1:7" ht="60.95" customHeight="1" x14ac:dyDescent="0.2">
      <c r="A7" s="2459" t="s">
        <v>1832</v>
      </c>
      <c r="B7" s="2459"/>
      <c r="C7" s="2459"/>
      <c r="D7" s="2459"/>
      <c r="E7" s="2459"/>
      <c r="F7" s="245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9" t="s">
        <v>1834</v>
      </c>
      <c r="B13" s="2459"/>
      <c r="C13" s="2459"/>
      <c r="D13" s="2459"/>
      <c r="E13" s="2459"/>
      <c r="F13" s="2459"/>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2"/>
      <c r="E17" s="2452"/>
      <c r="F17" s="2452"/>
    </row>
    <row r="18" spans="1:6" ht="20.65" customHeight="1" x14ac:dyDescent="0.2">
      <c r="A18" s="1283"/>
      <c r="B18" s="1284"/>
      <c r="C18" s="1285"/>
      <c r="D18" s="2452"/>
      <c r="E18" s="2452"/>
      <c r="F18" s="2452"/>
    </row>
    <row r="19" spans="1:6" ht="20.65" customHeight="1" x14ac:dyDescent="0.2">
      <c r="A19" s="1283"/>
      <c r="B19" s="1284"/>
      <c r="C19" s="1285"/>
      <c r="D19" s="2452"/>
      <c r="E19" s="2452"/>
      <c r="F19" s="2452"/>
    </row>
    <row r="20" spans="1:6" ht="20.65" customHeight="1" x14ac:dyDescent="0.2">
      <c r="A20" s="1283"/>
      <c r="B20" s="1284"/>
      <c r="C20" s="1285"/>
      <c r="D20" s="2452"/>
      <c r="E20" s="2452"/>
      <c r="F20" s="2452"/>
    </row>
    <row r="21" spans="1:6" ht="20.65" customHeight="1" x14ac:dyDescent="0.2">
      <c r="A21" s="1283"/>
      <c r="B21" s="1284"/>
      <c r="C21" s="1285"/>
      <c r="D21" s="2452"/>
      <c r="E21" s="2452"/>
      <c r="F21" s="2452"/>
    </row>
    <row r="22" spans="1:6" ht="20.65" customHeight="1" x14ac:dyDescent="0.2">
      <c r="A22" s="1283"/>
      <c r="B22" s="1284"/>
      <c r="C22" s="1285"/>
      <c r="D22" s="2452"/>
      <c r="E22" s="2452"/>
      <c r="F22" s="2452"/>
    </row>
    <row r="23" spans="1:6" ht="20.65" customHeight="1" x14ac:dyDescent="0.2">
      <c r="A23" s="1283"/>
      <c r="B23" s="1284"/>
      <c r="C23" s="1285"/>
      <c r="D23" s="2452"/>
      <c r="E23" s="2452"/>
      <c r="F23" s="2452"/>
    </row>
    <row r="24" spans="1:6" ht="20.65" customHeight="1" x14ac:dyDescent="0.2">
      <c r="A24" s="1283"/>
      <c r="B24" s="1284"/>
      <c r="C24" s="1285"/>
      <c r="D24" s="2452"/>
      <c r="E24" s="2452"/>
      <c r="F24" s="2452"/>
    </row>
    <row r="25" spans="1:6" ht="20.65" customHeight="1" x14ac:dyDescent="0.2">
      <c r="A25" s="1283"/>
      <c r="B25" s="1284"/>
      <c r="C25" s="1285"/>
      <c r="D25" s="2452"/>
      <c r="E25" s="2452"/>
      <c r="F25" s="2452"/>
    </row>
    <row r="26" spans="1:6" ht="20.65" customHeight="1" x14ac:dyDescent="0.2">
      <c r="A26" s="1283"/>
      <c r="B26" s="1284"/>
      <c r="C26" s="1285"/>
      <c r="D26" s="2452"/>
      <c r="E26" s="2452"/>
      <c r="F26" s="2452"/>
    </row>
    <row r="27" spans="1:6" ht="20.65" customHeight="1" x14ac:dyDescent="0.2">
      <c r="A27" s="1283"/>
      <c r="B27" s="1284"/>
      <c r="C27" s="1285"/>
      <c r="D27" s="2452"/>
      <c r="E27" s="2452"/>
      <c r="F27" s="2452"/>
    </row>
    <row r="28" spans="1:6" ht="20.65" customHeight="1" x14ac:dyDescent="0.2">
      <c r="A28" s="1283"/>
      <c r="B28" s="1284"/>
      <c r="C28" s="1285"/>
      <c r="D28" s="2452"/>
      <c r="E28" s="2452"/>
      <c r="F28" s="2452"/>
    </row>
    <row r="29" spans="1:6" ht="20.65" customHeight="1" x14ac:dyDescent="0.2">
      <c r="A29" s="1283"/>
      <c r="B29" s="1284"/>
      <c r="C29" s="1285"/>
      <c r="D29" s="2452"/>
      <c r="E29" s="2452"/>
      <c r="F29" s="245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3" t="s">
        <v>1835</v>
      </c>
      <c r="B32" s="2453"/>
      <c r="C32" s="2453"/>
      <c r="D32" s="2453"/>
      <c r="E32" s="2453"/>
      <c r="F32" s="2453"/>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54">
        <f>+C33+C34</f>
        <v>0</v>
      </c>
      <c r="F34" s="245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6" t="s">
        <v>1672</v>
      </c>
      <c r="C49" s="2456"/>
      <c r="D49" s="2456"/>
      <c r="E49" s="1399"/>
    </row>
    <row r="50" spans="1:5" s="1300" customFormat="1" ht="3.75" customHeight="1" x14ac:dyDescent="0.2">
      <c r="A50" s="1299"/>
      <c r="B50" s="1870"/>
      <c r="C50" s="1870"/>
      <c r="D50" s="1870"/>
      <c r="E50" s="1399"/>
    </row>
    <row r="51" spans="1:5" s="1300" customFormat="1" ht="20.25" customHeight="1" x14ac:dyDescent="0.2">
      <c r="A51" s="1301">
        <v>6</v>
      </c>
      <c r="B51" s="2451" t="s">
        <v>1632</v>
      </c>
      <c r="C51" s="2451"/>
      <c r="D51" s="2451"/>
    </row>
    <row r="52" spans="1:5" ht="14.25" customHeight="1" x14ac:dyDescent="0.2">
      <c r="A52" s="1301"/>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0" t="str">
        <f>'Single Audit Cover'!A7</f>
        <v>Oakwood CUSD 76</v>
      </c>
      <c r="C1" s="2464"/>
      <c r="D1" s="2464"/>
      <c r="E1" s="2464"/>
      <c r="F1" s="2464"/>
      <c r="G1" s="2464"/>
      <c r="H1" s="2464"/>
      <c r="I1" s="2464"/>
      <c r="J1" s="2464"/>
      <c r="K1" s="2464"/>
      <c r="L1" s="2464"/>
      <c r="M1" s="2464"/>
    </row>
    <row r="2" spans="2:14" ht="15" x14ac:dyDescent="0.2">
      <c r="B2" s="2461">
        <f>'Single Audit Cover'!E7</f>
        <v>54092076026</v>
      </c>
      <c r="C2" s="2461"/>
      <c r="D2" s="2461"/>
      <c r="E2" s="2461"/>
      <c r="F2" s="2461"/>
      <c r="G2" s="2461"/>
      <c r="H2" s="2461"/>
      <c r="I2" s="2461"/>
      <c r="J2" s="2461"/>
      <c r="K2" s="2461"/>
      <c r="L2" s="2461"/>
      <c r="M2" s="2461"/>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Oakwood CUSD 76</v>
      </c>
      <c r="C1" s="2479"/>
      <c r="D1" s="2479"/>
      <c r="E1" s="2479"/>
      <c r="F1" s="2479"/>
      <c r="G1" s="2479"/>
      <c r="H1" s="2479"/>
      <c r="I1" s="2479"/>
      <c r="J1" s="1422"/>
    </row>
    <row r="2" spans="2:10" s="317" customFormat="1" ht="12.75" customHeight="1" x14ac:dyDescent="0.2">
      <c r="B2" s="2480">
        <f>'Single Audit Cover'!E7</f>
        <v>54092076026</v>
      </c>
      <c r="C2" s="2481"/>
      <c r="D2" s="2481"/>
      <c r="E2" s="2481"/>
      <c r="F2" s="2481"/>
      <c r="G2" s="2481"/>
      <c r="H2" s="2481"/>
      <c r="I2" s="2481"/>
      <c r="J2" s="1422"/>
    </row>
    <row r="3" spans="2:10" s="317" customFormat="1" ht="12.75" customHeight="1" x14ac:dyDescent="0.2">
      <c r="B3" s="2482" t="s">
        <v>1347</v>
      </c>
      <c r="C3" s="2483"/>
      <c r="D3" s="2483"/>
      <c r="E3" s="2483"/>
      <c r="F3" s="2483"/>
      <c r="G3" s="2483"/>
      <c r="H3" s="2483"/>
      <c r="I3" s="2483"/>
      <c r="J3" s="1423"/>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2" t="s">
        <v>1346</v>
      </c>
      <c r="C7" s="2483"/>
      <c r="D7" s="2483"/>
      <c r="E7" s="2483"/>
      <c r="F7" s="2483"/>
      <c r="G7" s="2483"/>
      <c r="H7" s="2483"/>
      <c r="I7" s="248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4"/>
      <c r="D11" s="248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5"/>
      <c r="E29" s="2485"/>
      <c r="F29" s="2485"/>
      <c r="G29" s="2485"/>
      <c r="H29" s="2485"/>
      <c r="I29" s="248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6" t="s">
        <v>1854</v>
      </c>
      <c r="D37" s="2487"/>
      <c r="E37" s="2487"/>
      <c r="F37" s="2488"/>
      <c r="G37" s="2486" t="s">
        <v>1674</v>
      </c>
      <c r="H37" s="2487"/>
      <c r="I37" s="2488"/>
    </row>
    <row r="38" spans="2:9" ht="16.5" customHeight="1" x14ac:dyDescent="0.2">
      <c r="B38" s="1444"/>
      <c r="C38" s="2474"/>
      <c r="D38" s="2475"/>
      <c r="E38" s="2475"/>
      <c r="F38" s="2476"/>
      <c r="G38" s="2489"/>
      <c r="H38" s="2490"/>
      <c r="I38" s="2491"/>
    </row>
    <row r="39" spans="2:9" ht="16.5" customHeight="1" x14ac:dyDescent="0.2">
      <c r="B39" s="1444"/>
      <c r="C39" s="2474"/>
      <c r="D39" s="2475"/>
      <c r="E39" s="2475"/>
      <c r="F39" s="2476"/>
      <c r="G39" s="2477"/>
      <c r="H39" s="2477"/>
      <c r="I39" s="2477"/>
    </row>
    <row r="40" spans="2:9" ht="16.5" customHeight="1" x14ac:dyDescent="0.2">
      <c r="B40" s="1444"/>
      <c r="C40" s="2474"/>
      <c r="D40" s="2475"/>
      <c r="E40" s="2475"/>
      <c r="F40" s="2476"/>
      <c r="G40" s="2477"/>
      <c r="H40" s="2477"/>
      <c r="I40" s="2477"/>
    </row>
    <row r="41" spans="2:9" ht="16.5" customHeight="1" x14ac:dyDescent="0.2">
      <c r="B41" s="1444"/>
      <c r="C41" s="2474"/>
      <c r="D41" s="2475"/>
      <c r="E41" s="2475"/>
      <c r="F41" s="2476"/>
      <c r="G41" s="2477"/>
      <c r="H41" s="2477"/>
      <c r="I41" s="2477"/>
    </row>
    <row r="42" spans="2:9" ht="16.5" customHeight="1" x14ac:dyDescent="0.2">
      <c r="B42" s="1444"/>
      <c r="C42" s="2474"/>
      <c r="D42" s="2475"/>
      <c r="E42" s="2475"/>
      <c r="F42" s="2476"/>
      <c r="G42" s="2477"/>
      <c r="H42" s="2477"/>
      <c r="I42" s="2477"/>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1951</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3"/>
      <c r="F49" s="2473"/>
      <c r="G49" s="2473"/>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Oakwood CUSD 76</v>
      </c>
      <c r="C1" s="2478"/>
      <c r="D1" s="2478"/>
      <c r="E1" s="2478"/>
      <c r="F1" s="2478"/>
      <c r="G1" s="2478"/>
      <c r="H1" s="2478"/>
      <c r="I1" s="2478"/>
      <c r="J1" s="2478"/>
      <c r="K1" s="2478"/>
      <c r="L1" s="1374"/>
      <c r="M1" s="1374"/>
    </row>
    <row r="2" spans="1:13" ht="12" customHeight="1" x14ac:dyDescent="0.2">
      <c r="B2" s="2480">
        <f>'Single Audit Cover'!E7</f>
        <v>54092076026</v>
      </c>
      <c r="C2" s="2480"/>
      <c r="D2" s="2480"/>
      <c r="E2" s="2480"/>
      <c r="F2" s="2480"/>
      <c r="G2" s="2480"/>
      <c r="H2" s="2480"/>
      <c r="I2" s="2480"/>
      <c r="J2" s="2480"/>
      <c r="K2" s="2480"/>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Oakwood CUSD 76</v>
      </c>
      <c r="C1" s="2501"/>
      <c r="D1" s="2501"/>
      <c r="E1" s="2501"/>
      <c r="F1" s="2501"/>
      <c r="G1" s="2501"/>
      <c r="H1" s="2501"/>
      <c r="I1" s="2501"/>
      <c r="J1" s="2501"/>
      <c r="K1" s="2501"/>
      <c r="L1" s="1465"/>
    </row>
    <row r="2" spans="1:12" ht="12.75" customHeight="1" x14ac:dyDescent="0.2">
      <c r="B2" s="2502">
        <f>'Single Audit Cover'!E7</f>
        <v>54092076026</v>
      </c>
      <c r="C2" s="2502"/>
      <c r="D2" s="2502"/>
      <c r="E2" s="2502"/>
      <c r="F2" s="2502"/>
      <c r="G2" s="2502"/>
      <c r="H2" s="2502"/>
      <c r="I2" s="2502"/>
      <c r="J2" s="2502"/>
      <c r="K2" s="2502"/>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5"/>
      <c r="G12" s="2485"/>
      <c r="H12" s="2485"/>
      <c r="I12" s="2485"/>
      <c r="J12" s="2485"/>
      <c r="K12" s="248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8" t="str">
        <f>'Single Audit Cover'!A7</f>
        <v>Oakwood CUSD 76</v>
      </c>
      <c r="C1" s="2478"/>
      <c r="D1" s="2478"/>
      <c r="E1" s="1491"/>
    </row>
    <row r="2" spans="2:5" s="1282" customFormat="1" ht="12.75" customHeight="1" x14ac:dyDescent="0.2">
      <c r="B2" s="2480">
        <f>'Single Audit Cover'!E7</f>
        <v>54092076026</v>
      </c>
      <c r="C2" s="2480"/>
      <c r="D2" s="2480"/>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purl.org/dc/dcmitype/"/>
    <ds:schemaRef ds:uri="6ce3111e-7420-4802-b50a-75d4e9a0b980"/>
    <ds:schemaRef ds:uri="http://schemas.microsoft.com/office/infopath/2007/PartnerControls"/>
    <ds:schemaRef ds:uri="http://www.w3.org/XML/1998/namespace"/>
    <ds:schemaRef ds:uri="http://schemas.microsoft.com/office/2006/metadata/properties"/>
    <ds:schemaRef ds:uri="d21dc803-237d-4c68-8692-8d731fd29118"/>
    <ds:schemaRef ds:uri="http://schemas.microsoft.com/sharepoint/v3"/>
    <ds:schemaRef ds:uri="http://purl.org/dc/terms/"/>
    <ds:schemaRef ds:uri="http://schemas.microsoft.com/office/2006/documentManagement/type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2018-10-24T19:15:42Z</cp:lastPrinted>
  <dcterms:created xsi:type="dcterms:W3CDTF">2003-10-29T19:06:34Z</dcterms:created>
  <dcterms:modified xsi:type="dcterms:W3CDTF">2018-11-20T19:17:31Z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