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2)" sheetId="183" r:id="rId29"/>
    <sheet name=" SEFA (3)" sheetId="184" r:id="rId30"/>
    <sheet name=" SEFA" sheetId="179" r:id="rId31"/>
    <sheet name="SF&amp;QC Sec-1" sheetId="174" r:id="rId32"/>
    <sheet name="SF&amp;QC Sec-2" sheetId="175" r:id="rId33"/>
    <sheet name="SF&amp;QC Sec-3" sheetId="176" r:id="rId34"/>
    <sheet name="SSPAF" sheetId="177" r:id="rId35"/>
  </sheets>
  <definedNames>
    <definedName name="_xlnm.Print_Area" localSheetId="30">' SEFA'!$B$1:$M$46</definedName>
    <definedName name="_xlnm.Print_Area" localSheetId="28">' SEFA (2)'!$B$1:$M$46</definedName>
    <definedName name="_xlnm.Print_Area" localSheetId="29">'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30">#REF!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30">#REF!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30">#REF!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30">#REF!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30">#REF!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A2" i="170"/>
  <c r="B2" i="174"/>
  <c r="A2" i="173"/>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s="1"/>
  <c r="B5114" i="106"/>
  <c r="D5114" i="106" s="1"/>
  <c r="B5115" i="106"/>
  <c r="D5115" i="106"/>
  <c r="B5116" i="106"/>
  <c r="D5116" i="106" s="1"/>
  <c r="B5117" i="106"/>
  <c r="D5117" i="106" s="1"/>
  <c r="B5118" i="106"/>
  <c r="D5118" i="106" s="1"/>
  <c r="B5119" i="106"/>
  <c r="D5119" i="106" s="1"/>
  <c r="B5122" i="106"/>
  <c r="D5122" i="106"/>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E27" i="108"/>
  <c r="F27" i="108"/>
  <c r="G27"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14" i="4"/>
  <c r="B2609" i="106" s="1"/>
  <c r="D2609"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24" i="37"/>
  <c r="B4270" i="106" s="1"/>
  <c r="D4270" i="106" s="1"/>
  <c r="D4" i="7"/>
  <c r="B1760" i="106" s="1"/>
  <c r="D1760" i="106" s="1"/>
  <c r="D5" i="7"/>
  <c r="B1761" i="106" s="1"/>
  <c r="D1761" i="106" s="1"/>
  <c r="D13" i="7"/>
  <c r="B3726" i="106" s="1"/>
  <c r="D3726" i="106" s="1"/>
  <c r="D9" i="7"/>
  <c r="B1767" i="106" s="1"/>
  <c r="D1767" i="106" s="1"/>
  <c r="F136" i="34"/>
  <c r="F131" i="34"/>
  <c r="F130" i="34"/>
  <c r="F127" i="34"/>
  <c r="B5847" i="106"/>
  <c r="D5847" i="106" s="1"/>
  <c r="B5752" i="106"/>
  <c r="D5752" i="106" s="1"/>
  <c r="B5599" i="106"/>
  <c r="D5599" i="106" s="1"/>
  <c r="K274" i="5"/>
  <c r="H173" i="5"/>
  <c r="B5906" i="106" s="1"/>
  <c r="D5906" i="106" s="1"/>
  <c r="H109" i="5"/>
  <c r="B6025" i="106" s="1"/>
  <c r="D6025" i="106" s="1"/>
  <c r="H4" i="4"/>
  <c r="B2655" i="106"/>
  <c r="D2655" i="106" s="1"/>
  <c r="B1746" i="106"/>
  <c r="D1746" i="106" s="1"/>
  <c r="D17" i="7"/>
  <c r="B4104" i="106" s="1"/>
  <c r="D4104" i="106" s="1"/>
  <c r="D12" i="7"/>
  <c r="B1769" i="106" s="1"/>
  <c r="D1769" i="106" s="1"/>
  <c r="D11" i="7"/>
  <c r="B1768" i="106" s="1"/>
  <c r="D1768" i="106" s="1"/>
  <c r="D15" i="7"/>
  <c r="B1772" i="106" s="1"/>
  <c r="D1772" i="106" s="1"/>
  <c r="B7041" i="106" l="1"/>
  <c r="D7041" i="106" s="1"/>
  <c r="H6" i="4"/>
  <c r="B2656" i="106" s="1"/>
  <c r="D2656" i="106" s="1"/>
  <c r="F111" i="34"/>
  <c r="B5770" i="106"/>
  <c r="D5770" i="106" s="1"/>
  <c r="G5" i="4"/>
  <c r="B3409" i="106" s="1"/>
  <c r="D3409" i="106" s="1"/>
  <c r="I173" i="5"/>
  <c r="B4216" i="106" s="1"/>
  <c r="D4216" i="106" s="1"/>
  <c r="F106" i="34"/>
  <c r="F94" i="34"/>
  <c r="L367" i="29"/>
  <c r="B7235" i="106"/>
  <c r="D7235" i="106" s="1"/>
  <c r="B3649" i="106"/>
  <c r="D3649" i="106" s="1"/>
  <c r="G367" i="29"/>
  <c r="B3621" i="106"/>
  <c r="D3621" i="106" s="1"/>
  <c r="C367" i="29"/>
  <c r="L15" i="11"/>
  <c r="B3459" i="106" s="1"/>
  <c r="D3459" i="106" s="1"/>
  <c r="B281" i="106"/>
  <c r="D281" i="106" s="1"/>
  <c r="H367" i="29"/>
  <c r="B3660" i="106" s="1"/>
  <c r="D3660" i="106" s="1"/>
  <c r="K76" i="4"/>
  <c r="B3586" i="106" s="1"/>
  <c r="D3586" i="106" s="1"/>
  <c r="K285" i="29"/>
  <c r="E174" i="29"/>
  <c r="B1309" i="106" s="1"/>
  <c r="D1309" i="106" s="1"/>
  <c r="C129" i="29"/>
  <c r="L5" i="11"/>
  <c r="B2056" i="106" s="1"/>
  <c r="D2056" i="106" s="1"/>
  <c r="K24" i="12"/>
  <c r="L342" i="29"/>
  <c r="G30" i="108"/>
  <c r="E30" i="108"/>
  <c r="F28" i="108"/>
  <c r="E28" i="108"/>
  <c r="C172" i="5"/>
  <c r="C109" i="5"/>
  <c r="B5121" i="106" s="1"/>
  <c r="D5121" i="106" s="1"/>
  <c r="D52" i="36"/>
  <c r="B1410" i="106"/>
  <c r="D1410" i="106" s="1"/>
  <c r="G4" i="4"/>
  <c r="B2603" i="106" s="1"/>
  <c r="D2603" i="106" s="1"/>
  <c r="F65" i="34"/>
  <c r="E29" i="108"/>
  <c r="K184" i="29"/>
  <c r="F13" i="4" s="1"/>
  <c r="B2596" i="106" s="1"/>
  <c r="D2596" i="106" s="1"/>
  <c r="G29" i="108"/>
  <c r="F77" i="4"/>
  <c r="B3255" i="106" s="1"/>
  <c r="D3255" i="106" s="1"/>
  <c r="D7" i="7"/>
  <c r="B1763" i="106" s="1"/>
  <c r="D1763" i="106" s="1"/>
  <c r="B1329" i="106"/>
  <c r="D1329" i="106" s="1"/>
  <c r="F61" i="34"/>
  <c r="E109" i="5"/>
  <c r="E4" i="4" s="1"/>
  <c r="B2630" i="106" s="1"/>
  <c r="D2630" i="106" s="1"/>
  <c r="D109" i="5"/>
  <c r="F19" i="7"/>
  <c r="B1807" i="106" s="1"/>
  <c r="D1807" i="106" s="1"/>
  <c r="H29" i="118"/>
  <c r="K28" i="118" s="1"/>
  <c r="O27" i="118" s="1"/>
  <c r="O29" i="118" s="1"/>
  <c r="B4268" i="106"/>
  <c r="D4268" i="106"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F275" i="5" s="1"/>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J7" i="4"/>
  <c r="H8" i="4"/>
  <c r="D274" i="5"/>
  <c r="B3447" i="106"/>
  <c r="D3447" i="106" s="1"/>
  <c r="B7270" i="106"/>
  <c r="D19" i="7" l="1"/>
  <c r="B1775" i="106" s="1"/>
  <c r="D1775" i="106" s="1"/>
  <c r="B5914" i="106"/>
  <c r="D5914" i="106" s="1"/>
  <c r="K365" i="29"/>
  <c r="K367" i="29" s="1"/>
  <c r="F73" i="34"/>
  <c r="G15" i="4"/>
  <c r="B6032" i="106" s="1"/>
  <c r="D6032" i="106" s="1"/>
  <c r="L16" i="11"/>
  <c r="B2061" i="106" s="1"/>
  <c r="D2061" i="106" s="1"/>
  <c r="B7733" i="106"/>
  <c r="D7733" i="106" s="1"/>
  <c r="K26" i="12"/>
  <c r="B7743" i="106" s="1"/>
  <c r="D7743" i="106" s="1"/>
  <c r="L114" i="29"/>
  <c r="C114" i="29"/>
  <c r="B757" i="106" s="1"/>
  <c r="D757" i="106" s="1"/>
  <c r="B5214" i="106"/>
  <c r="D5214" i="106" s="1"/>
  <c r="C173" i="5"/>
  <c r="D44" i="36"/>
  <c r="K342" i="29"/>
  <c r="F13" i="34" s="1"/>
  <c r="B1381" i="106"/>
  <c r="D1381" i="106" s="1"/>
  <c r="B5356" i="106"/>
  <c r="D5356" i="106" s="1"/>
  <c r="D4" i="4"/>
  <c r="B2564" i="106" s="1"/>
  <c r="D2564"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1145" i="106" l="1"/>
  <c r="D1145" i="106" s="1"/>
  <c r="B5223" i="106"/>
  <c r="D5223" i="106" s="1"/>
  <c r="C6" i="4"/>
  <c r="B2553" i="106" s="1"/>
  <c r="D2553" i="106" s="1"/>
  <c r="E41" i="108"/>
  <c r="E44" i="108" s="1"/>
  <c r="E45" i="108" s="1"/>
  <c r="G41" i="108"/>
  <c r="G44" i="108" s="1"/>
  <c r="G45" i="108"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D8" i="146"/>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<sst xmlns="http://schemas.openxmlformats.org/spreadsheetml/2006/main" count="5211" uniqueCount="2156">
  <si>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</si>
  <si>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</si>
  <si>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</si>
  <si>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</si>
  <si>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</si>
  <si>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</si>
  <si>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</si>
  <si>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</si>
  <si>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</si>
  <si>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</si>
  <si>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</si>
  <si>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</si>
  <si>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</si>
  <si>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</si>
  <si>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</si>
  <si>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</si>
  <si>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</si>
  <si>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</si>
  <si>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</si>
  <si>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</si>
  <si>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</si>
  <si>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</si>
  <si>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</si>
  <si>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</si>
  <si>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</si>
  <si>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</si>
  <si>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</si>
  <si>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</si>
  <si>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</si>
  <si>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</si>
  <si>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</si>
  <si>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</si>
  <si>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</si>
  <si>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</si>
  <si>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</si>
  <si>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</si>
  <si>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</si>
  <si>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</si>
  <si>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</si>
  <si>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</si>
  <si>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</si>
  <si>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</si>
  <si>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</si>
  <si>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</si>
  <si>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</si>
  <si>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</si>
  <si>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</si>
  <si>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</si>
  <si>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</si>
  <si>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</si>
  <si>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</si>
  <si>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</si>
  <si>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</si>
  <si>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</si>
  <si>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</si>
  <si>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</si>
  <si>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</si>
  <si>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</si>
  <si>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</si>
  <si>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</si>
  <si>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</si>
  <si>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</si>
  <si>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</si>
  <si>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</si>
  <si>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</si>
  <si>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</si>
  <si>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</si>
  <si>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</si>
  <si>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</si>
  <si>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</si>
  <si>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</si>
  <si>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</si>
  <si>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</si>
  <si>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</si>
  <si>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</si>
  <si>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</si>
  <si>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</si>
  <si>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</si>
  <si>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</si>
  <si>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</si>
  <si>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</si>
  <si>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</si>
  <si>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</si>
  <si>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</si>
  <si>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</si>
  <si>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</si>
  <si>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</si>
  <si>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</si>
  <si>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</si>
  <si>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</si>
  <si>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</si>
  <si>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</si>
  <si>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</si>
  <si>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</si>
  <si>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</si>
  <si>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</si>
  <si>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</si>
  <si>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</si>
  <si>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</si>
  <si>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</si>
  <si>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</si>
  <si>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</si>
  <si>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</si>
  <si>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</si>
  <si>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</si>
  <si>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</si>
  <si>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</si>
  <si>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</si>
  <si>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</si>
  <si>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</si>
  <si>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</si>
  <si>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</si>
  <si>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</si>
  <si>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</si>
  <si>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</si>
  <si>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</si>
  <si>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</si>
  <si>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</si>
  <si>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</si>
  <si>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</si>
  <si>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</si>
  <si>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</si>
  <si>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</si>
  <si>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</si>
  <si>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</si>
  <si>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</si>
  <si>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</si>
  <si>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</si>
  <si>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</si>
  <si>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</si>
  <si>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</si>
  <si>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</si>
  <si>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</si>
  <si>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</si>
  <si>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</si>
  <si>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</si>
  <si>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</si>
  <si>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</si>
  <si>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</si>
  <si>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</si>
  <si>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</si>
  <si>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</si>
  <si>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</si>
  <si>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</si>
  <si>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</si>
  <si>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</si>
  <si>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</si>
  <si>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</si>
  <si>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</si>
  <si>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</si>
  <si>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</si>
  <si>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</si>
  <si>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</si>
  <si>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</si>
  <si>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</si>
  <si>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</si>
  <si>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</si>
  <si>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</si>
  <si>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</si>
  <si>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</si>
  <si>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</si>
  <si>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</si>
  <si>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</si>
  <si>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</si>
  <si>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</si>
  <si>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</si>
  <si>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</si>
  <si>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</si>
  <si>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</si>
  <si>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</si>
  <si>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</si>
  <si>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</si>
  <si>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</si>
  <si>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</si>
  <si>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</si>
  <si>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</si>
  <si>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</si>
  <si>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</si>
  <si>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</si>
  <si>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</si>
  <si>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</si>
  <si>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</si>
  <si>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</si>
  <si>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</si>
  <si>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</si>
  <si>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</si>
  <si>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</si>
  <si>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</si>
  <si>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</si>
  <si>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</si>
  <si>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</si>
  <si>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</si>
  <si>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</si>
  <si>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</si>
  <si>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</si>
  <si>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</si>
  <si>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</si>
  <si>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</si>
  <si>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</si>
  <si>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</si>
  <si>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</si>
  <si>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</si>
  <si>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</si>
  <si>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</si>
  <si>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</si>
  <si>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</si>
  <si>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</si>
  <si>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</si>
  <si>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</si>
  <si>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</si>
  <si>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</si>
  <si>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</si>
  <si>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</si>
  <si>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</si>
  <si>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</si>
  <si>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</si>
  <si>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</si>
  <si>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</si>
  <si>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</si>
  <si>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</si>
  <si>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</si>
  <si>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</si>
  <si>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</si>
  <si>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</si>
  <si>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</si>
  <si>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</si>
  <si>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</si>
  <si>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</si>
  <si>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</si>
  <si>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</si>
  <si>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</si>
  <si>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</si>
  <si>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</si>
  <si>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</si>
  <si>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</si>
  <si>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</si>
  <si>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</si>
  <si>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</si>
  <si>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</si>
  <si>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</si>
  <si>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</si>
  <si>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</si>
  <si>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</si>
  <si>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</si>
  <si>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</si>
  <si>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</si>
  <si>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</si>
  <si>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</si>
  <si>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</si>
  <si>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</si>
  <si>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</si>
  <si>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</si>
  <si>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</si>
  <si>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</si>
  <si>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</si>
  <si>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</si>
  <si>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</si>
  <si>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</si>
  <si>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</si>
  <si>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</si>
  <si>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</si>
  <si>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</si>
  <si>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</si>
  <si>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</si>
  <si>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</si>
  <si>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</si>
  <si>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</si>
  <si>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</si>
  <si>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</si>
  <si>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</si>
  <si>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</si>
  <si>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</si>
  <si>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</si>
  <si>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</si>
  <si>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</si>
  <si>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</si>
  <si>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</si>
  <si>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</si>
  <si>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</si>
  <si>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</si>
  <si>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</si>
  <si>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</si>
  <si>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</si>
  <si>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</si>
  <si>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</si>
  <si>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</si>
  <si>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</si>
  <si>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</si>
  <si>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</si>
  <si>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</si>
  <si>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</si>
  <si>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</si>
  <si>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</si>
  <si>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</si>
  <si>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</si>
  <si>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</si>
  <si>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</si>
  <si>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</si>
  <si>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</si>
  <si>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</si>
  <si>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</si>
  <si>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</si>
  <si>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</si>
  <si>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</si>
  <si>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</si>
  <si>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</si>
  <si>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</si>
  <si>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</si>
  <si>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</si>
  <si>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</si>
  <si>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</si>
  <si>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</si>
  <si>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</si>
  <si>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</si>
  <si>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</si>
  <si>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</si>
  <si>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</si>
  <si>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</si>
  <si>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</si>
  <si>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</si>
  <si>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</si>
  <si>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</si>
  <si>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</si>
  <si>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</si>
  <si>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</si>
  <si>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</si>
  <si>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</si>
  <si>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</si>
  <si>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</si>
  <si>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</si>
  <si>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</si>
  <si>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</si>
  <si>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</si>
  <si>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</si>
  <si>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</si>
  <si>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</si>
  <si>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</si>
  <si>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</si>
  <si>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</si>
  <si>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</si>
  <si>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</si>
  <si>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</si>
  <si>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</si>
  <si>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</si>
  <si>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</si>
  <si>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</si>
  <si>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</si>
  <si>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</si>
  <si>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</si>
  <si>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</si>
  <si>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</si>
  <si>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</si>
  <si>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</si>
  <si>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</si>
  <si>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</si>
  <si>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</si>
  <si>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</si>
  <si>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</si>
  <si>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</si>
  <si>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</si>
  <si>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</si>
  <si>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</si>
  <si>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</si>
  <si>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</si>
  <si>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</si>
  <si>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</si>
  <si>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</si>
  <si>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</si>
  <si>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</si>
  <si>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</si>
  <si>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</si>
  <si>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</si>
  <si>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</si>
  <si>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</si>
  <si>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</si>
  <si>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</si>
  <si>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</si>
  <si>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</si>
  <si>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</si>
  <si>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</si>
  <si>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</si>
  <si>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</si>
  <si>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</si>
  <si>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</si>
  <si>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</si>
  <si>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</si>
  <si>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</si>
  <si>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</si>
  <si>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</si>
  <si>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</si>
  <si>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</si>
  <si>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</si>
  <si>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</si>
  <si>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</si>
  <si>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</si>
  <si>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</si>
  <si>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</si>
  <si>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</si>
  <si>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</si>
  <si>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</si>
  <si>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</si>
  <si>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</si>
  <si>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</si>
  <si>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</si>
  <si>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</si>
  <si>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</si>
  <si>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</si>
  <si>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</si>
  <si>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</si>
  <si>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</si>
  <si>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</si>
  <si>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</si>
  <si>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</si>
  <si>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</si>
  <si>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</si>
  <si>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</si>
  <si>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</si>
  <si>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</si>
  <si>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</si>
  <si>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</si>
  <si>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</si>
  <si>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</si>
  <si>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</si>
  <si>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</si>
  <si>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</si>
  <si>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</si>
  <si>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</si>
  <si>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</si>
  <si>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</si>
  <si>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</si>
  <si>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</si>
  <si>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</si>
  <si>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</si>
  <si>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</si>
  <si>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</si>
  <si>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</si>
  <si>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</si>
  <si>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</si>
  <si>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</si>
  <si>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</si>
  <si>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</si>
  <si>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</si>
  <si>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</si>
  <si>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</si>
  <si>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</si>
  <si>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</si>
  <si>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</si>
  <si>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</si>
  <si>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</si>
  <si>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</si>
  <si>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</si>
  <si>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</si>
  <si>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</si>
  <si>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</si>
  <si>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</si>
  <si>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</si>
  <si>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</si>
  <si>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</si>
  <si>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</si>
  <si>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</si>
  <si>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</si>
  <si>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</si>
  <si>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</si>
  <si>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</si>
  <si>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</si>
  <si>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</si>
  <si>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</si>
  <si>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</si>
  <si>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</si>
  <si>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</si>
  <si>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</si>
  <si>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</si>
  <si>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</si>
  <si>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</si>
  <si>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</si>
  <si>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</si>
  <si>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</si>
  <si>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</si>
  <si>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</si>
  <si>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</si>
  <si>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</si>
  <si>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</si>
  <si>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</si>
  <si>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</si>
  <si>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</si>
  <si>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</si>
  <si>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</si>
  <si>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</si>
  <si>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</si>
  <si>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</si>
  <si>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</si>
  <si>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</si>
  <si>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</si>
  <si>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</si>
  <si>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</si>
  <si>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</si>
  <si>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</si>
  <si>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</si>
  <si>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</si>
  <si>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</si>
  <si>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</si>
  <si>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</si>
  <si>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</si>
  <si>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</si>
  <si>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</si>
  <si>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</si>
  <si>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</si>
  <si>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</si>
  <si>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</si>
  <si>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</si>
  <si>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</si>
  <si>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</si>
  <si>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</si>
  <si>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</si>
  <si>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</si>
  <si>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</si>
  <si>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</si>
  <si>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</si>
  <si>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</si>
  <si>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</si>
  <si>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</si>
  <si>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</si>
  <si>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</si>
  <si>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</si>
  <si>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</si>
  <si>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</si>
  <si>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</si>
  <si>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</si>
  <si>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</si>
  <si>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</si>
  <si>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</si>
  <si>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</si>
  <si>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</si>
  <si>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</si>
  <si>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</si>
  <si>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</si>
  <si>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</si>
  <si>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</si>
  <si>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</si>
  <si>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</si>
  <si>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</si>
  <si>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</si>
  <si>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</si>
  <si>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</si>
  <si>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</si>
  <si>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</si>
  <si>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</si>
  <si>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</si>
  <si>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</si>
  <si>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</si>
  <si>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</si>
  <si>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</si>
  <si>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</si>
  <si>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</si>
  <si>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</si>
  <si>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</si>
  <si>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</si>
  <si>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</si>
  <si>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</si>
  <si>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</si>
  <si>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</si>
  <si>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</si>
  <si>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</si>
  <si>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</si>
  <si>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</si>
  <si>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</si>
  <si>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</si>
  <si>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</si>
  <si>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</si>
  <si>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</si>
  <si>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</si>
  <si>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</si>
  <si>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</si>
  <si>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</si>
  <si>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</si>
  <si>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</si>
  <si>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</si>
  <si>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</si>
  <si>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</si>
  <si>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</si>
  <si>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</si>
  <si>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</si>
  <si>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</si>
  <si>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</si>
  <si>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</si>
  <si>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</si>
  <si>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</si>
  <si>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</si>
  <si>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</si>
  <si>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</si>
  <si>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</si>
  <si>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</si>
  <si>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</si>
  <si>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</si>
  <si>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</si>
  <si>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</si>
  <si>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</si>
  <si>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</si>
  <si>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</si>
  <si>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</si>
  <si>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</si>
  <si>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</si>
  <si>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</si>
  <si>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</si>
  <si>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</si>
  <si>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</si>
  <si>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</si>
  <si>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</si>
  <si>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</si>
  <si>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</si>
  <si>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</si>
  <si>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</si>
  <si>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</si>
  <si>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</si>
  <si>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</si>
  <si>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</si>
  <si>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</si>
  <si>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</si>
  <si>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</si>
  <si>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</si>
  <si>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</si>
  <si>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</si>
  <si>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</si>
  <si>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</si>
  <si>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</si>
  <si>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</si>
  <si>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</si>
  <si>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</si>
  <si>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</si>
  <si>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</si>
  <si>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</si>
  <si>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</si>
  <si>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</si>
  <si>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</si>
  <si>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</si>
  <si>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</si>
  <si>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</si>
  <si>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</si>
  <si>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</si>
  <si>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</si>
  <si>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</si>
  <si>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</si>
  <si>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</si>
  <si>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</si>
  <si>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</si>
  <si>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</si>
  <si>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</si>
  <si>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</si>
  <si>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</si>
  <si>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</si>
  <si>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</si>
  <si>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</si>
  <si>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</si>
  <si>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</si>
  <si>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</si>
  <si>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</si>
  <si>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</si>
  <si>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</si>
  <si>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</si>
  <si>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</si>
  <si>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</si>
  <si>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</si>
  <si>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</si>
  <si>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</si>
  <si>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</si>
  <si>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</si>
  <si>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</si>
  <si>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</si>
  <si>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</si>
  <si>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</si>
  <si>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</si>
  <si>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</si>
  <si>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</si>
  <si>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</si>
  <si>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</si>
  <si>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</si>
  <si>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</si>
  <si>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</si>
  <si>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</si>
  <si>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</si>
  <si>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</si>
  <si>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</si>
  <si>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</si>
  <si>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</si>
  <si>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</si>
  <si>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</si>
  <si>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</si>
  <si>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</si>
  <si>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</si>
  <si>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</si>
  <si>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</si>
  <si>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</si>
  <si>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</si>
  <si>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</si>
  <si>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</si>
  <si>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</si>
  <si>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</si>
  <si>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</si>
  <si>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</si>
  <si>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</si>
  <si>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</si>
  <si>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</si>
  <si>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</si>
  <si>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</si>
  <si>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</si>
  <si>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</si>
  <si>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</si>
  <si>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</si>
  <si>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</si>
  <si>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</si>
  <si>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</si>
  <si>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</si>
  <si>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</si>
  <si>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</si>
  <si>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</si>
  <si>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</si>
  <si>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</si>
  <si>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</si>
  <si>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</si>
  <si>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</si>
  <si>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</si>
  <si>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</si>
  <si>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</si>
  <si>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</si>
  <si>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</si>
  <si>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</si>
  <si>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</si>
  <si>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</si>
  <si>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</si>
  <si>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</si>
  <si>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</si>
  <si>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</si>
  <si>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</si>
  <si>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</si>
  <si>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</si>
  <si>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</si>
  <si>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</si>
  <si>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</si>
  <si>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</si>
  <si>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</si>
  <si>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</si>
  <si>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</si>
  <si>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</si>
  <si>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</si>
  <si>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</si>
  <si>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</si>
  <si>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</si>
  <si>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</si>
  <si>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</si>
  <si>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</si>
  <si>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</si>
  <si>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</si>
  <si>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</si>
  <si>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</si>
  <si>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</si>
  <si>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</si>
  <si>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</si>
  <si>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</si>
  <si>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</si>
  <si>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</si>
  <si>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</si>
  <si>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</si>
  <si>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</si>
  <si>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</si>
  <si>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</si>
  <si>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</si>
  <si>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</si>
  <si>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</si>
  <si>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</si>
  <si>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</si>
  <si>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</si>
  <si>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</si>
  <si>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</si>
  <si>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</si>
  <si>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</si>
  <si>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</si>
  <si>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</si>
  <si>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</si>
  <si>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</si>
  <si>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</si>
  <si>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</si>
  <si>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</si>
  <si>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</si>
  <si>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</si>
  <si>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</si>
  <si>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</si>
  <si>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</si>
  <si>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</si>
  <si>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</si>
  <si>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</si>
  <si>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</si>
  <si>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</si>
  <si>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</si>
  <si>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</si>
  <si>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</si>
  <si>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</si>
  <si>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</si>
  <si>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</si>
  <si>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</si>
  <si>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</si>
  <si>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</si>
  <si>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</si>
  <si>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</si>
  <si>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</si>
  <si>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</si>
  <si>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</si>
  <si>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</si>
  <si>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</si>
  <si>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</si>
  <si>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</si>
  <si>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</si>
  <si>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</si>
  <si>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</si>
  <si>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</si>
  <si>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</si>
  <si>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</si>
  <si>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</si>
  <si>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</si>
  <si>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</si>
  <si>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</si>
  <si>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</si>
  <si>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</si>
  <si>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</si>
  <si>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</si>
  <si>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</si>
  <si>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</si>
  <si>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</si>
  <si>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</si>
  <si>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</si>
  <si>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</si>
  <si>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</si>
  <si>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</si>
  <si>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</si>
  <si>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</si>
  <si>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</si>
  <si>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</si>
  <si>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</si>
  <si>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</si>
  <si>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</si>
  <si>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</si>
  <si>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</si>
  <si>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</si>
  <si>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</si>
  <si>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</si>
  <si>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</si>
  <si>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</si>
  <si>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</si>
  <si>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</si>
  <si>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</si>
  <si>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</si>
  <si>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</si>
  <si>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</si>
  <si>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</si>
  <si>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</si>
  <si>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</si>
  <si>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</si>
  <si>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</si>
  <si>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</si>
  <si>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</si>
  <si>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</si>
  <si>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</si>
  <si>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</si>
  <si>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</si>
  <si>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</si>
  <si>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</si>
  <si>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</si>
  <si>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</si>
  <si>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</si>
  <si>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</si>
  <si>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</si>
  <si>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</si>
  <si>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</si>
  <si>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</si>
  <si>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</si>
  <si>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</si>
  <si>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</si>
  <si>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</si>
  <si>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</si>
  <si>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</si>
  <si>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</si>
  <si>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</si>
  <si>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</si>
  <si>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</si>
  <si>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</si>
  <si>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</si>
  <si>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</si>
  <si>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</si>
  <si>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</si>
  <si>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</si>
  <si>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</si>
  <si>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</si>
  <si>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</si>
  <si>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</si>
  <si>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</si>
  <si>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</si>
  <si>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</si>
  <si>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</si>
  <si>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</si>
  <si>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</si>
  <si>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</si>
  <si>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</si>
  <si>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</si>
  <si>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</si>
  <si>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</si>
  <si>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</si>
  <si>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</si>
  <si>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</si>
  <si>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</si>
  <si>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</si>
  <si>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</si>
  <si>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</si>
  <si>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</si>
  <si>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</si>
  <si>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</si>
  <si>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</si>
  <si>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</si>
  <si>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</si>
  <si>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</si>
  <si>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</si>
  <si>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</si>
  <si>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</si>
  <si>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</si>
  <si>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</si>
  <si>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</si>
  <si>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</si>
  <si>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</si>
  <si>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</si>
  <si>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</si>
  <si>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</si>
  <si>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</si>
  <si>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</si>
  <si>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</si>
  <si>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</si>
  <si>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</si>
  <si>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</si>
  <si>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</si>
  <si>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</si>
  <si>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</si>
  <si>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</si>
  <si>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</si>
  <si>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</si>
  <si>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</si>
  <si>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</si>
  <si>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</si>
  <si>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</si>
  <si>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</si>
  <si>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</si>
  <si>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</si>
  <si>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</si>
  <si>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</si>
  <si>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</si>
  <si>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</si>
  <si>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</si>
  <si>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</si>
  <si>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</si>
  <si>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</si>
  <si>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</si>
  <si>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</si>
  <si>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</si>
  <si>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</si>
  <si>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</si>
  <si>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</si>
  <si>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</si>
  <si>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</si>
  <si>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</si>
  <si>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</si>
  <si>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</si>
  <si>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</si>
  <si>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</si>
  <si>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</si>
  <si>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</si>
  <si>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</si>
  <si>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</si>
  <si>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</si>
  <si>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</si>
  <si>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</si>
  <si>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</si>
  <si>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</si>
  <si>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</si>
  <si>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</si>
  <si>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</si>
  <si>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</si>
  <si>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</si>
  <si>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</si>
  <si>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</si>
  <si>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</si>
  <si>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</si>
  <si>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</si>
  <si>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</si>
  <si>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</si>
  <si>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</si>
  <si>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</si>
  <si>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</si>
  <si>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</si>
  <si>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</si>
  <si>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</si>
  <si>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</si>
  <si>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</si>
  <si>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</si>
  <si>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</si>
  <si>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</si>
  <si>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</si>
  <si>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</si>
  <si>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</si>
  <si>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</si>
  <si>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</si>
  <si>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</si>
  <si>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</si>
  <si>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</si>
  <si>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</si>
  <si>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</si>
  <si>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</si>
  <si>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</si>
  <si>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</si>
  <si>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</si>
  <si>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</si>
  <si>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</si>
  <si>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</si>
  <si>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</si>
  <si>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</si>
  <si>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</si>
  <si>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</si>
  <si>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</si>
  <si>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</si>
  <si>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</si>
  <si>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</si>
  <si>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</si>
  <si>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</si>
  <si>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</si>
  <si>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</si>
  <si>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</si>
  <si>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</si>
  <si>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</si>
  <si>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</si>
  <si>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</si>
  <si>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</si>
  <si>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</si>
  <si>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</si>
  <si>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</si>
  <si>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</si>
  <si>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</si>
  <si>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</si>
  <si>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</si>
  <si>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</si>
  <si>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</si>
  <si>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</si>
  <si>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</si>
  <si>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</si>
  <si>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</si>
  <si>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</si>
  <si>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</si>
  <si>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</si>
  <si>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</si>
  <si>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</si>
  <si>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</si>
  <si>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</si>
  <si>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</si>
  <si>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</si>
  <si>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</si>
  <si>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</si>
  <si>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</si>
  <si>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</si>
  <si>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</si>
  <si>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</si>
  <si>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</si>
  <si>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</si>
  <si>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</si>
  <si>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</si>
  <si>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</si>
  <si>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</si>
  <si>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</si>
  <si>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</si>
  <si>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</si>
  <si>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</si>
  <si>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</si>
  <si>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</si>
  <si>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</si>
  <si>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</si>
  <si>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</si>
  <si>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</si>
  <si>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</si>
  <si>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</si>
  <si>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</si>
  <si>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</si>
  <si>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</si>
  <si>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</si>
  <si>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</si>
  <si>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</si>
  <si>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</si>
  <si>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</si>
  <si>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</si>
  <si>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</si>
  <si>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</si>
  <si>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</si>
  <si>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</si>
  <si>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</si>
  <si>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</si>
  <si>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</si>
  <si>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</si>
  <si>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</si>
  <si>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</si>
  <si>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</si>
  <si>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</si>
  <si>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</si>
  <si>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</si>
  <si>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</si>
  <si>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</si>
  <si>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</si>
  <si>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</si>
  <si>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</si>
  <si>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</si>
  <si>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</si>
  <si>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</si>
  <si>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</si>
  <si>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</si>
  <si>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</si>
  <si>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</si>
  <si>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</si>
  <si>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</si>
  <si>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</si>
  <si>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</si>
  <si>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</si>
  <si>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</si>
  <si>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</si>
  <si>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</si>
  <si>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</si>
  <si>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</si>
  <si>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</si>
  <si>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</si>
  <si>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</si>
  <si>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</si>
  <si>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</si>
  <si>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</si>
  <si>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</si>
  <si>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</si>
  <si>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</si>
  <si>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</si>
  <si>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</si>
  <si>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</si>
  <si>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</si>
  <si>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</si>
  <si>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</si>
  <si>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</si>
  <si>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</si>
  <si>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</si>
  <si>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</si>
  <si>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</si>
  <si>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</si>
  <si>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</si>
  <si>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</si>
  <si>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</si>
  <si>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</si>
  <si>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</si>
  <si>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</si>
  <si>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</si>
  <si>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</si>
  <si>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</si>
  <si>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</si>
  <si>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</si>
  <si>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</si>
  <si>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</si>
  <si>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</si>
  <si>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</si>
  <si>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</si>
  <si>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</si>
  <si>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</si>
  <si>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</si>
  <si>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</si>
  <si>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</si>
  <si>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</si>
  <si>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</si>
  <si>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</si>
  <si>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</si>
  <si>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</si>
  <si>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</si>
  <si>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</si>
  <si>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</si>
  <si>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</si>
  <si>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</si>
  <si>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</si>
  <si>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</si>
  <si>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</si>
  <si>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</si>
  <si>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</si>
  <si>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</si>
  <si>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</si>
  <si>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</si>
  <si>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</si>
  <si>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</si>
  <si>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</si>
  <si>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</si>
  <si>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</si>
  <si>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</si>
  <si>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</si>
  <si>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</si>
  <si>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</si>
  <si>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</si>
  <si>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</si>
  <si>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</si>
  <si>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</si>
  <si>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</si>
  <si>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</si>
  <si>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</si>
  <si>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</si>
  <si>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</si>
  <si>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</si>
  <si>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</si>
  <si>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</si>
  <si>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</si>
  <si>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</si>
  <si>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</si>
  <si>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</si>
  <si>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</si>
  <si>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</si>
  <si>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</si>
  <si>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</si>
  <si>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</si>
  <si>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</si>
  <si>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</si>
  <si>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</si>
  <si>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</si>
  <si>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</si>
  <si>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</si>
  <si>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</si>
  <si>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</si>
  <si>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</si>
  <si>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</si>
  <si>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</si>
  <si>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</si>
  <si>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</si>
  <si>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</si>
  <si>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</si>
  <si>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</si>
  <si>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</si>
  <si>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</si>
  <si>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</si>
  <si>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</si>
  <si>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</si>
  <si>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</si>
  <si>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</si>
  <si>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</si>
  <si>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</si>
  <si>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</si>
  <si>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</si>
  <si>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</si>
  <si>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</si>
  <si>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</si>
  <si>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</si>
  <si>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</si>
  <si>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</si>
  <si>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</si>
  <si>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</si>
  <si>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</si>
  <si>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</si>
  <si>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</si>
  <si>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</si>
  <si>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</si>
  <si>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</si>
  <si>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</si>
  <si>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</si>
  <si>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</si>
  <si>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</si>
  <si>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</si>
  <si>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</si>
  <si>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</si>
  <si>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</si>
  <si>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</si>
  <si>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</si>
  <si>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</si>
  <si>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</si>
  <si>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</si>
  <si>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</si>
  <si>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</si>
  <si>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</si>
  <si>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</si>
  <si>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</si>
  <si>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</si>
  <si>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</si>
  <si>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</si>
  <si>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</si>
  <si>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</si>
  <si>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</si>
  <si>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</si>
  <si>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</si>
  <si>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</si>
  <si>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</si>
  <si>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</si>
  <si>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</si>
  <si>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</si>
  <si>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</si>
  <si>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</si>
  <si>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</si>
  <si>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</si>
  <si>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</si>
  <si>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</si>
  <si>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</si>
  <si>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</si>
  <si>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</si>
  <si>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</si>
  <si>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</si>
  <si>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</si>
  <si>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</si>
  <si>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</si>
  <si>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</si>
  <si>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</si>
  <si>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</si>
  <si>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</si>
  <si>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</si>
  <si>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</si>
  <si>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</si>
  <si>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</si>
  <si>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</si>
  <si>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</si>
  <si>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</si>
  <si>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</si>
  <si>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</si>
  <si>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</si>
  <si>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</si>
  <si>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</si>
  <si>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</si>
  <si>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</si>
  <si>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</si>
  <si>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</si>
  <si>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</si>
  <si>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</si>
  <si>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</si>
  <si>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</si>
  <si>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</si>
  <si>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</si>
  <si>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</si>
  <si>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</si>
  <si>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</si>
  <si>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</si>
  <si>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</si>
  <si>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</si>
  <si>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</si>
  <si>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</si>
  <si>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</si>
  <si>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</si>
  <si>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</si>
  <si>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</si>
  <si>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</si>
  <si>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</si>
  <si>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</si>
  <si>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</si>
  <si>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</si>
  <si>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</si>
  <si>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</si>
  <si>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</si>
  <si>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</si>
  <si>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</si>
  <si>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</si>
  <si>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</si>
  <si>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</si>
  <si>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</si>
  <si>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</si>
  <si>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</si>
  <si>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</si>
  <si>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</si>
  <si>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</si>
  <si>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</si>
  <si>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</si>
  <si>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</si>
  <si>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</si>
  <si>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</si>
  <si>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</si>
  <si>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</si>
  <si>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</si>
  <si>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</si>
  <si>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</si>
  <si>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</si>
  <si>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</si>
  <si>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</si>
  <si>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</si>
  <si>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</si>
  <si>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</si>
  <si>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</si>
  <si>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</si>
  <si>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</si>
  <si>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</si>
  <si>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</si>
  <si>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</si>
  <si>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</si>
  <si>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</si>
  <si>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</si>
  <si>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</si>
  <si>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</si>
  <si>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</si>
  <si>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</si>
  <si>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</si>
  <si>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</si>
  <si>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</si>
  <si>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</si>
  <si>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</si>
  <si>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</si>
  <si>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</si>
  <si>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</si>
  <si>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</si>
  <si>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</si>
  <si>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</si>
  <si>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</si>
  <si>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</si>
  <si>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</si>
  <si>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</si>
  <si>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</si>
  <si>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</si>
  <si>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</si>
  <si>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</si>
  <si>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</si>
  <si>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</si>
  <si>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</si>
  <si>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</si>
  <si>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</si>
  <si>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</si>
  <si>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</si>
  <si>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</si>
  <si>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</si>
  <si>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</si>
  <si>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</si>
  <si>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</si>
  <si>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</si>
  <si>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</si>
  <si>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</si>
  <si>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</si>
  <si>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</si>
  <si>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</si>
  <si>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</si>
  <si>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</si>
  <si>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</si>
  <si>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</si>
  <si>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</si>
  <si>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</si>
  <si>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</si>
  <si>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</si>
  <si>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</si>
  <si>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</si>
  <si>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</si>
  <si>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</si>
  <si>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</si>
  <si>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</si>
  <si>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</si>
  <si>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</si>
  <si>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</si>
  <si>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</si>
  <si>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</si>
  <si>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</si>
  <si>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</si>
  <si>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</si>
  <si>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</si>
  <si>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</si>
  <si>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</si>
  <si>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</si>
  <si>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</si>
  <si>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</si>
  <si>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</si>
  <si>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</si>
  <si>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</si>
  <si>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</si>
  <si>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</si>
  <si>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</si>
  <si>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</si>
  <si>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</si>
  <si>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</si>
  <si>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</si>
  <si>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</si>
  <si>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</si>
  <si>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</si>
  <si>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</si>
  <si>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</si>
  <si>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</si>
  <si>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</si>
  <si>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</si>
  <si>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</si>
  <si>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</si>
  <si>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</si>
  <si>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</si>
  <si>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</si>
  <si>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</si>
  <si>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</si>
  <si>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</si>
  <si>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</si>
  <si>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</si>
  <si>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</si>
  <si>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</si>
  <si>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</si>
  <si>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</si>
  <si>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</si>
  <si>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</si>
  <si>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</si>
  <si>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</si>
  <si>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</si>
  <si>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</si>
  <si>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</si>
  <si>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</si>
  <si>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</si>
  <si>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</si>
  <si>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</si>
  <si>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</si>
  <si>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</si>
  <si>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</si>
  <si>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</si>
  <si>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</si>
  <si>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</si>
  <si>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</si>
  <si>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</si>
  <si>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</si>
  <si>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</si>
  <si>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</si>
  <si>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</si>
  <si>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</si>
  <si>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</si>
  <si>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</si>
  <si>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</si>
  <si>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</si>
  <si>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</si>
  <si>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</si>
  <si>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</si>
  <si>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</si>
  <si>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</si>
  <si>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</si>
  <si>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</si>
  <si>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</si>
  <si>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</si>
  <si>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</si>
  <si>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</si>
  <si>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</si>
  <si>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</si>
  <si>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</si>
  <si>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</si>
  <si>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</si>
  <si>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</si>
  <si>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</si>
  <si>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</si>
  <si>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</si>
  <si>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</si>
  <si>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</si>
  <si>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</si>
  <si>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</si>
  <si>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</si>
  <si>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</si>
  <si>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</si>
  <si>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</si>
  <si>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</si>
  <si>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</si>
  <si>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</si>
  <si>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</si>
  <si>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</si>
  <si>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</si>
  <si>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</si>
  <si>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</si>
  <si>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</si>
  <si>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</si>
  <si>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</si>
  <si>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</si>
  <si>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</si>
  <si>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</si>
  <si>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</si>
  <si>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</si>
  <si>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</si>
  <si>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</si>
  <si>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</si>
  <si>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</si>
  <si>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</si>
  <si>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</si>
  <si>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</si>
  <si>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</si>
  <si>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</si>
  <si>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</si>
  <si>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</si>
  <si>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</si>
  <si>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</si>
  <si>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</si>
  <si>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</si>
  <si>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</si>
  <si>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</si>
  <si>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</si>
  <si>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</si>
  <si>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</si>
  <si>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</si>
  <si>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</si>
  <si>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</si>
  <si>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</si>
  <si>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</si>
  <si>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</si>
  <si>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</si>
  <si>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</si>
  <si>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</si>
  <si>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</si>
  <si>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</si>
  <si>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</si>
  <si>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</si>
  <si>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</si>
  <si>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</si>
  <si>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</si>
  <si>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</si>
  <si>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</si>
  <si>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</si>
  <si>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</si>
  <si>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</si>
  <si>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</si>
  <si>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</si>
  <si>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</si>
  <si>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</si>
  <si>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</si>
  <si>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</si>
  <si>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</si>
  <si>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</si>
  <si>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</si>
  <si>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</si>
  <si>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</si>
  <si>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</si>
  <si>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</si>
  <si>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</si>
  <si>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</si>
  <si>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</si>
  <si>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</si>
  <si>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</si>
  <si>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</si>
  <si>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</si>
  <si>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</si>
  <si>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</si>
  <si>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</si>
  <si>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</si>
  <si>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</si>
  <si>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</si>
  <si>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</si>
  <si>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</si>
  <si>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</si>
  <si>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</si>
  <si>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</si>
  <si>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</si>
  <si>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</si>
  <si>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</si>
  <si>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</si>
  <si>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</si>
  <si>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</si>
  <si>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</si>
  <si>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</si>
  <si>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</si>
  <si>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</si>
  <si>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</si>
  <si>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</si>
  <si>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</si>
  <si>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</si>
  <si>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</si>
  <si>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</si>
  <si>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</si>
  <si>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</si>
  <si>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</si>
  <si>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</si>
  <si>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</si>
  <si>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</si>
  <si>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</si>
  <si>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</si>
  <si>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</si>
  <si>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</si>
  <si>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</si>
  <si>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</si>
  <si>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</si>
  <si>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</si>
  <si>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</si>
  <si>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</si>
  <si>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</si>
  <si>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</si>
  <si>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</si>
  <si>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</si>
  <si>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</si>
  <si>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</si>
  <si>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</si>
  <si>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</si>
  <si>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</si>
  <si>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</si>
  <si>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</si>
  <si>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</si>
  <si>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</si>
  <si>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</si>
  <si>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</si>
  <si>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</si>
  <si>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</si>
  <si>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</si>
  <si>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</si>
  <si>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</si>
  <si>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</si>
  <si>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</si>
  <si>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</si>
  <si>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</si>
  <si>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</si>
  <si>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</si>
  <si>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</si>
  <si>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</si>
  <si>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</si>
  <si>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</si>
  <si>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</si>
  <si>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</si>
  <si>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</si>
  <si>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</si>
  <si>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</si>
  <si>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</si>
  <si>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</si>
  <si>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</si>
  <si>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</si>
  <si>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</si>
  <si>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</si>
  <si>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</si>
  <si>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</si>
  <si>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</si>
  <si>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</si>
  <si>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</si>
  <si>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</si>
  <si>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</si>
  <si>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</si>
  <si>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</si>
  <si>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</si>
  <si>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</si>
  <si>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</si>
  <si>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</si>
  <si>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</si>
  <si>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</si>
  <si>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</si>
  <si>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</si>
  <si>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</si>
  <si>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</si>
  <si>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</si>
  <si>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</si>
  <si>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</si>
  <si>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</si>
  <si>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</si>
  <si>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</si>
  <si>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</si>
  <si>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</si>
  <si>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</si>
  <si>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</si>
  <si>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</si>
  <si>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</si>
  <si>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</si>
  <si>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</si>
  <si>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</si>
  <si>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</si>
  <si>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</si>
  <si>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</si>
  <si>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</si>
  <si>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</si>
  <si>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</si>
  <si>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</si>
  <si>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</si>
  <si>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</si>
  <si>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</si>
  <si>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</si>
  <si>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</si>
  <si>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</si>
  <si>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</si>
  <si>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</si>
  <si>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</si>
  <si>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</si>
  <si>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</si>
  <si>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</si>
  <si>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</si>
  <si>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</si>
  <si>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</si>
  <si>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</si>
  <si>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</si>
  <si>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</si>
  <si>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</si>
  <si>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</si>
  <si>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</si>
  <si>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</si>
  <si>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</si>
  <si>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</si>
  <si>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</si>
  <si>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</si>
  <si>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</si>
  <si>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</si>
  <si>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</si>
  <si>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</si>
  <si>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</si>
  <si>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</si>
  <si>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</si>
  <si>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</si>
  <si>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</si>
  <si>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</si>
  <si>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</si>
  <si>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</si>
  <si>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</si>
  <si>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</si>
  <si>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</si>
  <si>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</si>
  <si>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</si>
  <si>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</si>
  <si>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</si>
  <si>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</si>
  <si>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</si>
  <si>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</si>
  <si>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</si>
  <si>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</si>
  <si>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</si>
  <si>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</si>
  <si>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</si>
  <si>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</si>
  <si>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</si>
  <si>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</si>
  <si>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</si>
  <si>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</si>
  <si>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</si>
  <si>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</si>
  <si>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</si>
  <si>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</si>
  <si>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</si>
  <si>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</si>
  <si>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</si>
  <si>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</si>
  <si>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</si>
  <si>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</si>
  <si>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</si>
  <si>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</si>
  <si>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</si>
  <si>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</si>
  <si>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</si>
  <si>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</si>
  <si>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</si>
  <si>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</si>
  <si>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</si>
  <si>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</si>
  <si>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</si>
  <si>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</si>
  <si>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</si>
  <si>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</si>
  <si>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</si>
  <si>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</si>
  <si>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</si>
  <si>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</si>
  <si>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</si>
  <si>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</si>
  <si>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</si>
  <si>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</si>
  <si>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</si>
  <si>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</si>
  <si>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</si>
  <si>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</si>
  <si>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</si>
  <si>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</si>
  <si>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</si>
  <si>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</si>
  <si>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</si>
  <si>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</si>
  <si>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</si>
  <si>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</si>
  <si>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</si>
  <si>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</si>
  <si>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</si>
  <si>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</si>
  <si>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</si>
  <si>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</si>
  <si>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</si>
  <si>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</si>
  <si>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</si>
  <si>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</si>
  <si>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</si>
  <si>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</si>
  <si>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</si>
  <si>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</si>
  <si>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</si>
  <si>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</si>
  <si>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</si>
  <si>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</si>
  <si>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</si>
  <si>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</si>
  <si>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</si>
  <si>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</si>
  <si>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</si>
  <si>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</si>
  <si>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</si>
  <si>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</si>
  <si>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</si>
  <si>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</si>
  <si>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</si>
  <si>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</si>
  <si>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</si>
  <si>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</si>
  <si>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</si>
  <si>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</si>
  <si>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</si>
  <si>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</si>
  <si>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</si>
  <si>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</si>
  <si>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</si>
  <si>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</si>
  <si>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</si>
  <si>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</si>
  <si>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</si>
  <si>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</si>
  <si>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</si>
  <si>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</si>
  <si>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</si>
  <si>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</si>
  <si>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</si>
  <si>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</si>
  <si>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</si>
  <si>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</si>
  <si>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</si>
  <si>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</si>
  <si>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</si>
  <si>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</si>
  <si>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</si>
  <si>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</si>
  <si>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</si>
  <si>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</si>
  <si>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</si>
  <si>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</si>
  <si>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</si>
  <si>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</si>
  <si>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</si>
  <si>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</si>
  <si>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</si>
  <si>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</si>
  <si>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</si>
  <si>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</si>
  <si>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</si>
  <si>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</si>
  <si>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</si>
  <si>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</si>
  <si>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</si>
  <si>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</si>
  <si>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</si>
  <si>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</si>
  <si>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</si>
  <si>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</si>
  <si>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</si>
  <si>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</si>
  <si>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</si>
  <si>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</si>
  <si>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</si>
  <si>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</si>
  <si>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</si>
  <si>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</si>
  <si>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</si>
  <si>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</si>
  <si>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</si>
  <si>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</si>
  <si>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</si>
  <si>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</si>
  <si>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</si>
  <si>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</si>
  <si>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</si>
  <si>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</si>
  <si>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</si>
  <si>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</si>
  <si>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</si>
  <si>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</si>
  <si>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</si>
  <si>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</si>
  <si>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</si>
  <si>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</si>
  <si>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</si>
  <si>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</si>
  <si>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</si>
  <si>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</si>
  <si>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</si>
  <si>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</si>
  <si>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</si>
  <si>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</si>
  <si>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</si>
  <si>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</si>
  <si>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</si>
  <si>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</si>
  <si>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</si>
  <si>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</si>
  <si>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</si>
  <si>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</si>
  <si>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</si>
  <si>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</si>
  <si>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</si>
  <si>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</si>
  <si>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</si>
  <si>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</si>
  <si>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</si>
  <si>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</si>
  <si>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</si>
  <si>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</si>
  <si>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</si>
  <si>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</si>
  <si>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</si>
  <si>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</si>
  <si>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</si>
  <si>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</si>
  <si>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</si>
  <si>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</si>
  <si>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</si>
  <si>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</si>
  <si>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</si>
  <si>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</si>
  <si>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</si>
  <si>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</si>
  <si>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</si>
  <si>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</si>
  <si>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</si>
  <si>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</si>
  <si>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</si>
  <si>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</si>
  <si>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</si>
  <si>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</si>
  <si>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</si>
  <si>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</si>
  <si>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</si>
  <si>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</si>
  <si>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</si>
  <si>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</si>
  <si>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</si>
  <si>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</si>
  <si>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</si>
  <si>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</si>
  <si>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</si>
  <si>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</si>
  <si>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</si>
  <si>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</si>
  <si>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</si>
  <si>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</si>
  <si>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</si>
  <si>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</si>
  <si>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</si>
  <si>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</si>
  <si>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</si>
  <si>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</si>
  <si>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</si>
  <si>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</si>
  <si>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</si>
  <si>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</si>
  <si>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</si>
  <si>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</si>
  <si>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</si>
  <si>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</si>
  <si>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</si>
  <si>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</si>
  <si>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</si>
  <si>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</si>
  <si>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</si>
  <si>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</si>
  <si>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</si>
  <si>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</si>
  <si>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</si>
  <si>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</si>
  <si>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</si>
  <si>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</si>
  <si>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</si>
  <si>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</si>
  <si>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</si>
  <si>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</si>
  <si>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</si>
  <si>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</si>
  <si>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</si>
  <si>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</si>
  <si>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</si>
  <si>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</si>
  <si>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</si>
  <si>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</si>
  <si>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</si>
  <si>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</si>
  <si>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</si>
  <si>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</si>
  <si>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</si>
  <si>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</si>
  <si>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</si>
  <si>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</si>
  <si>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</si>
  <si>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</si>
  <si>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</si>
  <si>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</si>
  <si>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</si>
  <si>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</si>
  <si>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</si>
  <si>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</si>
  <si>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</si>
  <si>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</si>
  <si>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</si>
  <si>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</si>
  <si>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</si>
  <si>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</si>
  <si>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VERMILION</t>
  </si>
  <si>
    <t>615 E ORANGE</t>
  </si>
  <si>
    <t>HOOPESTON</t>
  </si>
  <si>
    <t>SUZZETTE HESSER</t>
  </si>
  <si>
    <t>hessersl@hoopeston.k12.il.us</t>
  </si>
  <si>
    <t>217-286-6668</t>
  </si>
  <si>
    <t>RUSSELL LEIGH &amp; ASSOCIATES</t>
  </si>
  <si>
    <t>RUSS LEIGH</t>
  </si>
  <si>
    <t>228 E MAIN ST</t>
  </si>
  <si>
    <t>IL</t>
  </si>
  <si>
    <t>217-283-9336</t>
  </si>
  <si>
    <t>217-283-9736</t>
  </si>
  <si>
    <t>065.018319</t>
  </si>
  <si>
    <t>admin@russleigh.com</t>
  </si>
  <si>
    <t>Russell Leigh &amp; Associates</t>
  </si>
  <si>
    <t>2016 GO WORKING CASH BONDS</t>
  </si>
  <si>
    <t>VERMILION ASSOCIATION FOR SPECIAL EDUCATION</t>
  </si>
  <si>
    <t>Page 7 - Acct 7990 - Other Sources Not Classified Elsewhere</t>
  </si>
  <si>
    <t>Col 40 - Transportation</t>
  </si>
  <si>
    <t>Capital Lease Proceeds - $139,800</t>
  </si>
  <si>
    <t>Page 10 - Acct 1690 - Other Food Service</t>
  </si>
  <si>
    <t>Col 10 - Educational</t>
  </si>
  <si>
    <t>Miscellaneous Reimbursements and Rebates - $3,855</t>
  </si>
  <si>
    <t>Page 10 - Acct 1790 - Other District/Activity Revenue</t>
  </si>
  <si>
    <t>Misc Fees - $1,064</t>
  </si>
  <si>
    <t>Page 11 - Acct 1990 - Other Local Revenues</t>
  </si>
  <si>
    <t>Col 20 - Transportation</t>
  </si>
  <si>
    <t>Refunds &amp; Reimbursements - $10,500</t>
  </si>
  <si>
    <t>Refunds &amp; Reimbursements - $3,470</t>
  </si>
  <si>
    <t>E-Rate - $33,920</t>
  </si>
  <si>
    <t>Refunds &amp; Reimbursements - $142,866</t>
  </si>
  <si>
    <t>Page 15 - Acct 2190 - Other Support Services - Pupils</t>
  </si>
  <si>
    <t>Homebound Tutoring - Salaries and Benefits</t>
  </si>
  <si>
    <t>AUDITCHECK Tab - #13 - Contracts Paid Error</t>
  </si>
  <si>
    <t>No applicable contracts paid in current year.</t>
  </si>
  <si>
    <t>CAPITAL LEASES - BUSES</t>
  </si>
  <si>
    <t>CAPITAL LEASE</t>
  </si>
  <si>
    <t>The accompanying Schedule of Expenditures of Federal Awards includes the federal grant activity of Hoopeston Community Unit No. 11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</si>
  <si>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</si>
  <si>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Hoopeston Community Unit No. 11 provided federal awards to subrecipients as follows:</t>
  </si>
  <si>
    <t>none</t>
  </si>
  <si>
    <t xml:space="preserve">no </t>
  </si>
  <si>
    <t>U.S. Department of Agriculture</t>
  </si>
  <si>
    <t xml:space="preserve">     Passed Through the Illinois State Board of Education</t>
  </si>
  <si>
    <t>(M)  School Lunch-Regular</t>
  </si>
  <si>
    <t>17-4210</t>
  </si>
  <si>
    <t>18-4210</t>
  </si>
  <si>
    <t xml:space="preserve">         Special Milk</t>
  </si>
  <si>
    <t>17-4215</t>
  </si>
  <si>
    <t>18-4215</t>
  </si>
  <si>
    <t xml:space="preserve">        School Breakfast</t>
  </si>
  <si>
    <t>17-4220</t>
  </si>
  <si>
    <t>18-4220</t>
  </si>
  <si>
    <t xml:space="preserve">        School Commodities</t>
  </si>
  <si>
    <t>18-4250</t>
  </si>
  <si>
    <t xml:space="preserve">        Fresh Fruit and Vegtables</t>
  </si>
  <si>
    <t xml:space="preserve">          Total Department of Agriculture</t>
  </si>
  <si>
    <t>U.S Department of Education</t>
  </si>
  <si>
    <t>(M)  Title 1-Low Income</t>
  </si>
  <si>
    <t>17-4300</t>
  </si>
  <si>
    <t>18-4300</t>
  </si>
  <si>
    <t>Title II-Teacher Quality</t>
  </si>
  <si>
    <t>84.367a</t>
  </si>
  <si>
    <t>18-4932</t>
  </si>
  <si>
    <t xml:space="preserve">           Total Illinois State Board of Education</t>
  </si>
  <si>
    <t xml:space="preserve">     Pased Through Champaign County Regional Office of Education</t>
  </si>
  <si>
    <t xml:space="preserve">       Mathmatic and Science</t>
  </si>
  <si>
    <t>18-2200</t>
  </si>
  <si>
    <t xml:space="preserve">          Total Champaign County Regional Office of Education</t>
  </si>
  <si>
    <t xml:space="preserve">          Total U.S. Department of Education</t>
  </si>
  <si>
    <t>U.S. Department of Health and Human Services</t>
  </si>
  <si>
    <t xml:space="preserve">     Passed Through Illinois Department of Healthcare and family Services</t>
  </si>
  <si>
    <t xml:space="preserve">       Medicare-Admin Outreach</t>
  </si>
  <si>
    <t xml:space="preserve">          Total U.S. Department of Health and Human Services</t>
  </si>
  <si>
    <t>Total Federal Financial Assistance</t>
  </si>
  <si>
    <t>Adverse-Gaap/Qualified-Regulatory</t>
  </si>
  <si>
    <t>Unmodified</t>
  </si>
  <si>
    <t>School Lunch Program</t>
  </si>
  <si>
    <t>Title 1-Low Income</t>
  </si>
  <si>
    <t>Hoopeston Area CUSD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</si>
</sst>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4" fillId="0" borderId="0" xfId="0" applyFont="1"/>
    <xf numFmtId="0" fontId="73" fillId="0" borderId="0" xfId="0" applyFont="1"/>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2075</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2075</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54092011026</v>
      </c>
      <c r="B13" s="2037"/>
      <c r="C13" s="2037"/>
      <c r="D13" s="2037"/>
      <c r="E13" s="2037"/>
      <c r="F13" s="2037"/>
      <c r="G13" s="2037"/>
      <c r="H13" s="2038"/>
      <c r="I13" s="31"/>
      <c r="J13" s="30"/>
      <c r="K13" s="28"/>
      <c r="L13" s="30"/>
      <c r="M13" s="30"/>
      <c r="N13" s="30"/>
      <c r="O13" s="30"/>
      <c r="P13" s="30"/>
      <c r="Q13" s="30"/>
      <c r="R13" s="30"/>
      <c r="S13" s="30"/>
      <c r="T13" s="2041" t="s">
        <v>2082</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2076</v>
      </c>
      <c r="B15" s="2039"/>
      <c r="C15" s="2039"/>
      <c r="D15" s="2039"/>
      <c r="E15" s="2039"/>
      <c r="F15" s="2039"/>
      <c r="G15" s="2039"/>
      <c r="H15" s="2040"/>
      <c r="T15" s="2045" t="s">
        <v>2083</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2155</v>
      </c>
      <c r="B17" s="1996"/>
      <c r="C17" s="1996"/>
      <c r="D17" s="1996"/>
      <c r="E17" s="1996"/>
      <c r="F17" s="1996"/>
      <c r="G17" s="1996"/>
      <c r="H17" s="2021"/>
      <c r="T17" s="2052" t="s">
        <v>2084</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2077</v>
      </c>
      <c r="B19" s="1981"/>
      <c r="C19" s="1981"/>
      <c r="D19" s="1981"/>
      <c r="E19" s="1981"/>
      <c r="F19" s="1981"/>
      <c r="G19" s="1981"/>
      <c r="H19" s="1961"/>
      <c r="I19" s="30"/>
      <c r="J19" s="99"/>
      <c r="K19" s="40"/>
      <c r="L19" s="38"/>
      <c r="M19" s="112" t="s">
        <v>333</v>
      </c>
      <c r="P19" s="27"/>
      <c r="Q19" s="27"/>
      <c r="R19" s="27"/>
      <c r="S19" s="31"/>
      <c r="T19" s="2035" t="s">
        <v>2078</v>
      </c>
      <c r="U19" s="1960"/>
      <c r="V19" s="1960"/>
      <c r="W19" s="1961"/>
      <c r="X19" s="2050" t="s">
        <v>2085</v>
      </c>
      <c r="Y19" s="2051"/>
      <c r="Z19" s="2048">
        <v>60942</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2078</v>
      </c>
      <c r="B21" s="1960"/>
      <c r="C21" s="1960"/>
      <c r="D21" s="1960"/>
      <c r="E21" s="1960"/>
      <c r="F21" s="1960"/>
      <c r="G21" s="1960"/>
      <c r="H21" s="1961"/>
      <c r="I21" s="2015" t="s">
        <v>699</v>
      </c>
      <c r="J21" s="2010"/>
      <c r="K21" s="2010"/>
      <c r="L21" s="2010"/>
      <c r="M21" s="2010"/>
      <c r="N21" s="2010"/>
      <c r="O21" s="2010"/>
      <c r="P21" s="2010"/>
      <c r="Q21" s="2010"/>
      <c r="R21" s="2010"/>
      <c r="S21" s="2016"/>
      <c r="T21" s="2060" t="s">
        <v>2086</v>
      </c>
      <c r="U21" s="2061"/>
      <c r="V21" s="2061"/>
      <c r="W21" s="2061"/>
      <c r="X21" s="2066" t="s">
        <v>2087</v>
      </c>
      <c r="Y21" s="2067"/>
      <c r="Z21" s="2067"/>
      <c r="AA21" s="2068"/>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2058" t="s">
        <v>2088</v>
      </c>
      <c r="U23" s="2059"/>
      <c r="V23" s="2059"/>
      <c r="W23" s="2059"/>
      <c r="X23" s="2063">
        <v>44469</v>
      </c>
      <c r="Y23" s="2064"/>
      <c r="Z23" s="2064"/>
      <c r="AA23" s="2065"/>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60942</v>
      </c>
      <c r="B25" s="1960"/>
      <c r="C25" s="1960"/>
      <c r="D25" s="1960"/>
      <c r="E25" s="1960"/>
      <c r="F25" s="1960"/>
      <c r="G25" s="1960"/>
      <c r="H25" s="1961"/>
      <c r="I25" s="113"/>
      <c r="J25" s="1984"/>
      <c r="K25" s="1984"/>
      <c r="L25" s="1984"/>
      <c r="M25" s="1984"/>
      <c r="N25" s="1984"/>
      <c r="O25" s="1984"/>
      <c r="P25" s="1984"/>
      <c r="Q25" s="1984"/>
      <c r="R25" s="1984"/>
      <c r="S25" s="1985"/>
      <c r="T25" s="2055" t="s">
        <v>2089</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2075</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2075</v>
      </c>
      <c r="C30" s="124" t="s">
        <v>1226</v>
      </c>
      <c r="D30" s="28"/>
      <c r="E30" s="28"/>
      <c r="F30" s="140"/>
      <c r="G30" s="114"/>
      <c r="H30" s="114"/>
      <c r="I30" s="54"/>
      <c r="J30" s="148" t="s">
        <v>2075</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2075</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2079</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2080</v>
      </c>
      <c r="B40" s="1974"/>
      <c r="C40" s="1975"/>
      <c r="D40" s="1975"/>
      <c r="E40" s="1975"/>
      <c r="F40" s="1976"/>
      <c r="G40" s="1976"/>
      <c r="H40" s="1977"/>
      <c r="I40" s="1998"/>
      <c r="J40" s="1999"/>
      <c r="K40" s="1999"/>
      <c r="L40" s="1999"/>
      <c r="M40" s="1999"/>
      <c r="N40" s="1999"/>
      <c r="O40" s="1999"/>
      <c r="P40" s="1999"/>
      <c r="Q40" s="1999"/>
      <c r="R40" s="1999"/>
      <c r="S40" s="2000"/>
      <c r="T40" s="1998"/>
      <c r="U40" s="2062"/>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2081</v>
      </c>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2075</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t="s">
        <v>2075</v>
      </c>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2090</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75844340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2.9600000000000001E-2</v>
      </c>
      <c r="E10" s="356" t="s">
        <v>1062</v>
      </c>
      <c r="F10" s="355">
        <v>5.0000000000000001E-3</v>
      </c>
      <c r="G10" s="356" t="s">
        <v>1062</v>
      </c>
      <c r="H10" s="355">
        <v>2E-3</v>
      </c>
      <c r="I10" s="356" t="s">
        <v>1063</v>
      </c>
      <c r="J10" s="1754">
        <f>ROUND(D10+F10+H10,5)</f>
        <v>3.6600000000000001E-2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13553578</v>
      </c>
      <c r="E16" s="356"/>
      <c r="F16" s="1755">
        <f>SUM('Acct Summary 7-8'!C17,'Acct Summary 7-8'!D17,'Acct Summary 7-8'!F17)</f>
        <v>12515435</v>
      </c>
      <c r="G16" s="356"/>
      <c r="H16" s="1755">
        <f>SUM(D16-F16)</f>
        <v>1038143</v>
      </c>
      <c r="I16" s="222"/>
      <c r="J16" s="1755">
        <f>SUM('Acct Summary 7-8'!C81,'Acct Summary 7-8'!D81,'Acct Summary 7-8'!F81,'Acct Summary 7-8'!I81)</f>
        <v>8389367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10466518.920000002</v>
      </c>
      <c r="I31" s="368"/>
      <c r="J31" s="222"/>
      <c r="K31" s="222"/>
      <c r="L31" s="222"/>
      <c r="M31" s="222"/>
    </row>
    <row r="32" spans="1:13" ht="13.35" customHeight="1" x14ac:dyDescent="0.2">
      <c r="B32" s="369" t="s">
        <v>2075</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414413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Hoopeston Area CUSD 11</v>
      </c>
      <c r="E7" s="391"/>
      <c r="G7" s="252"/>
      <c r="H7" s="387"/>
      <c r="I7" s="387"/>
      <c r="J7" s="387"/>
      <c r="K7" s="387"/>
      <c r="L7" s="329"/>
      <c r="M7" s="329"/>
      <c r="N7" s="329"/>
      <c r="O7" s="329"/>
      <c r="P7" s="329"/>
    </row>
    <row r="8" spans="1:18" ht="12.75" x14ac:dyDescent="0.2">
      <c r="A8" s="329"/>
      <c r="B8" s="329"/>
      <c r="C8" s="389" t="s">
        <v>1187</v>
      </c>
      <c r="D8" s="392">
        <f>COVER!A13</f>
        <v>54092011026</v>
      </c>
      <c r="E8" s="393"/>
      <c r="G8" s="329"/>
      <c r="H8" s="329"/>
      <c r="I8" s="329"/>
      <c r="J8" s="329"/>
      <c r="K8" s="329"/>
      <c r="L8" s="329"/>
      <c r="M8" s="329"/>
      <c r="N8" s="329"/>
      <c r="O8" s="329"/>
      <c r="P8" s="329"/>
    </row>
    <row r="9" spans="1:18" ht="12.75" x14ac:dyDescent="0.2">
      <c r="A9" s="329"/>
      <c r="B9" s="329"/>
      <c r="C9" s="389" t="s">
        <v>737</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8389367</v>
      </c>
      <c r="I12" s="404"/>
      <c r="J12" s="404"/>
      <c r="K12" s="405">
        <f>TRUNC((H12/H13*100000),5)/100000</f>
        <v>0.6189780292</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13553578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12515435</v>
      </c>
      <c r="I17" s="404"/>
      <c r="J17" s="416"/>
      <c r="K17" s="405">
        <f>TRUNC((H17/H18*100000),5)/100000</f>
        <v>0.92340450610000002</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13553578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8389367</v>
      </c>
      <c r="I24" s="422"/>
      <c r="J24" s="422"/>
      <c r="K24" s="423">
        <f>TRUNC(((H24/H25*100000)/100000),2)</f>
        <v>241.31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34765.097220000003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2359517.4174000002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414413</v>
      </c>
      <c r="I32" s="420"/>
      <c r="J32" s="420"/>
      <c r="K32" s="423">
        <f>TRUNC(100-((((H32/H33*100))*100)/100),2)</f>
        <v>96.04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10466518.920000002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5620930</v>
      </c>
      <c r="D4" s="466">
        <v>179883</v>
      </c>
      <c r="E4" s="466">
        <v>12968</v>
      </c>
      <c r="F4" s="466">
        <v>79424</v>
      </c>
      <c r="G4" s="466">
        <v>636742</v>
      </c>
      <c r="H4" s="466"/>
      <c r="I4" s="466">
        <v>2204130</v>
      </c>
      <c r="J4" s="467">
        <v>111092</v>
      </c>
      <c r="K4" s="466">
        <v>202755</v>
      </c>
      <c r="L4" s="466">
        <v>138749</v>
      </c>
      <c r="M4" s="468"/>
      <c r="N4" s="469"/>
    </row>
    <row r="5" spans="1:14" x14ac:dyDescent="0.2">
      <c r="A5" s="463" t="s">
        <v>1049</v>
      </c>
      <c r="B5" s="470">
        <v>120</v>
      </c>
      <c r="C5" s="465">
        <v>305000</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5925930</v>
      </c>
      <c r="D13" s="1759">
        <f t="shared" ref="D13:L13" si="0">SUM(D4:D12)</f>
        <v>179883</v>
      </c>
      <c r="E13" s="1759">
        <f t="shared" si="0"/>
        <v>12968</v>
      </c>
      <c r="F13" s="1759">
        <f t="shared" si="0"/>
        <v>79424</v>
      </c>
      <c r="G13" s="1759">
        <f t="shared" si="0"/>
        <v>636742</v>
      </c>
      <c r="H13" s="1759">
        <f t="shared" si="0"/>
        <v>0</v>
      </c>
      <c r="I13" s="1759">
        <f t="shared" si="0"/>
        <v>2204130</v>
      </c>
      <c r="J13" s="1759">
        <f t="shared" si="0"/>
        <v>111092</v>
      </c>
      <c r="K13" s="1759">
        <f t="shared" si="0"/>
        <v>202755</v>
      </c>
      <c r="L13" s="1759">
        <f t="shared" si="0"/>
        <v>138749</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218431</v>
      </c>
      <c r="N16" s="484"/>
    </row>
    <row r="17" spans="1:14" s="485" customFormat="1" ht="12.75" customHeight="1" x14ac:dyDescent="0.2">
      <c r="A17" s="482" t="s">
        <v>1470</v>
      </c>
      <c r="B17" s="483">
        <v>230</v>
      </c>
      <c r="C17" s="477"/>
      <c r="D17" s="477"/>
      <c r="E17" s="477"/>
      <c r="F17" s="477"/>
      <c r="G17" s="477"/>
      <c r="H17" s="477"/>
      <c r="I17" s="477"/>
      <c r="J17" s="477"/>
      <c r="K17" s="477"/>
      <c r="L17" s="477"/>
      <c r="M17" s="467">
        <v>6854157</v>
      </c>
      <c r="N17" s="484"/>
    </row>
    <row r="18" spans="1:14" s="485" customFormat="1" ht="12.75" customHeight="1" x14ac:dyDescent="0.2">
      <c r="A18" s="482" t="s">
        <v>1471</v>
      </c>
      <c r="B18" s="483">
        <v>240</v>
      </c>
      <c r="C18" s="477"/>
      <c r="D18" s="477"/>
      <c r="E18" s="477"/>
      <c r="F18" s="477"/>
      <c r="G18" s="477"/>
      <c r="H18" s="477"/>
      <c r="I18" s="477"/>
      <c r="J18" s="477"/>
      <c r="K18" s="477"/>
      <c r="L18" s="477"/>
      <c r="M18" s="467">
        <v>2725535</v>
      </c>
      <c r="N18" s="484"/>
    </row>
    <row r="19" spans="1:14" s="485" customFormat="1" ht="12.75" customHeight="1" x14ac:dyDescent="0.2">
      <c r="A19" s="482" t="s">
        <v>1472</v>
      </c>
      <c r="B19" s="483">
        <v>250</v>
      </c>
      <c r="C19" s="477"/>
      <c r="D19" s="477"/>
      <c r="E19" s="477"/>
      <c r="F19" s="477"/>
      <c r="G19" s="477"/>
      <c r="H19" s="477"/>
      <c r="I19" s="477"/>
      <c r="J19" s="477"/>
      <c r="K19" s="477"/>
      <c r="L19" s="477"/>
      <c r="M19" s="467">
        <v>6015961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12968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401445</v>
      </c>
    </row>
    <row r="23" spans="1:14" ht="13.5" customHeight="1" thickBot="1" x14ac:dyDescent="0.25">
      <c r="A23" s="1758" t="s">
        <v>664</v>
      </c>
      <c r="B23" s="1763"/>
      <c r="C23" s="468"/>
      <c r="D23" s="468"/>
      <c r="E23" s="468"/>
      <c r="F23" s="468"/>
      <c r="G23" s="468"/>
      <c r="H23" s="468"/>
      <c r="I23" s="468"/>
      <c r="J23" s="468"/>
      <c r="K23" s="468"/>
      <c r="L23" s="468"/>
      <c r="M23" s="1710">
        <f>SUM(M15:M22)</f>
        <v>15814084</v>
      </c>
      <c r="N23" s="1710">
        <f>SUM(N21:N22)</f>
        <v>414413</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138749</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138749</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414413</v>
      </c>
    </row>
    <row r="37" spans="1:14" ht="13.5" thickBot="1" x14ac:dyDescent="0.25">
      <c r="A37" s="1758" t="s">
        <v>674</v>
      </c>
      <c r="B37" s="1763"/>
      <c r="C37" s="477"/>
      <c r="D37" s="477"/>
      <c r="E37" s="477"/>
      <c r="F37" s="477"/>
      <c r="G37" s="477"/>
      <c r="H37" s="477"/>
      <c r="I37" s="477"/>
      <c r="J37" s="477"/>
      <c r="K37" s="477"/>
      <c r="L37" s="480"/>
      <c r="M37" s="468"/>
      <c r="N37" s="1710">
        <f>SUM(N36:N36)</f>
        <v>414413</v>
      </c>
    </row>
    <row r="38" spans="1:14" s="329" customFormat="1" ht="13.5" customHeight="1" thickTop="1" x14ac:dyDescent="0.2">
      <c r="A38" s="496" t="s">
        <v>440</v>
      </c>
      <c r="B38" s="483">
        <v>714</v>
      </c>
      <c r="C38" s="466">
        <v>15137</v>
      </c>
      <c r="D38" s="466"/>
      <c r="E38" s="466"/>
      <c r="F38" s="466"/>
      <c r="G38" s="466">
        <v>636742</v>
      </c>
      <c r="H38" s="466"/>
      <c r="I38" s="466"/>
      <c r="J38" s="467"/>
      <c r="K38" s="466"/>
      <c r="L38" s="481"/>
      <c r="M38" s="497"/>
      <c r="N38" s="497"/>
    </row>
    <row r="39" spans="1:14" s="329" customFormat="1" ht="13.5" customHeight="1" x14ac:dyDescent="0.2">
      <c r="A39" s="496" t="s">
        <v>360</v>
      </c>
      <c r="B39" s="483">
        <v>730</v>
      </c>
      <c r="C39" s="466">
        <v>5910793</v>
      </c>
      <c r="D39" s="466">
        <v>179883</v>
      </c>
      <c r="E39" s="466">
        <v>12968</v>
      </c>
      <c r="F39" s="466">
        <v>79424</v>
      </c>
      <c r="G39" s="466"/>
      <c r="H39" s="466"/>
      <c r="I39" s="466">
        <v>2204130</v>
      </c>
      <c r="J39" s="467">
        <v>111092</v>
      </c>
      <c r="K39" s="466">
        <v>202755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15814084</v>
      </c>
      <c r="N40" s="497"/>
    </row>
    <row r="41" spans="1:14" ht="13.5" customHeight="1" thickBot="1" x14ac:dyDescent="0.25">
      <c r="A41" s="1758" t="s">
        <v>676</v>
      </c>
      <c r="B41" s="1728"/>
      <c r="C41" s="1710">
        <f>(SUM(C34,C37,C38,C39))</f>
        <v>5925930</v>
      </c>
      <c r="D41" s="1710">
        <f t="shared" ref="D41:L41" si="2">SUM(D34,D37,D38:D39)</f>
        <v>179883</v>
      </c>
      <c r="E41" s="1710">
        <f t="shared" si="2"/>
        <v>12968</v>
      </c>
      <c r="F41" s="1710">
        <f t="shared" si="2"/>
        <v>79424</v>
      </c>
      <c r="G41" s="1710">
        <f t="shared" si="2"/>
        <v>636742</v>
      </c>
      <c r="H41" s="1710">
        <f t="shared" si="2"/>
        <v>0</v>
      </c>
      <c r="I41" s="1710">
        <f t="shared" si="2"/>
        <v>2204130</v>
      </c>
      <c r="J41" s="1710">
        <f t="shared" si="2"/>
        <v>111092</v>
      </c>
      <c r="K41" s="1710">
        <f t="shared" si="2"/>
        <v>202755</v>
      </c>
      <c r="L41" s="1710">
        <f t="shared" si="2"/>
        <v>138749</v>
      </c>
      <c r="M41" s="1710">
        <f>SUM(M40)</f>
        <v>15814084</v>
      </c>
      <c r="N41" s="1710">
        <f>SUM(N37)</f>
        <v>414413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3342804</v>
      </c>
      <c r="D4" s="1764">
        <f>'Revenues 9-14'!D109</f>
        <v>672284</v>
      </c>
      <c r="E4" s="1764">
        <f>'Revenues 9-14'!E109</f>
        <v>311189</v>
      </c>
      <c r="F4" s="1764">
        <f>'Revenues 9-14'!F109</f>
        <v>171686</v>
      </c>
      <c r="G4" s="1764">
        <f>'Revenues 9-14'!G109</f>
        <v>425046</v>
      </c>
      <c r="H4" s="1764">
        <f>'Revenues 9-14'!H109</f>
        <v>0</v>
      </c>
      <c r="I4" s="1764">
        <f>'Revenues 9-14'!I109</f>
        <v>66807</v>
      </c>
      <c r="J4" s="1764">
        <f>'Revenues 9-14'!J109</f>
        <v>220381</v>
      </c>
      <c r="K4" s="1764">
        <f>'Revenues 9-14'!K109</f>
        <v>39243</v>
      </c>
      <c r="L4" s="347"/>
    </row>
    <row r="5" spans="1:13" ht="15.75" customHeight="1" x14ac:dyDescent="0.2">
      <c r="A5" s="1598" t="s">
        <v>1580</v>
      </c>
      <c r="B5" s="1599">
        <v>2000</v>
      </c>
      <c r="C5" s="1765">
        <f>'Revenues 9-14'!C114</f>
        <v>46742</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7784261</v>
      </c>
      <c r="D6" s="1765">
        <f>'Revenues 9-14'!D173</f>
        <v>0</v>
      </c>
      <c r="E6" s="1765">
        <f>'Revenues 9-14'!E173</f>
        <v>0</v>
      </c>
      <c r="F6" s="1765">
        <f>'Revenues 9-14'!F173</f>
        <v>346958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1122036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12295843</v>
      </c>
      <c r="D8" s="1710">
        <f t="shared" ref="D8:K8" si="0">SUM(D4:D7)</f>
        <v>672284</v>
      </c>
      <c r="E8" s="1710">
        <f t="shared" si="0"/>
        <v>311189</v>
      </c>
      <c r="F8" s="1710">
        <f t="shared" si="0"/>
        <v>518644</v>
      </c>
      <c r="G8" s="1710">
        <f t="shared" si="0"/>
        <v>425046</v>
      </c>
      <c r="H8" s="1710">
        <f t="shared" si="0"/>
        <v>0</v>
      </c>
      <c r="I8" s="1710">
        <f t="shared" si="0"/>
        <v>66807</v>
      </c>
      <c r="J8" s="1710">
        <f t="shared" si="0"/>
        <v>220381</v>
      </c>
      <c r="K8" s="1710">
        <f t="shared" si="0"/>
        <v>39243</v>
      </c>
      <c r="L8" s="347"/>
    </row>
    <row r="9" spans="1:13" ht="15.75" thickTop="1" x14ac:dyDescent="0.2">
      <c r="A9" s="514" t="s">
        <v>1752</v>
      </c>
      <c r="B9" s="515">
        <v>3998</v>
      </c>
      <c r="C9" s="481">
        <v>5013472</v>
      </c>
      <c r="D9" s="516"/>
      <c r="E9" s="481"/>
      <c r="F9" s="481"/>
      <c r="G9" s="517"/>
      <c r="H9" s="481"/>
      <c r="I9" s="509" t="s">
        <v>1231</v>
      </c>
      <c r="J9" s="478"/>
      <c r="K9" s="481"/>
      <c r="L9" s="347"/>
    </row>
    <row r="10" spans="1:13" s="519" customFormat="1" ht="13.5" thickBot="1" x14ac:dyDescent="0.25">
      <c r="A10" s="1758" t="s">
        <v>1235</v>
      </c>
      <c r="B10" s="1731"/>
      <c r="C10" s="1710">
        <f>SUM(C8:C9)</f>
        <v>17309315</v>
      </c>
      <c r="D10" s="1710">
        <f t="shared" ref="D10:K10" si="1">SUM(D8:D9)</f>
        <v>672284</v>
      </c>
      <c r="E10" s="1710">
        <f t="shared" si="1"/>
        <v>311189</v>
      </c>
      <c r="F10" s="1710">
        <f t="shared" si="1"/>
        <v>518644</v>
      </c>
      <c r="G10" s="1710">
        <f t="shared" si="1"/>
        <v>425046</v>
      </c>
      <c r="H10" s="1710">
        <f t="shared" si="1"/>
        <v>0</v>
      </c>
      <c r="I10" s="1710">
        <f t="shared" si="1"/>
        <v>66807</v>
      </c>
      <c r="J10" s="1710">
        <f t="shared" si="1"/>
        <v>220381</v>
      </c>
      <c r="K10" s="1710">
        <f t="shared" si="1"/>
        <v>39243</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7431716</v>
      </c>
      <c r="D12" s="520" t="s">
        <v>1231</v>
      </c>
      <c r="E12" s="468" t="s">
        <v>1231</v>
      </c>
      <c r="F12" s="468" t="s">
        <v>1231</v>
      </c>
      <c r="G12" s="1764">
        <f>'Expenditures 15-22'!K229</f>
        <v>186630</v>
      </c>
      <c r="H12" s="521"/>
      <c r="I12" s="468" t="s">
        <v>1231</v>
      </c>
      <c r="J12" s="468" t="s">
        <v>1231</v>
      </c>
      <c r="K12" s="521" t="s">
        <v>1231</v>
      </c>
      <c r="L12" s="347"/>
    </row>
    <row r="13" spans="1:13" ht="15.75" customHeight="1" x14ac:dyDescent="0.2">
      <c r="A13" s="1598" t="s">
        <v>477</v>
      </c>
      <c r="B13" s="1600">
        <v>2000</v>
      </c>
      <c r="C13" s="1765">
        <f>'Expenditures 15-22'!K74</f>
        <v>3663548</v>
      </c>
      <c r="D13" s="1765">
        <f>'Expenditures 15-22'!K129</f>
        <v>724011</v>
      </c>
      <c r="E13" s="469" t="s">
        <v>1231</v>
      </c>
      <c r="F13" s="1765">
        <f>'Expenditures 15-22'!K184</f>
        <v>560132</v>
      </c>
      <c r="G13" s="1765">
        <f>'Expenditures 15-22'!K279</f>
        <v>233437</v>
      </c>
      <c r="H13" s="1765">
        <f>'Expenditures 15-22'!K303</f>
        <v>0</v>
      </c>
      <c r="I13" s="468" t="s">
        <v>1231</v>
      </c>
      <c r="J13" s="1765">
        <f>'Expenditures 15-22'!K330</f>
        <v>233536</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105641</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310588</v>
      </c>
      <c r="F16" s="1765">
        <f>'Expenditures 15-22'!K208</f>
        <v>30387</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11200905</v>
      </c>
      <c r="D17" s="1710">
        <f t="shared" si="2"/>
        <v>724011</v>
      </c>
      <c r="E17" s="1710">
        <f t="shared" si="2"/>
        <v>310588</v>
      </c>
      <c r="F17" s="1710">
        <f t="shared" si="2"/>
        <v>590519</v>
      </c>
      <c r="G17" s="1710">
        <f t="shared" si="2"/>
        <v>420067</v>
      </c>
      <c r="H17" s="1710">
        <f t="shared" si="2"/>
        <v>0</v>
      </c>
      <c r="I17" s="468"/>
      <c r="J17" s="1710">
        <f>SUM(J12:J16)</f>
        <v>233536</v>
      </c>
      <c r="K17" s="1710">
        <f>SUM(K12:K16)</f>
        <v>0</v>
      </c>
      <c r="L17" s="347"/>
    </row>
    <row r="18" spans="1:12" ht="15" customHeight="1" thickTop="1" x14ac:dyDescent="0.2">
      <c r="A18" s="1766" t="s">
        <v>1753</v>
      </c>
      <c r="B18" s="1767">
        <v>4180</v>
      </c>
      <c r="C18" s="1764">
        <f t="shared" ref="C18:H18" si="3">C9</f>
        <v>5013472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16214377</v>
      </c>
      <c r="D19" s="1710">
        <f t="shared" si="4"/>
        <v>724011</v>
      </c>
      <c r="E19" s="1710">
        <f t="shared" si="4"/>
        <v>310588</v>
      </c>
      <c r="F19" s="1710">
        <f t="shared" si="4"/>
        <v>590519</v>
      </c>
      <c r="G19" s="1710">
        <f t="shared" si="4"/>
        <v>420067</v>
      </c>
      <c r="H19" s="1710">
        <f t="shared" si="4"/>
        <v>0</v>
      </c>
      <c r="I19" s="468"/>
      <c r="J19" s="1710">
        <f>SUM(J17:J18)</f>
        <v>233536</v>
      </c>
      <c r="K19" s="1710">
        <f>SUM(K17:K18)</f>
        <v>0</v>
      </c>
      <c r="L19" s="347"/>
    </row>
    <row r="20" spans="1:12" ht="16.5" thickTop="1" thickBot="1" x14ac:dyDescent="0.25">
      <c r="A20" s="2145" t="s">
        <v>1754</v>
      </c>
      <c r="B20" s="2146"/>
      <c r="C20" s="1768">
        <f>C8-C17</f>
        <v>1094938</v>
      </c>
      <c r="D20" s="1768">
        <f t="shared" ref="D20:K20" si="5">D8-D17</f>
        <v>-51727</v>
      </c>
      <c r="E20" s="1768">
        <f t="shared" si="5"/>
        <v>601</v>
      </c>
      <c r="F20" s="1768">
        <f t="shared" si="5"/>
        <v>-71875</v>
      </c>
      <c r="G20" s="1768">
        <f t="shared" si="5"/>
        <v>4979</v>
      </c>
      <c r="H20" s="1768">
        <f t="shared" si="5"/>
        <v>0</v>
      </c>
      <c r="I20" s="1768">
        <f t="shared" si="5"/>
        <v>66807</v>
      </c>
      <c r="J20" s="1768">
        <f t="shared" si="5"/>
        <v>-13155</v>
      </c>
      <c r="K20" s="1768">
        <f t="shared" si="5"/>
        <v>39243</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v>139800</v>
      </c>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139800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139800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1094938</v>
      </c>
      <c r="D78" s="1724">
        <f t="shared" si="9"/>
        <v>-51727</v>
      </c>
      <c r="E78" s="1724">
        <f t="shared" si="9"/>
        <v>601</v>
      </c>
      <c r="F78" s="1724">
        <f t="shared" si="9"/>
        <v>67925</v>
      </c>
      <c r="G78" s="1724">
        <f t="shared" si="9"/>
        <v>4979</v>
      </c>
      <c r="H78" s="1724">
        <f t="shared" si="9"/>
        <v>0</v>
      </c>
      <c r="I78" s="1724">
        <f t="shared" si="9"/>
        <v>66807</v>
      </c>
      <c r="J78" s="1724">
        <f t="shared" si="9"/>
        <v>-13155</v>
      </c>
      <c r="K78" s="1724">
        <f t="shared" si="9"/>
        <v>39243</v>
      </c>
      <c r="L78" s="533"/>
    </row>
    <row r="79" spans="1:12" ht="13.5" thickTop="1" x14ac:dyDescent="0.2">
      <c r="A79" s="1516" t="s">
        <v>2069</v>
      </c>
      <c r="B79" s="534"/>
      <c r="C79" s="478">
        <v>4830992</v>
      </c>
      <c r="D79" s="535">
        <v>231610</v>
      </c>
      <c r="E79" s="535">
        <v>12367</v>
      </c>
      <c r="F79" s="535">
        <v>11499</v>
      </c>
      <c r="G79" s="535">
        <v>631763</v>
      </c>
      <c r="H79" s="535">
        <v>0</v>
      </c>
      <c r="I79" s="535">
        <v>2137323</v>
      </c>
      <c r="J79" s="535">
        <v>124247</v>
      </c>
      <c r="K79" s="535">
        <v>163512</v>
      </c>
      <c r="L79" s="347"/>
    </row>
    <row r="80" spans="1:12" x14ac:dyDescent="0.2">
      <c r="A80" s="2147" t="s">
        <v>1896</v>
      </c>
      <c r="B80" s="2148"/>
      <c r="C80" s="467"/>
      <c r="D80" s="467"/>
      <c r="E80" s="467"/>
      <c r="F80" s="467"/>
      <c r="G80" s="467"/>
      <c r="H80" s="467"/>
      <c r="I80" s="467"/>
      <c r="J80" s="467"/>
      <c r="K80" s="467"/>
      <c r="L80" s="347"/>
    </row>
    <row r="81" spans="1:12" ht="13.5" thickBot="1" x14ac:dyDescent="0.25">
      <c r="A81" s="2139" t="s">
        <v>2070</v>
      </c>
      <c r="B81" s="2140"/>
      <c r="C81" s="1710">
        <f>(SUM(C78:C80))</f>
        <v>5925930</v>
      </c>
      <c r="D81" s="1710">
        <f>SUM(D78:D80)</f>
        <v>179883</v>
      </c>
      <c r="E81" s="1710">
        <f t="shared" ref="E81:K81" si="10">SUM(E78:E80)</f>
        <v>12968</v>
      </c>
      <c r="F81" s="1710">
        <f t="shared" si="10"/>
        <v>79424</v>
      </c>
      <c r="G81" s="1710">
        <f t="shared" si="10"/>
        <v>636742</v>
      </c>
      <c r="H81" s="1710">
        <f t="shared" si="10"/>
        <v>0</v>
      </c>
      <c r="I81" s="1710">
        <f t="shared" si="10"/>
        <v>2204130</v>
      </c>
      <c r="J81" s="1710">
        <f t="shared" si="10"/>
        <v>111092</v>
      </c>
      <c r="K81" s="1710">
        <f t="shared" si="10"/>
        <v>202755</v>
      </c>
      <c r="L81" s="347"/>
    </row>
    <row r="82" spans="1:12" ht="0.75" customHeight="1" thickTop="1" thickBot="1" x14ac:dyDescent="0.25">
      <c r="A82" s="536" t="s">
        <v>361</v>
      </c>
      <c r="B82" s="537"/>
      <c r="C82" s="538">
        <f>(C81-C79)</f>
        <v>1094938</v>
      </c>
      <c r="D82" s="538">
        <f t="shared" ref="D82:K82" si="11">(D81-D79)</f>
        <v>-51727</v>
      </c>
      <c r="E82" s="538">
        <f t="shared" si="11"/>
        <v>601</v>
      </c>
      <c r="F82" s="538">
        <f t="shared" si="11"/>
        <v>67925</v>
      </c>
      <c r="G82" s="538">
        <f t="shared" si="11"/>
        <v>4979</v>
      </c>
      <c r="H82" s="538">
        <f t="shared" si="11"/>
        <v>0</v>
      </c>
      <c r="I82" s="538">
        <f t="shared" si="11"/>
        <v>66807</v>
      </c>
      <c r="J82" s="538">
        <f t="shared" si="11"/>
        <v>-13155</v>
      </c>
      <c r="K82" s="538">
        <f t="shared" si="11"/>
        <v>39243</v>
      </c>
    </row>
    <row r="83" spans="1:12" ht="14.25" hidden="1" thickTop="1" thickBot="1" x14ac:dyDescent="0.25">
      <c r="A83" s="539" t="s">
        <v>362</v>
      </c>
      <c r="B83" s="464"/>
      <c r="C83" s="540">
        <f>C82/C81</f>
        <v>0.18477066047017093</v>
      </c>
      <c r="D83" s="540">
        <f t="shared" ref="D83:K83" si="12">D82/D81</f>
        <v>-0.28755913566040148</v>
      </c>
      <c r="E83" s="540">
        <f t="shared" si="12"/>
        <v>4.6344848858729179E-2</v>
      </c>
      <c r="F83" s="540">
        <f t="shared" si="12"/>
        <v>0.85522008460918619</v>
      </c>
      <c r="G83" s="540">
        <f t="shared" si="12"/>
        <v>7.8194936096566588E-3</v>
      </c>
      <c r="H83" s="540" t="e">
        <f t="shared" si="12"/>
        <v>#DIV/0!</v>
      </c>
      <c r="I83" s="540">
        <f t="shared" si="12"/>
        <v>3.0309918199017301E-2</v>
      </c>
      <c r="J83" s="540">
        <f t="shared" si="12"/>
        <v>-0.11841536744320023</v>
      </c>
      <c r="K83" s="540">
        <f t="shared" si="12"/>
        <v>0.1935488643929866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1903</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2159628</v>
      </c>
      <c r="D5" s="481">
        <v>364754</v>
      </c>
      <c r="E5" s="466">
        <v>306891</v>
      </c>
      <c r="F5" s="548">
        <v>145902</v>
      </c>
      <c r="G5" s="466">
        <v>206869</v>
      </c>
      <c r="H5" s="466"/>
      <c r="I5" s="466">
        <v>36474</v>
      </c>
      <c r="J5" s="467">
        <v>218845</v>
      </c>
      <c r="K5" s="466">
        <v>36474</v>
      </c>
    </row>
    <row r="6" spans="1:12" ht="15" x14ac:dyDescent="0.2">
      <c r="A6" s="463" t="s">
        <v>1761</v>
      </c>
      <c r="B6" s="470">
        <v>1130</v>
      </c>
      <c r="C6" s="466">
        <v>36605</v>
      </c>
      <c r="D6" s="466"/>
      <c r="E6" s="475"/>
      <c r="F6" s="475"/>
      <c r="G6" s="468"/>
      <c r="H6" s="468"/>
      <c r="I6" s="468"/>
      <c r="J6" s="468"/>
      <c r="K6" s="468"/>
    </row>
    <row r="7" spans="1:12" x14ac:dyDescent="0.2">
      <c r="A7" s="463" t="s">
        <v>112</v>
      </c>
      <c r="B7" s="549">
        <v>1140</v>
      </c>
      <c r="C7" s="466">
        <v>29285</v>
      </c>
      <c r="D7" s="466"/>
      <c r="E7" s="468"/>
      <c r="F7" s="467"/>
      <c r="G7" s="467"/>
      <c r="H7" s="467"/>
      <c r="I7" s="468"/>
      <c r="J7" s="468"/>
      <c r="K7" s="468"/>
    </row>
    <row r="8" spans="1:12" x14ac:dyDescent="0.2">
      <c r="A8" s="463" t="s">
        <v>433</v>
      </c>
      <c r="B8" s="470">
        <v>1150</v>
      </c>
      <c r="C8" s="475"/>
      <c r="D8" s="475"/>
      <c r="E8" s="477"/>
      <c r="F8" s="477"/>
      <c r="G8" s="481">
        <v>206869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2225518</v>
      </c>
      <c r="D12" s="1729">
        <f t="shared" si="0"/>
        <v>364754</v>
      </c>
      <c r="E12" s="1729">
        <f t="shared" si="0"/>
        <v>306891</v>
      </c>
      <c r="F12" s="1729">
        <f t="shared" si="0"/>
        <v>145902</v>
      </c>
      <c r="G12" s="1729">
        <f t="shared" si="0"/>
        <v>413738</v>
      </c>
      <c r="H12" s="1729">
        <f t="shared" si="0"/>
        <v>0</v>
      </c>
      <c r="I12" s="1729">
        <f t="shared" si="0"/>
        <v>36474</v>
      </c>
      <c r="J12" s="1729">
        <f t="shared" si="0"/>
        <v>218845</v>
      </c>
      <c r="K12" s="1710">
        <f t="shared" si="0"/>
        <v>36474</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170</v>
      </c>
      <c r="D14" s="466">
        <v>28</v>
      </c>
      <c r="E14" s="466">
        <v>23</v>
      </c>
      <c r="F14" s="466">
        <v>11</v>
      </c>
      <c r="G14" s="466">
        <v>31</v>
      </c>
      <c r="H14" s="466"/>
      <c r="I14" s="466">
        <v>3</v>
      </c>
      <c r="J14" s="467">
        <v>17</v>
      </c>
      <c r="K14" s="466">
        <v>3</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339671</v>
      </c>
      <c r="D16" s="466">
        <v>191178</v>
      </c>
      <c r="E16" s="466"/>
      <c r="F16" s="466">
        <v>15000</v>
      </c>
      <c r="G16" s="466">
        <v>2500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339841</v>
      </c>
      <c r="D18" s="1732">
        <f t="shared" ref="D18:K18" si="1">SUM(D14:D17)</f>
        <v>191206</v>
      </c>
      <c r="E18" s="1732">
        <f t="shared" si="1"/>
        <v>23</v>
      </c>
      <c r="F18" s="1732">
        <f t="shared" si="1"/>
        <v>15011</v>
      </c>
      <c r="G18" s="1732">
        <f t="shared" si="1"/>
        <v>2531</v>
      </c>
      <c r="H18" s="1732">
        <f t="shared" si="1"/>
        <v>0</v>
      </c>
      <c r="I18" s="1732">
        <f t="shared" si="1"/>
        <v>3</v>
      </c>
      <c r="J18" s="1732">
        <f t="shared" si="1"/>
        <v>17</v>
      </c>
      <c r="K18" s="1733">
        <f t="shared" si="1"/>
        <v>3</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v>184009</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184009</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81389</v>
      </c>
      <c r="D65" s="466">
        <v>2854</v>
      </c>
      <c r="E65" s="466">
        <v>4275</v>
      </c>
      <c r="F65" s="467">
        <v>273</v>
      </c>
      <c r="G65" s="466">
        <v>8777</v>
      </c>
      <c r="H65" s="466"/>
      <c r="I65" s="466">
        <v>30330</v>
      </c>
      <c r="J65" s="467">
        <v>1519</v>
      </c>
      <c r="K65" s="466">
        <v>2766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81389</v>
      </c>
      <c r="D67" s="1710">
        <f t="shared" ref="D67:K67" si="2">SUM(D65:D66)</f>
        <v>2854</v>
      </c>
      <c r="E67" s="1710">
        <f t="shared" si="2"/>
        <v>4275</v>
      </c>
      <c r="F67" s="1710">
        <f t="shared" si="2"/>
        <v>273</v>
      </c>
      <c r="G67" s="1710">
        <f t="shared" si="2"/>
        <v>8777</v>
      </c>
      <c r="H67" s="1710">
        <f t="shared" si="2"/>
        <v>0</v>
      </c>
      <c r="I67" s="1710">
        <f t="shared" si="2"/>
        <v>30330</v>
      </c>
      <c r="J67" s="1710">
        <f t="shared" si="2"/>
        <v>1519</v>
      </c>
      <c r="K67" s="1710">
        <f t="shared" si="2"/>
        <v>2766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19780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3106</v>
      </c>
      <c r="D73" s="468"/>
      <c r="E73" s="468"/>
      <c r="F73" s="468"/>
      <c r="G73" s="468"/>
      <c r="H73" s="468"/>
      <c r="I73" s="468"/>
      <c r="J73" s="468"/>
      <c r="K73" s="468"/>
    </row>
    <row r="74" spans="1:11" ht="12.75" customHeight="1" x14ac:dyDescent="0.2">
      <c r="A74" s="463" t="s">
        <v>25</v>
      </c>
      <c r="B74" s="470">
        <v>1690</v>
      </c>
      <c r="C74" s="551">
        <v>3855</v>
      </c>
      <c r="D74" s="468"/>
      <c r="E74" s="468"/>
      <c r="F74" s="468"/>
      <c r="G74" s="468"/>
      <c r="H74" s="468"/>
      <c r="I74" s="468"/>
      <c r="J74" s="468"/>
      <c r="K74" s="468"/>
    </row>
    <row r="75" spans="1:11" ht="12.75" customHeight="1" thickBot="1" x14ac:dyDescent="0.25">
      <c r="A75" s="1730" t="s">
        <v>569</v>
      </c>
      <c r="B75" s="1731"/>
      <c r="C75" s="1710">
        <f>SUM(C69:C74)</f>
        <v>26741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14548</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9030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1064</v>
      </c>
      <c r="D81" s="466"/>
      <c r="E81" s="468"/>
      <c r="F81" s="468"/>
      <c r="G81" s="468"/>
      <c r="H81" s="468"/>
      <c r="I81" s="468"/>
      <c r="J81" s="468"/>
      <c r="K81" s="468"/>
    </row>
    <row r="82" spans="1:11" ht="12.75" customHeight="1" thickBot="1" x14ac:dyDescent="0.25">
      <c r="A82" s="1730" t="s">
        <v>259</v>
      </c>
      <c r="B82" s="1731"/>
      <c r="C82" s="1729">
        <f>SUM(C77:C81)</f>
        <v>24642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25581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25581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4012</v>
      </c>
      <c r="D95" s="551"/>
      <c r="E95" s="521"/>
      <c r="F95" s="521"/>
      <c r="G95" s="521"/>
      <c r="H95" s="521"/>
      <c r="I95" s="521"/>
      <c r="J95" s="521"/>
      <c r="K95" s="521"/>
    </row>
    <row r="96" spans="1:11" ht="12.75" customHeight="1" x14ac:dyDescent="0.2">
      <c r="A96" s="463" t="s">
        <v>409</v>
      </c>
      <c r="B96" s="470">
        <v>1920</v>
      </c>
      <c r="C96" s="551">
        <v>164501</v>
      </c>
      <c r="D96" s="551">
        <v>60000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86034</v>
      </c>
      <c r="D99" s="466"/>
      <c r="E99" s="466"/>
      <c r="F99" s="466"/>
      <c r="G99" s="466"/>
      <c r="H99" s="466"/>
      <c r="I99" s="468"/>
      <c r="J99" s="467"/>
      <c r="K99" s="466"/>
    </row>
    <row r="100" spans="1:12" ht="12.75" customHeight="1" x14ac:dyDescent="0.2">
      <c r="A100" s="463" t="s">
        <v>263</v>
      </c>
      <c r="B100" s="470">
        <v>1960</v>
      </c>
      <c r="C100" s="489"/>
      <c r="D100" s="489">
        <v>50000</v>
      </c>
      <c r="E100" s="489"/>
      <c r="F100" s="489"/>
      <c r="G100" s="489"/>
      <c r="H100" s="489"/>
      <c r="I100" s="467"/>
      <c r="J100" s="489"/>
      <c r="K100" s="467"/>
    </row>
    <row r="101" spans="1:12" ht="12.75" customHeight="1" x14ac:dyDescent="0.2">
      <c r="A101" s="463" t="s">
        <v>264</v>
      </c>
      <c r="B101" s="470">
        <v>1970</v>
      </c>
      <c r="C101" s="489">
        <v>3750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176786</v>
      </c>
      <c r="D107" s="466">
        <v>3470</v>
      </c>
      <c r="E107" s="466"/>
      <c r="F107" s="466">
        <v>10500</v>
      </c>
      <c r="G107" s="466"/>
      <c r="H107" s="466"/>
      <c r="I107" s="466"/>
      <c r="J107" s="467"/>
      <c r="K107" s="466"/>
    </row>
    <row r="108" spans="1:12" ht="12.75" customHeight="1" thickBot="1" x14ac:dyDescent="0.25">
      <c r="A108" s="1730" t="s">
        <v>508</v>
      </c>
      <c r="B108" s="1734"/>
      <c r="C108" s="1729">
        <f>SUM(C95:C107)</f>
        <v>435083</v>
      </c>
      <c r="D108" s="1729">
        <f t="shared" ref="D108:K108" si="3">SUM(D95:D107)</f>
        <v>113470</v>
      </c>
      <c r="E108" s="1729">
        <f t="shared" si="3"/>
        <v>0</v>
      </c>
      <c r="F108" s="1729">
        <f t="shared" si="3"/>
        <v>10500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3342804</v>
      </c>
      <c r="D109" s="1737">
        <f t="shared" si="4"/>
        <v>672284</v>
      </c>
      <c r="E109" s="1737">
        <f t="shared" si="4"/>
        <v>311189</v>
      </c>
      <c r="F109" s="1737">
        <f t="shared" si="4"/>
        <v>171686</v>
      </c>
      <c r="G109" s="1737">
        <f t="shared" si="4"/>
        <v>425046</v>
      </c>
      <c r="H109" s="1737">
        <f t="shared" si="4"/>
        <v>0</v>
      </c>
      <c r="I109" s="1737">
        <f t="shared" si="4"/>
        <v>66807</v>
      </c>
      <c r="J109" s="1737">
        <f t="shared" si="4"/>
        <v>220381</v>
      </c>
      <c r="K109" s="1724">
        <f t="shared" si="4"/>
        <v>39243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v>46742</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46742</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6879643</v>
      </c>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6879643</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516470</v>
      </c>
      <c r="D124" s="561"/>
      <c r="E124" s="468"/>
      <c r="F124" s="548"/>
      <c r="G124" s="468"/>
      <c r="H124" s="468"/>
      <c r="I124" s="468"/>
      <c r="J124" s="468"/>
      <c r="K124" s="468"/>
    </row>
    <row r="125" spans="1:11" ht="12.75" customHeight="1" x14ac:dyDescent="0.2">
      <c r="A125" s="463" t="s">
        <v>1521</v>
      </c>
      <c r="B125" s="562">
        <v>3105</v>
      </c>
      <c r="C125" s="466">
        <v>88289</v>
      </c>
      <c r="D125" s="561"/>
      <c r="E125" s="468"/>
      <c r="F125" s="466"/>
      <c r="G125" s="468"/>
      <c r="H125" s="468"/>
      <c r="I125" s="468"/>
      <c r="J125" s="468"/>
      <c r="K125" s="468"/>
    </row>
    <row r="126" spans="1:11" ht="12.75" customHeight="1" x14ac:dyDescent="0.2">
      <c r="A126" s="463" t="s">
        <v>922</v>
      </c>
      <c r="B126" s="562">
        <v>3110</v>
      </c>
      <c r="C126" s="551">
        <v>129115</v>
      </c>
      <c r="D126" s="466"/>
      <c r="E126" s="468"/>
      <c r="F126" s="466"/>
      <c r="G126" s="468"/>
      <c r="H126" s="468"/>
      <c r="I126" s="468"/>
      <c r="J126" s="468"/>
      <c r="K126" s="468"/>
    </row>
    <row r="127" spans="1:11" ht="12.75" customHeight="1" x14ac:dyDescent="0.2">
      <c r="A127" s="463" t="s">
        <v>107</v>
      </c>
      <c r="B127" s="562">
        <v>3120</v>
      </c>
      <c r="C127" s="466">
        <v>54602</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788476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3743</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3743</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9287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18754</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257292</v>
      </c>
      <c r="G151" s="467"/>
      <c r="H151" s="468"/>
      <c r="I151" s="468"/>
      <c r="J151" s="468"/>
      <c r="K151" s="468"/>
    </row>
    <row r="152" spans="1:11" ht="12.75" customHeight="1" x14ac:dyDescent="0.2">
      <c r="A152" s="463" t="s">
        <v>1117</v>
      </c>
      <c r="B152" s="562">
        <v>3510</v>
      </c>
      <c r="C152" s="551"/>
      <c r="D152" s="466"/>
      <c r="E152" s="561"/>
      <c r="F152" s="466">
        <v>89666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346958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84358</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904618</v>
      </c>
      <c r="D172" s="1744">
        <f t="shared" si="6"/>
        <v>0</v>
      </c>
      <c r="E172" s="1744">
        <f t="shared" si="6"/>
        <v>0</v>
      </c>
      <c r="F172" s="1744">
        <f t="shared" si="6"/>
        <v>346958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7784261</v>
      </c>
      <c r="D173" s="1737">
        <f>SUM(D121,D172)</f>
        <v>0</v>
      </c>
      <c r="E173" s="1737">
        <f>SUM(E121,E172)</f>
        <v>0</v>
      </c>
      <c r="F173" s="1737">
        <f t="shared" ref="F173:K173" si="7">SUM(F121,F172)</f>
        <v>346958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1904</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465459</v>
      </c>
      <c r="D194" s="468"/>
      <c r="E194" s="561"/>
      <c r="F194" s="468"/>
      <c r="G194" s="585"/>
      <c r="H194" s="468"/>
      <c r="I194" s="468"/>
      <c r="J194" s="468"/>
      <c r="K194" s="468"/>
    </row>
    <row r="195" spans="1:11" ht="12.75" customHeight="1" x14ac:dyDescent="0.2">
      <c r="A195" s="463" t="s">
        <v>1107</v>
      </c>
      <c r="B195" s="470">
        <v>4215</v>
      </c>
      <c r="C195" s="551">
        <v>1436</v>
      </c>
      <c r="D195" s="468"/>
      <c r="E195" s="561"/>
      <c r="F195" s="468"/>
      <c r="G195" s="585"/>
      <c r="H195" s="468"/>
      <c r="I195" s="468"/>
      <c r="J195" s="468"/>
      <c r="K195" s="468"/>
    </row>
    <row r="196" spans="1:11" ht="12.75" customHeight="1" x14ac:dyDescent="0.2">
      <c r="A196" s="463" t="s">
        <v>1119</v>
      </c>
      <c r="B196" s="470">
        <v>4220</v>
      </c>
      <c r="C196" s="551">
        <v>108237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575132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451205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451205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15234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16689</v>
      </c>
      <c r="D270" s="576"/>
      <c r="E270" s="468"/>
      <c r="F270" s="576"/>
      <c r="G270" s="576"/>
      <c r="H270" s="468"/>
      <c r="I270" s="468"/>
      <c r="J270" s="468"/>
      <c r="K270" s="468"/>
    </row>
    <row r="271" spans="1:11" ht="12.75" customHeight="1" thickTop="1" thickBot="1" x14ac:dyDescent="0.25">
      <c r="A271" s="463" t="s">
        <v>395</v>
      </c>
      <c r="B271" s="470">
        <v>4992</v>
      </c>
      <c r="C271" s="575">
        <v>63776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1122036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1122036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12295843</v>
      </c>
      <c r="D275" s="1737">
        <f t="shared" si="12"/>
        <v>672284</v>
      </c>
      <c r="E275" s="1737">
        <f t="shared" si="12"/>
        <v>311189</v>
      </c>
      <c r="F275" s="1737">
        <f t="shared" si="12"/>
        <v>518644</v>
      </c>
      <c r="G275" s="1737">
        <f t="shared" si="12"/>
        <v>425046</v>
      </c>
      <c r="H275" s="1737">
        <f t="shared" si="12"/>
        <v>0</v>
      </c>
      <c r="I275" s="1737">
        <f t="shared" si="12"/>
        <v>66807</v>
      </c>
      <c r="J275" s="1737">
        <f t="shared" si="12"/>
        <v>220381</v>
      </c>
      <c r="K275" s="1724">
        <f t="shared" si="12"/>
        <v>39243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3"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3418897</v>
      </c>
      <c r="D5" s="466">
        <v>494425</v>
      </c>
      <c r="E5" s="466">
        <v>12625</v>
      </c>
      <c r="F5" s="466">
        <v>112914</v>
      </c>
      <c r="G5" s="466"/>
      <c r="H5" s="466">
        <v>11610</v>
      </c>
      <c r="I5" s="467"/>
      <c r="J5" s="467"/>
      <c r="K5" s="1693">
        <f>SUM(C5:J5)</f>
        <v>4050471</v>
      </c>
      <c r="L5" s="466">
        <v>3991929</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1076455</v>
      </c>
      <c r="D8" s="466">
        <v>210045</v>
      </c>
      <c r="E8" s="466">
        <v>660002</v>
      </c>
      <c r="F8" s="466">
        <v>3983</v>
      </c>
      <c r="G8" s="466"/>
      <c r="H8" s="466"/>
      <c r="I8" s="467"/>
      <c r="J8" s="467"/>
      <c r="K8" s="1693">
        <f t="shared" si="0"/>
        <v>1950485</v>
      </c>
      <c r="L8" s="466">
        <v>2020386</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416055</v>
      </c>
      <c r="D10" s="466">
        <v>86670</v>
      </c>
      <c r="E10" s="466">
        <v>25520</v>
      </c>
      <c r="F10" s="466">
        <v>251109</v>
      </c>
      <c r="G10" s="466"/>
      <c r="H10" s="466"/>
      <c r="I10" s="467"/>
      <c r="J10" s="467"/>
      <c r="K10" s="1693">
        <f t="shared" si="0"/>
        <v>779354</v>
      </c>
      <c r="L10" s="466">
        <v>761623</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180491</v>
      </c>
      <c r="D13" s="466">
        <v>25228</v>
      </c>
      <c r="E13" s="466">
        <v>53435</v>
      </c>
      <c r="F13" s="466">
        <v>9434</v>
      </c>
      <c r="G13" s="466"/>
      <c r="H13" s="466"/>
      <c r="I13" s="467"/>
      <c r="J13" s="467"/>
      <c r="K13" s="1693">
        <f t="shared" si="0"/>
        <v>268588</v>
      </c>
      <c r="L13" s="466">
        <v>255762</v>
      </c>
    </row>
    <row r="14" spans="1:14" x14ac:dyDescent="0.2">
      <c r="A14" s="1526" t="s">
        <v>1020</v>
      </c>
      <c r="B14" s="615">
        <v>1500</v>
      </c>
      <c r="C14" s="466">
        <v>229854</v>
      </c>
      <c r="D14" s="466">
        <v>27224</v>
      </c>
      <c r="E14" s="466">
        <v>27183</v>
      </c>
      <c r="F14" s="466">
        <v>93187</v>
      </c>
      <c r="G14" s="466"/>
      <c r="H14" s="466">
        <v>5370</v>
      </c>
      <c r="I14" s="467"/>
      <c r="J14" s="467"/>
      <c r="K14" s="1693">
        <f t="shared" si="0"/>
        <v>382818</v>
      </c>
      <c r="L14" s="466">
        <v>334507</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5321752</v>
      </c>
      <c r="D33" s="1692">
        <f t="shared" ref="D33:L33" si="1">SUM(D5:D32)</f>
        <v>843592</v>
      </c>
      <c r="E33" s="1692">
        <f t="shared" si="1"/>
        <v>778765</v>
      </c>
      <c r="F33" s="1692">
        <f t="shared" si="1"/>
        <v>470627</v>
      </c>
      <c r="G33" s="1692">
        <f t="shared" si="1"/>
        <v>0</v>
      </c>
      <c r="H33" s="1692">
        <f t="shared" si="1"/>
        <v>16980</v>
      </c>
      <c r="I33" s="1692">
        <f t="shared" si="1"/>
        <v>0</v>
      </c>
      <c r="J33" s="1692">
        <f t="shared" si="1"/>
        <v>0</v>
      </c>
      <c r="K33" s="1692">
        <f t="shared" si="1"/>
        <v>7431716</v>
      </c>
      <c r="L33" s="1692">
        <f t="shared" si="1"/>
        <v>7364207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111595</v>
      </c>
      <c r="D36" s="481">
        <v>11104</v>
      </c>
      <c r="E36" s="481"/>
      <c r="F36" s="481">
        <v>310</v>
      </c>
      <c r="G36" s="481"/>
      <c r="H36" s="481"/>
      <c r="I36" s="467"/>
      <c r="J36" s="467"/>
      <c r="K36" s="1693">
        <f t="shared" ref="K36:K41" si="2">SUM(C36:J36)</f>
        <v>123009</v>
      </c>
      <c r="L36" s="466">
        <v>131006</v>
      </c>
    </row>
    <row r="37" spans="1:14" x14ac:dyDescent="0.2">
      <c r="A37" s="1526" t="s">
        <v>1151</v>
      </c>
      <c r="B37" s="615">
        <v>2120</v>
      </c>
      <c r="C37" s="466">
        <v>51445</v>
      </c>
      <c r="D37" s="466">
        <v>7478</v>
      </c>
      <c r="E37" s="466"/>
      <c r="F37" s="466"/>
      <c r="G37" s="466"/>
      <c r="H37" s="466"/>
      <c r="I37" s="467"/>
      <c r="J37" s="467"/>
      <c r="K37" s="1693">
        <f t="shared" si="2"/>
        <v>58923</v>
      </c>
      <c r="L37" s="466">
        <v>70838</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v>76599</v>
      </c>
      <c r="D39" s="466">
        <v>9634</v>
      </c>
      <c r="E39" s="466"/>
      <c r="F39" s="466">
        <v>90</v>
      </c>
      <c r="G39" s="466"/>
      <c r="H39" s="466"/>
      <c r="I39" s="467"/>
      <c r="J39" s="467"/>
      <c r="K39" s="1693">
        <f t="shared" si="2"/>
        <v>86323</v>
      </c>
      <c r="L39" s="466">
        <v>87933</v>
      </c>
    </row>
    <row r="40" spans="1:14" x14ac:dyDescent="0.2">
      <c r="A40" s="1526" t="s">
        <v>209</v>
      </c>
      <c r="B40" s="615">
        <v>2150</v>
      </c>
      <c r="C40" s="466">
        <v>114425</v>
      </c>
      <c r="D40" s="466">
        <v>16832</v>
      </c>
      <c r="E40" s="466">
        <v>64</v>
      </c>
      <c r="F40" s="466">
        <v>1131</v>
      </c>
      <c r="G40" s="466"/>
      <c r="H40" s="466"/>
      <c r="I40" s="467"/>
      <c r="J40" s="467"/>
      <c r="K40" s="1693">
        <f t="shared" si="2"/>
        <v>132452</v>
      </c>
      <c r="L40" s="466">
        <v>139033</v>
      </c>
    </row>
    <row r="41" spans="1:14" x14ac:dyDescent="0.2">
      <c r="A41" s="1526" t="s">
        <v>1768</v>
      </c>
      <c r="B41" s="615">
        <v>2190</v>
      </c>
      <c r="C41" s="466">
        <v>2970</v>
      </c>
      <c r="D41" s="466">
        <v>584</v>
      </c>
      <c r="E41" s="466">
        <v>4922</v>
      </c>
      <c r="F41" s="466"/>
      <c r="G41" s="466"/>
      <c r="H41" s="466"/>
      <c r="I41" s="467"/>
      <c r="J41" s="467"/>
      <c r="K41" s="1693">
        <f t="shared" si="2"/>
        <v>8476</v>
      </c>
      <c r="L41" s="466"/>
    </row>
    <row r="42" spans="1:14" ht="12.75" customHeight="1" thickBot="1" x14ac:dyDescent="0.25">
      <c r="A42" s="1690" t="s">
        <v>581</v>
      </c>
      <c r="B42" s="1691" t="s">
        <v>740</v>
      </c>
      <c r="C42" s="1692">
        <f>SUM(C36:C41)</f>
        <v>357034</v>
      </c>
      <c r="D42" s="1692">
        <f t="shared" ref="D42:L42" si="3">SUM(D36:D41)</f>
        <v>45632</v>
      </c>
      <c r="E42" s="1692">
        <f t="shared" si="3"/>
        <v>4986</v>
      </c>
      <c r="F42" s="1692">
        <f t="shared" si="3"/>
        <v>1531</v>
      </c>
      <c r="G42" s="1692">
        <f t="shared" si="3"/>
        <v>0</v>
      </c>
      <c r="H42" s="1692">
        <f t="shared" si="3"/>
        <v>0</v>
      </c>
      <c r="I42" s="1692">
        <f t="shared" si="3"/>
        <v>0</v>
      </c>
      <c r="J42" s="1692">
        <f t="shared" si="3"/>
        <v>0</v>
      </c>
      <c r="K42" s="1692">
        <f t="shared" si="3"/>
        <v>409183</v>
      </c>
      <c r="L42" s="1692">
        <f t="shared" si="3"/>
        <v>428810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85381</v>
      </c>
      <c r="D44" s="481">
        <v>1991</v>
      </c>
      <c r="E44" s="481">
        <v>104250</v>
      </c>
      <c r="F44" s="481">
        <v>109201</v>
      </c>
      <c r="G44" s="481"/>
      <c r="H44" s="481"/>
      <c r="I44" s="467"/>
      <c r="J44" s="467"/>
      <c r="K44" s="1694">
        <f>SUM(C44:J44)</f>
        <v>300823</v>
      </c>
      <c r="L44" s="481">
        <v>300353</v>
      </c>
    </row>
    <row r="45" spans="1:14" x14ac:dyDescent="0.2">
      <c r="A45" s="1526" t="s">
        <v>869</v>
      </c>
      <c r="B45" s="615">
        <v>2220</v>
      </c>
      <c r="C45" s="466">
        <v>150285</v>
      </c>
      <c r="D45" s="466">
        <v>38076</v>
      </c>
      <c r="E45" s="466"/>
      <c r="F45" s="466">
        <v>32572</v>
      </c>
      <c r="G45" s="466"/>
      <c r="H45" s="466">
        <v>33226</v>
      </c>
      <c r="I45" s="467"/>
      <c r="J45" s="467"/>
      <c r="K45" s="1694">
        <f>SUM(C45:J45)</f>
        <v>254159</v>
      </c>
      <c r="L45" s="466">
        <v>171238</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235666</v>
      </c>
      <c r="D47" s="1692">
        <f t="shared" ref="D47:K47" si="4">SUM(D44:D46)</f>
        <v>40067</v>
      </c>
      <c r="E47" s="1692">
        <f t="shared" si="4"/>
        <v>104250</v>
      </c>
      <c r="F47" s="1692">
        <f t="shared" si="4"/>
        <v>141773</v>
      </c>
      <c r="G47" s="1692">
        <f t="shared" si="4"/>
        <v>0</v>
      </c>
      <c r="H47" s="1692">
        <f t="shared" si="4"/>
        <v>33226</v>
      </c>
      <c r="I47" s="1692">
        <f t="shared" si="4"/>
        <v>0</v>
      </c>
      <c r="J47" s="1692">
        <f t="shared" si="4"/>
        <v>0</v>
      </c>
      <c r="K47" s="1692">
        <f t="shared" si="4"/>
        <v>554982</v>
      </c>
      <c r="L47" s="1692">
        <f>SUM(L44:L46)</f>
        <v>471591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1550</v>
      </c>
      <c r="D49" s="481">
        <v>31034</v>
      </c>
      <c r="E49" s="481">
        <v>27087</v>
      </c>
      <c r="F49" s="481">
        <v>14583</v>
      </c>
      <c r="G49" s="481"/>
      <c r="H49" s="481">
        <v>14782</v>
      </c>
      <c r="I49" s="467"/>
      <c r="J49" s="467"/>
      <c r="K49" s="1694">
        <f>SUM(C49:J49)</f>
        <v>89036</v>
      </c>
      <c r="L49" s="481">
        <v>70500</v>
      </c>
    </row>
    <row r="50" spans="1:14" x14ac:dyDescent="0.2">
      <c r="A50" s="1526" t="s">
        <v>872</v>
      </c>
      <c r="B50" s="615">
        <v>2320</v>
      </c>
      <c r="C50" s="466">
        <v>170734</v>
      </c>
      <c r="D50" s="466">
        <v>17006</v>
      </c>
      <c r="E50" s="466">
        <v>16663</v>
      </c>
      <c r="F50" s="466">
        <v>5451</v>
      </c>
      <c r="G50" s="466"/>
      <c r="H50" s="466">
        <v>2497</v>
      </c>
      <c r="I50" s="467"/>
      <c r="J50" s="467"/>
      <c r="K50" s="1694">
        <f>SUM(C50:J50)</f>
        <v>212351</v>
      </c>
      <c r="L50" s="466">
        <v>212739</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172284</v>
      </c>
      <c r="D53" s="1692">
        <f t="shared" ref="D53:L53" si="5">SUM(D49:D52)</f>
        <v>48040</v>
      </c>
      <c r="E53" s="1692">
        <f t="shared" si="5"/>
        <v>43750</v>
      </c>
      <c r="F53" s="1692">
        <f t="shared" si="5"/>
        <v>20034</v>
      </c>
      <c r="G53" s="1692">
        <f t="shared" si="5"/>
        <v>0</v>
      </c>
      <c r="H53" s="1692">
        <f t="shared" si="5"/>
        <v>17279</v>
      </c>
      <c r="I53" s="1692">
        <f t="shared" si="5"/>
        <v>0</v>
      </c>
      <c r="J53" s="1692">
        <f t="shared" si="5"/>
        <v>0</v>
      </c>
      <c r="K53" s="1692">
        <f t="shared" si="5"/>
        <v>301387</v>
      </c>
      <c r="L53" s="1692">
        <f t="shared" si="5"/>
        <v>283239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803014</v>
      </c>
      <c r="D55" s="481">
        <v>100978</v>
      </c>
      <c r="E55" s="481">
        <v>635</v>
      </c>
      <c r="F55" s="481">
        <v>4757</v>
      </c>
      <c r="G55" s="481"/>
      <c r="H55" s="481">
        <v>9829</v>
      </c>
      <c r="I55" s="467"/>
      <c r="J55" s="467"/>
      <c r="K55" s="1694">
        <f>SUM(C55:J55)</f>
        <v>919213</v>
      </c>
      <c r="L55" s="481">
        <v>967303</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803014</v>
      </c>
      <c r="D57" s="1696">
        <f t="shared" ref="D57:K57" si="6">SUM(D55:D56)</f>
        <v>100978</v>
      </c>
      <c r="E57" s="1696">
        <f t="shared" si="6"/>
        <v>635</v>
      </c>
      <c r="F57" s="1696">
        <f t="shared" si="6"/>
        <v>4757</v>
      </c>
      <c r="G57" s="1696">
        <f t="shared" si="6"/>
        <v>0</v>
      </c>
      <c r="H57" s="1696">
        <f t="shared" si="6"/>
        <v>9829</v>
      </c>
      <c r="I57" s="1696">
        <f t="shared" si="6"/>
        <v>0</v>
      </c>
      <c r="J57" s="1696">
        <f t="shared" si="6"/>
        <v>0</v>
      </c>
      <c r="K57" s="1696">
        <f t="shared" si="6"/>
        <v>919213</v>
      </c>
      <c r="L57" s="1692">
        <f>SUM(L55:L56)</f>
        <v>967303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29173</v>
      </c>
      <c r="D60" s="466">
        <v>4533</v>
      </c>
      <c r="E60" s="466">
        <v>10265</v>
      </c>
      <c r="F60" s="466">
        <v>1851</v>
      </c>
      <c r="G60" s="466"/>
      <c r="H60" s="466">
        <v>82754</v>
      </c>
      <c r="I60" s="467"/>
      <c r="J60" s="467"/>
      <c r="K60" s="1694">
        <f t="shared" si="7"/>
        <v>128576</v>
      </c>
      <c r="L60" s="466">
        <v>48488</v>
      </c>
      <c r="M60" s="610"/>
      <c r="N60" s="610"/>
    </row>
    <row r="61" spans="1:14" s="343" customFormat="1" x14ac:dyDescent="0.2">
      <c r="A61" s="1526" t="s">
        <v>206</v>
      </c>
      <c r="B61" s="615">
        <v>2540</v>
      </c>
      <c r="C61" s="466">
        <v>341474</v>
      </c>
      <c r="D61" s="466">
        <v>54311</v>
      </c>
      <c r="E61" s="466">
        <v>154399</v>
      </c>
      <c r="F61" s="466">
        <v>318766</v>
      </c>
      <c r="G61" s="466"/>
      <c r="H61" s="466"/>
      <c r="I61" s="467"/>
      <c r="J61" s="467"/>
      <c r="K61" s="1694">
        <f t="shared" si="7"/>
        <v>868950</v>
      </c>
      <c r="L61" s="466">
        <v>883543</v>
      </c>
      <c r="M61" s="610"/>
      <c r="N61" s="610"/>
    </row>
    <row r="62" spans="1:14" s="343" customFormat="1" x14ac:dyDescent="0.2">
      <c r="A62" s="1526" t="s">
        <v>1010</v>
      </c>
      <c r="B62" s="615">
        <v>2550</v>
      </c>
      <c r="C62" s="466">
        <v>6712</v>
      </c>
      <c r="D62" s="466">
        <v>1847</v>
      </c>
      <c r="E62" s="466"/>
      <c r="F62" s="466"/>
      <c r="G62" s="466"/>
      <c r="H62" s="466"/>
      <c r="I62" s="467"/>
      <c r="J62" s="467"/>
      <c r="K62" s="1694">
        <f t="shared" si="7"/>
        <v>8559</v>
      </c>
      <c r="L62" s="466">
        <v>9500</v>
      </c>
      <c r="M62" s="610"/>
      <c r="N62" s="610"/>
    </row>
    <row r="63" spans="1:14" s="610" customFormat="1" x14ac:dyDescent="0.2">
      <c r="A63" s="1526" t="s">
        <v>102</v>
      </c>
      <c r="B63" s="615">
        <v>2560</v>
      </c>
      <c r="C63" s="466">
        <v>149302</v>
      </c>
      <c r="D63" s="466">
        <v>47273</v>
      </c>
      <c r="E63" s="466">
        <v>26616</v>
      </c>
      <c r="F63" s="466">
        <v>247292</v>
      </c>
      <c r="G63" s="466"/>
      <c r="H63" s="466">
        <v>2215</v>
      </c>
      <c r="I63" s="467"/>
      <c r="J63" s="467"/>
      <c r="K63" s="1694">
        <f t="shared" si="7"/>
        <v>472698</v>
      </c>
      <c r="L63" s="466">
        <v>563961</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526661</v>
      </c>
      <c r="D65" s="1692">
        <f t="shared" ref="D65:L65" si="8">SUM(D59:D64)</f>
        <v>107964</v>
      </c>
      <c r="E65" s="1692">
        <f t="shared" si="8"/>
        <v>191280</v>
      </c>
      <c r="F65" s="1692">
        <f t="shared" si="8"/>
        <v>567909</v>
      </c>
      <c r="G65" s="1692">
        <f t="shared" si="8"/>
        <v>0</v>
      </c>
      <c r="H65" s="1692">
        <f t="shared" si="8"/>
        <v>84969</v>
      </c>
      <c r="I65" s="1692">
        <f t="shared" si="8"/>
        <v>0</v>
      </c>
      <c r="J65" s="1692">
        <f t="shared" si="8"/>
        <v>0</v>
      </c>
      <c r="K65" s="1692">
        <f t="shared" si="8"/>
        <v>1478783</v>
      </c>
      <c r="L65" s="1692">
        <f t="shared" si="8"/>
        <v>1505492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2094659</v>
      </c>
      <c r="D74" s="1699">
        <f t="shared" ref="D74:K74" si="10">SUM(D42,D47,D53,D57,D65,D72,D73)</f>
        <v>342681</v>
      </c>
      <c r="E74" s="1699">
        <f t="shared" si="10"/>
        <v>344901</v>
      </c>
      <c r="F74" s="1699">
        <f t="shared" si="10"/>
        <v>736004</v>
      </c>
      <c r="G74" s="1699">
        <f t="shared" si="10"/>
        <v>0</v>
      </c>
      <c r="H74" s="1699">
        <f t="shared" si="10"/>
        <v>145303</v>
      </c>
      <c r="I74" s="1699">
        <f t="shared" si="10"/>
        <v>0</v>
      </c>
      <c r="J74" s="1699">
        <f t="shared" si="10"/>
        <v>0</v>
      </c>
      <c r="K74" s="1699">
        <f t="shared" si="10"/>
        <v>3663548</v>
      </c>
      <c r="L74" s="1699">
        <f>SUM(L42,L47,L53,L57,L65,L72,L73)</f>
        <v>3656435</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103107</v>
      </c>
      <c r="F79" s="617"/>
      <c r="G79" s="617"/>
      <c r="H79" s="466"/>
      <c r="I79" s="477"/>
      <c r="J79" s="477"/>
      <c r="K79" s="1693">
        <f t="shared" si="11"/>
        <v>103107</v>
      </c>
      <c r="L79" s="466">
        <v>87000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v>2534</v>
      </c>
      <c r="F81" s="617"/>
      <c r="G81" s="617"/>
      <c r="H81" s="466"/>
      <c r="I81" s="477"/>
      <c r="J81" s="477"/>
      <c r="K81" s="1693">
        <f t="shared" si="11"/>
        <v>2534</v>
      </c>
      <c r="L81" s="466">
        <v>2312</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105641</v>
      </c>
      <c r="F84" s="617"/>
      <c r="G84" s="617"/>
      <c r="H84" s="1692">
        <f>SUM(H78:H83)</f>
        <v>0</v>
      </c>
      <c r="I84" s="477"/>
      <c r="J84" s="477"/>
      <c r="K84" s="1692">
        <f>SUM(K78:K83)</f>
        <v>105641</v>
      </c>
      <c r="L84" s="1692">
        <f>SUM(L78:L83)</f>
        <v>89312</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105641</v>
      </c>
      <c r="F102" s="617"/>
      <c r="G102" s="617"/>
      <c r="H102" s="1699">
        <f>SUM(H84,H92,H100,H101)</f>
        <v>0</v>
      </c>
      <c r="I102" s="477"/>
      <c r="J102" s="477"/>
      <c r="K102" s="1699">
        <f>SUM(K84,K92,K100,K101)</f>
        <v>105641</v>
      </c>
      <c r="L102" s="1699">
        <f>SUM(L84,L92,L100,L101)</f>
        <v>89312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7416411</v>
      </c>
      <c r="D114" s="1692">
        <f t="shared" ref="D114:K114" si="13">SUM(D33,D74,D75,D102,D112,D113)</f>
        <v>1186273</v>
      </c>
      <c r="E114" s="1692">
        <f t="shared" si="13"/>
        <v>1229307</v>
      </c>
      <c r="F114" s="1692">
        <f t="shared" si="13"/>
        <v>1206631</v>
      </c>
      <c r="G114" s="1692">
        <f t="shared" si="13"/>
        <v>0</v>
      </c>
      <c r="H114" s="1692">
        <f>SUM(H33,H74,H75,H102,H112,H113)</f>
        <v>162283</v>
      </c>
      <c r="I114" s="1692">
        <f t="shared" si="13"/>
        <v>0</v>
      </c>
      <c r="J114" s="1692">
        <f t="shared" si="13"/>
        <v>0</v>
      </c>
      <c r="K114" s="1692">
        <f t="shared" si="13"/>
        <v>11200905</v>
      </c>
      <c r="L114" s="1692">
        <f>SUM(L33,L74,L75,L102,L112,L113)</f>
        <v>11109954</v>
      </c>
    </row>
    <row r="115" spans="1:14" ht="13.5" thickTop="1" x14ac:dyDescent="0.2">
      <c r="A115" s="2175" t="s">
        <v>1053</v>
      </c>
      <c r="B115" s="2176"/>
      <c r="C115" s="619"/>
      <c r="D115" s="619"/>
      <c r="E115" s="619"/>
      <c r="F115" s="619"/>
      <c r="G115" s="619"/>
      <c r="H115" s="619"/>
      <c r="I115" s="619"/>
      <c r="J115" s="619"/>
      <c r="K115" s="1706">
        <f>'Revenues 9-14'!C275-'Expenditures 15-22'!K114</f>
        <v>1094938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v>845000</v>
      </c>
    </row>
    <row r="124" spans="1:14" ht="14.25" thickTop="1" thickBot="1" x14ac:dyDescent="0.25">
      <c r="A124" s="1526" t="s">
        <v>206</v>
      </c>
      <c r="B124" s="615">
        <v>2540</v>
      </c>
      <c r="C124" s="466"/>
      <c r="D124" s="466"/>
      <c r="E124" s="466">
        <v>149877</v>
      </c>
      <c r="F124" s="466">
        <v>103275</v>
      </c>
      <c r="G124" s="466">
        <v>470859</v>
      </c>
      <c r="H124" s="466"/>
      <c r="I124" s="467"/>
      <c r="J124" s="467"/>
      <c r="K124" s="1692">
        <f>SUM(C124:J124)</f>
        <v>724011</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149877</v>
      </c>
      <c r="F127" s="1692">
        <f t="shared" si="14"/>
        <v>103275</v>
      </c>
      <c r="G127" s="1692">
        <f t="shared" si="14"/>
        <v>470859</v>
      </c>
      <c r="H127" s="1692">
        <f t="shared" si="14"/>
        <v>0</v>
      </c>
      <c r="I127" s="1692">
        <f t="shared" si="14"/>
        <v>0</v>
      </c>
      <c r="J127" s="1692">
        <f t="shared" si="14"/>
        <v>0</v>
      </c>
      <c r="K127" s="1692">
        <f t="shared" si="14"/>
        <v>724011</v>
      </c>
      <c r="L127" s="1692">
        <f t="shared" si="14"/>
        <v>845000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149877</v>
      </c>
      <c r="F129" s="1699">
        <f t="shared" si="15"/>
        <v>103275</v>
      </c>
      <c r="G129" s="1699">
        <f t="shared" si="15"/>
        <v>470859</v>
      </c>
      <c r="H129" s="1699">
        <f t="shared" si="15"/>
        <v>0</v>
      </c>
      <c r="I129" s="1699">
        <f t="shared" si="15"/>
        <v>0</v>
      </c>
      <c r="J129" s="1699">
        <f t="shared" si="15"/>
        <v>0</v>
      </c>
      <c r="K129" s="1699">
        <f t="shared" si="15"/>
        <v>724011</v>
      </c>
      <c r="L129" s="1699">
        <f t="shared" si="15"/>
        <v>845000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0</v>
      </c>
      <c r="D151" s="1692">
        <f t="shared" ref="D151:K151" si="16">SUM(D129,D130,D139,D149,D150)</f>
        <v>0</v>
      </c>
      <c r="E151" s="1692">
        <f t="shared" si="16"/>
        <v>149877</v>
      </c>
      <c r="F151" s="1692">
        <f t="shared" si="16"/>
        <v>103275</v>
      </c>
      <c r="G151" s="1692">
        <f t="shared" si="16"/>
        <v>470859</v>
      </c>
      <c r="H151" s="1692">
        <f t="shared" si="16"/>
        <v>0</v>
      </c>
      <c r="I151" s="1692">
        <f t="shared" si="16"/>
        <v>0</v>
      </c>
      <c r="J151" s="1692">
        <f t="shared" si="16"/>
        <v>0</v>
      </c>
      <c r="K151" s="1692">
        <f t="shared" si="16"/>
        <v>724011</v>
      </c>
      <c r="L151" s="1692">
        <f>SUM(L129,L130,L139,L149,L150)</f>
        <v>845000</v>
      </c>
    </row>
    <row r="152" spans="1:14" ht="12.75" customHeight="1" thickTop="1" x14ac:dyDescent="0.2">
      <c r="A152" s="2195" t="s">
        <v>1240</v>
      </c>
      <c r="B152" s="2196"/>
      <c r="C152" s="619"/>
      <c r="D152" s="619"/>
      <c r="E152" s="619"/>
      <c r="F152" s="619"/>
      <c r="G152" s="619"/>
      <c r="H152" s="619"/>
      <c r="I152" s="619"/>
      <c r="J152" s="617"/>
      <c r="K152" s="1706">
        <f>'Revenues 9-14'!D275-'Expenditures 15-22'!K151</f>
        <v>-51727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1956</v>
      </c>
      <c r="C158" s="617"/>
      <c r="D158" s="617"/>
      <c r="E158" s="617"/>
      <c r="F158" s="617"/>
      <c r="G158" s="617"/>
      <c r="H158" s="467"/>
      <c r="I158" s="617"/>
      <c r="J158" s="617"/>
      <c r="K158" s="1693">
        <f>H158</f>
        <v>0</v>
      </c>
      <c r="L158" s="467"/>
      <c r="M158" s="620"/>
      <c r="N158" s="620"/>
    </row>
    <row r="159" spans="1:14" s="621" customFormat="1" ht="12" x14ac:dyDescent="0.2">
      <c r="A159" s="1849" t="s">
        <v>1957</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10588</v>
      </c>
      <c r="I169" s="617"/>
      <c r="J169" s="617"/>
      <c r="K169" s="1693">
        <f>SUM(C169:H169)</f>
        <v>10588</v>
      </c>
      <c r="L169" s="657"/>
    </row>
    <row r="170" spans="1:14" ht="33.75" customHeight="1" x14ac:dyDescent="0.2">
      <c r="A170" s="670" t="s">
        <v>1769</v>
      </c>
      <c r="B170" s="672" t="s">
        <v>31</v>
      </c>
      <c r="C170" s="617"/>
      <c r="D170" s="617"/>
      <c r="E170" s="617"/>
      <c r="F170" s="617"/>
      <c r="G170" s="617"/>
      <c r="H170" s="569">
        <v>300000</v>
      </c>
      <c r="I170" s="617"/>
      <c r="J170" s="617"/>
      <c r="K170" s="1693">
        <f>SUM(C170:J170)</f>
        <v>300000</v>
      </c>
      <c r="L170" s="569">
        <v>305000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310588</v>
      </c>
      <c r="I172" s="639"/>
      <c r="J172" s="617"/>
      <c r="K172" s="1699">
        <f>SUM(K168,K169,K170,K171)</f>
        <v>310588</v>
      </c>
      <c r="L172" s="1699">
        <f>SUM(L168,L169,L170,L171)</f>
        <v>305000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310588</v>
      </c>
      <c r="I174" s="639"/>
      <c r="J174" s="617"/>
      <c r="K174" s="1699">
        <f>SUM(K160,K172,K173)</f>
        <v>310588</v>
      </c>
      <c r="L174" s="1699">
        <f>SUM(L160,L172,L173)</f>
        <v>305000</v>
      </c>
    </row>
    <row r="175" spans="1:14" ht="13.5" thickTop="1" x14ac:dyDescent="0.2">
      <c r="A175" s="2175" t="s">
        <v>1053</v>
      </c>
      <c r="B175" s="2176"/>
      <c r="C175" s="617"/>
      <c r="D175" s="617"/>
      <c r="E175" s="617"/>
      <c r="F175" s="617"/>
      <c r="G175" s="617"/>
      <c r="H175" s="619"/>
      <c r="I175" s="617"/>
      <c r="J175" s="617"/>
      <c r="K175" s="1706">
        <f>'Revenues 9-14'!E275-'Expenditures 15-22'!K174</f>
        <v>601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238645</v>
      </c>
      <c r="D182" s="466">
        <v>99942</v>
      </c>
      <c r="E182" s="466">
        <v>15263</v>
      </c>
      <c r="F182" s="466">
        <v>66482</v>
      </c>
      <c r="G182" s="466">
        <v>139800</v>
      </c>
      <c r="H182" s="466"/>
      <c r="I182" s="467"/>
      <c r="J182" s="467"/>
      <c r="K182" s="1693">
        <f>SUM(C182:J182)</f>
        <v>560132</v>
      </c>
      <c r="L182" s="466">
        <v>437059</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238645</v>
      </c>
      <c r="D184" s="1699">
        <f t="shared" ref="D184:J184" si="17">SUM(D180,D182,D183)</f>
        <v>99942</v>
      </c>
      <c r="E184" s="1699">
        <f t="shared" si="17"/>
        <v>15263</v>
      </c>
      <c r="F184" s="1699">
        <f t="shared" si="17"/>
        <v>66482</v>
      </c>
      <c r="G184" s="1699">
        <f t="shared" si="17"/>
        <v>139800</v>
      </c>
      <c r="H184" s="1699">
        <f t="shared" si="17"/>
        <v>0</v>
      </c>
      <c r="I184" s="1699">
        <f t="shared" si="17"/>
        <v>0</v>
      </c>
      <c r="J184" s="1699">
        <f t="shared" si="17"/>
        <v>0</v>
      </c>
      <c r="K184" s="1699">
        <f>SUM(K180,K182,K183)</f>
        <v>560132</v>
      </c>
      <c r="L184" s="1699">
        <f>SUM(L180, L182:L183)</f>
        <v>437059</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v>30387</v>
      </c>
      <c r="I206" s="617"/>
      <c r="J206" s="617"/>
      <c r="K206" s="1693">
        <f>SUM(H206)</f>
        <v>30387</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30387</v>
      </c>
      <c r="I208" s="617"/>
      <c r="J208" s="617"/>
      <c r="K208" s="1699">
        <f>SUM(K204,K205,K206,K207)</f>
        <v>30387</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238645</v>
      </c>
      <c r="D210" s="1692">
        <f>SUM(D184,D185)</f>
        <v>99942</v>
      </c>
      <c r="E210" s="1692">
        <f>SUM(E184,E185,E196)</f>
        <v>15263</v>
      </c>
      <c r="F210" s="1692">
        <f>SUM(F184,F185)</f>
        <v>66482</v>
      </c>
      <c r="G210" s="1692">
        <f>SUM(G184,G185)</f>
        <v>139800</v>
      </c>
      <c r="H210" s="1692">
        <f>SUM(H184,H185,H196,H208,H209)</f>
        <v>30387</v>
      </c>
      <c r="I210" s="1692">
        <f>SUM(I184,I185)</f>
        <v>0</v>
      </c>
      <c r="J210" s="1692">
        <f>SUM(J184,J185)</f>
        <v>0</v>
      </c>
      <c r="K210" s="1693">
        <f>SUM(K184,K185,K196,K208,K209)</f>
        <v>590519</v>
      </c>
      <c r="L210" s="1692">
        <f>SUM(L184,L185,L196,L208,L209)</f>
        <v>437059</v>
      </c>
    </row>
    <row r="211" spans="1:14" ht="13.5" thickTop="1" x14ac:dyDescent="0.2">
      <c r="A211" s="2175" t="s">
        <v>1053</v>
      </c>
      <c r="B211" s="2176"/>
      <c r="C211" s="619"/>
      <c r="D211" s="619"/>
      <c r="E211" s="619"/>
      <c r="F211" s="619"/>
      <c r="G211" s="619"/>
      <c r="H211" s="619"/>
      <c r="I211" s="617"/>
      <c r="J211" s="617"/>
      <c r="K211" s="1706">
        <f>'Revenues 9-14'!F275-'Expenditures 15-22'!K210</f>
        <v>-71875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71926</v>
      </c>
      <c r="E215" s="617"/>
      <c r="F215" s="617"/>
      <c r="G215" s="617"/>
      <c r="H215" s="617"/>
      <c r="I215" s="617"/>
      <c r="J215" s="617"/>
      <c r="K215" s="1693">
        <f>D215</f>
        <v>71926</v>
      </c>
      <c r="L215" s="466">
        <v>67219</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70221</v>
      </c>
      <c r="E217" s="617"/>
      <c r="F217" s="617"/>
      <c r="G217" s="617"/>
      <c r="H217" s="617"/>
      <c r="I217" s="617"/>
      <c r="J217" s="617"/>
      <c r="K217" s="1693">
        <f t="shared" si="19"/>
        <v>70221</v>
      </c>
      <c r="L217" s="466">
        <v>85862</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31365</v>
      </c>
      <c r="E219" s="617"/>
      <c r="F219" s="617"/>
      <c r="G219" s="617"/>
      <c r="H219" s="617"/>
      <c r="I219" s="617"/>
      <c r="J219" s="617"/>
      <c r="K219" s="1693">
        <f t="shared" si="19"/>
        <v>31365</v>
      </c>
      <c r="L219" s="466">
        <v>32618</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2541</v>
      </c>
      <c r="E222" s="617"/>
      <c r="F222" s="617"/>
      <c r="G222" s="617"/>
      <c r="H222" s="617"/>
      <c r="I222" s="617"/>
      <c r="J222" s="617"/>
      <c r="K222" s="1693">
        <f t="shared" si="19"/>
        <v>2541</v>
      </c>
      <c r="L222" s="466">
        <v>2578</v>
      </c>
    </row>
    <row r="223" spans="1:14" x14ac:dyDescent="0.2">
      <c r="A223" s="1526" t="s">
        <v>1020</v>
      </c>
      <c r="B223" s="615">
        <v>1500</v>
      </c>
      <c r="C223" s="617"/>
      <c r="D223" s="466">
        <v>10577</v>
      </c>
      <c r="E223" s="617"/>
      <c r="F223" s="617"/>
      <c r="G223" s="617"/>
      <c r="H223" s="617"/>
      <c r="I223" s="617"/>
      <c r="J223" s="617"/>
      <c r="K223" s="1693">
        <f t="shared" si="19"/>
        <v>10577</v>
      </c>
      <c r="L223" s="466">
        <v>8850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186630</v>
      </c>
      <c r="E229" s="617"/>
      <c r="F229" s="617"/>
      <c r="G229" s="617"/>
      <c r="H229" s="617"/>
      <c r="I229" s="617"/>
      <c r="J229" s="617"/>
      <c r="K229" s="1692">
        <f>SUM(K215:K228)</f>
        <v>186630</v>
      </c>
      <c r="L229" s="1692">
        <f>SUM(L215:L228)</f>
        <v>197127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1609</v>
      </c>
      <c r="E232" s="617"/>
      <c r="F232" s="617"/>
      <c r="G232" s="617"/>
      <c r="H232" s="617"/>
      <c r="I232" s="617"/>
      <c r="J232" s="617"/>
      <c r="K232" s="1693">
        <f t="shared" ref="K232:K237" si="20">D232</f>
        <v>1609</v>
      </c>
      <c r="L232" s="466">
        <v>1677</v>
      </c>
    </row>
    <row r="233" spans="1:12" x14ac:dyDescent="0.2">
      <c r="A233" s="1526" t="s">
        <v>1151</v>
      </c>
      <c r="B233" s="615">
        <v>2120</v>
      </c>
      <c r="C233" s="617"/>
      <c r="D233" s="466">
        <v>687</v>
      </c>
      <c r="E233" s="617"/>
      <c r="F233" s="617"/>
      <c r="G233" s="617"/>
      <c r="H233" s="617"/>
      <c r="I233" s="617"/>
      <c r="J233" s="617"/>
      <c r="K233" s="1693">
        <f t="shared" si="20"/>
        <v>687</v>
      </c>
      <c r="L233" s="466">
        <v>1346</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v>1037</v>
      </c>
      <c r="E235" s="617"/>
      <c r="F235" s="617"/>
      <c r="G235" s="617"/>
      <c r="H235" s="617"/>
      <c r="I235" s="617"/>
      <c r="J235" s="617"/>
      <c r="K235" s="1693">
        <f t="shared" si="20"/>
        <v>1037</v>
      </c>
      <c r="L235" s="466">
        <v>1057</v>
      </c>
    </row>
    <row r="236" spans="1:12" x14ac:dyDescent="0.2">
      <c r="A236" s="1526" t="s">
        <v>209</v>
      </c>
      <c r="B236" s="615">
        <v>2150</v>
      </c>
      <c r="C236" s="617"/>
      <c r="D236" s="466">
        <v>1896</v>
      </c>
      <c r="E236" s="617"/>
      <c r="F236" s="617"/>
      <c r="G236" s="617"/>
      <c r="H236" s="617"/>
      <c r="I236" s="617"/>
      <c r="J236" s="617"/>
      <c r="K236" s="1693">
        <f t="shared" si="20"/>
        <v>1896</v>
      </c>
      <c r="L236" s="466">
        <v>2641</v>
      </c>
    </row>
    <row r="237" spans="1:12" x14ac:dyDescent="0.2">
      <c r="A237" s="1526" t="s">
        <v>167</v>
      </c>
      <c r="B237" s="615">
        <v>2190</v>
      </c>
      <c r="C237" s="617"/>
      <c r="D237" s="466">
        <v>42</v>
      </c>
      <c r="E237" s="617"/>
      <c r="F237" s="617"/>
      <c r="G237" s="617"/>
      <c r="H237" s="617"/>
      <c r="I237" s="617"/>
      <c r="J237" s="617"/>
      <c r="K237" s="1693">
        <f t="shared" si="20"/>
        <v>42</v>
      </c>
      <c r="L237" s="466"/>
    </row>
    <row r="238" spans="1:12" ht="12.75" customHeight="1" thickBot="1" x14ac:dyDescent="0.25">
      <c r="A238" s="1690" t="s">
        <v>581</v>
      </c>
      <c r="B238" s="1697" t="s">
        <v>740</v>
      </c>
      <c r="C238" s="617"/>
      <c r="D238" s="1692">
        <f>SUM(D232:D237)</f>
        <v>5271</v>
      </c>
      <c r="E238" s="617"/>
      <c r="F238" s="617"/>
      <c r="G238" s="617"/>
      <c r="H238" s="617"/>
      <c r="I238" s="617"/>
      <c r="J238" s="617"/>
      <c r="K238" s="1692">
        <f>SUM(K232:K237)</f>
        <v>5271</v>
      </c>
      <c r="L238" s="1692">
        <f>SUM(L232:L237)</f>
        <v>6721</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15697</v>
      </c>
      <c r="E240" s="617"/>
      <c r="F240" s="617"/>
      <c r="G240" s="617"/>
      <c r="H240" s="617"/>
      <c r="I240" s="617"/>
      <c r="J240" s="617"/>
      <c r="K240" s="1694">
        <f>D240</f>
        <v>15697</v>
      </c>
      <c r="L240" s="481">
        <v>18014</v>
      </c>
    </row>
    <row r="241" spans="1:12" x14ac:dyDescent="0.2">
      <c r="A241" s="1526" t="s">
        <v>869</v>
      </c>
      <c r="B241" s="615">
        <v>2220</v>
      </c>
      <c r="C241" s="617"/>
      <c r="D241" s="466">
        <v>17062</v>
      </c>
      <c r="E241" s="617"/>
      <c r="F241" s="617"/>
      <c r="G241" s="617"/>
      <c r="H241" s="617"/>
      <c r="I241" s="617"/>
      <c r="J241" s="617"/>
      <c r="K241" s="1694">
        <f>D241</f>
        <v>17062</v>
      </c>
      <c r="L241" s="466">
        <v>10571</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32759</v>
      </c>
      <c r="E243" s="617"/>
      <c r="F243" s="617"/>
      <c r="G243" s="617"/>
      <c r="H243" s="617"/>
      <c r="I243" s="617"/>
      <c r="J243" s="617"/>
      <c r="K243" s="1692">
        <f>SUM(K240:K242)</f>
        <v>32759</v>
      </c>
      <c r="L243" s="1692">
        <f>SUM(L240:L242)</f>
        <v>28585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v>8000</v>
      </c>
    </row>
    <row r="246" spans="1:12" x14ac:dyDescent="0.2">
      <c r="A246" s="1526" t="s">
        <v>872</v>
      </c>
      <c r="B246" s="615">
        <v>2320</v>
      </c>
      <c r="C246" s="617"/>
      <c r="D246" s="466">
        <v>10035</v>
      </c>
      <c r="E246" s="617"/>
      <c r="F246" s="617"/>
      <c r="G246" s="617"/>
      <c r="H246" s="617"/>
      <c r="I246" s="617"/>
      <c r="J246" s="617"/>
      <c r="K246" s="1694">
        <f t="shared" ref="K246:K256" si="21">D246</f>
        <v>10035</v>
      </c>
      <c r="L246" s="466">
        <v>10297</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1906</v>
      </c>
      <c r="B249" s="684" t="s">
        <v>300</v>
      </c>
      <c r="C249" s="617"/>
      <c r="D249" s="474"/>
      <c r="E249" s="617"/>
      <c r="F249" s="617"/>
      <c r="G249" s="617"/>
      <c r="H249" s="617"/>
      <c r="I249" s="617"/>
      <c r="J249" s="617"/>
      <c r="K249" s="1694">
        <f t="shared" si="21"/>
        <v>0</v>
      </c>
      <c r="L249" s="466"/>
    </row>
    <row r="250" spans="1:12" x14ac:dyDescent="0.2">
      <c r="A250" s="1527" t="s">
        <v>1907</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10035</v>
      </c>
      <c r="E257" s="617"/>
      <c r="F257" s="617"/>
      <c r="G257" s="617"/>
      <c r="H257" s="617"/>
      <c r="I257" s="617"/>
      <c r="J257" s="617"/>
      <c r="K257" s="1692">
        <f>SUM(K245:K256)</f>
        <v>10035</v>
      </c>
      <c r="L257" s="1692">
        <f>SUM(L245:L256)</f>
        <v>18297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33455</v>
      </c>
      <c r="E259" s="617"/>
      <c r="F259" s="617"/>
      <c r="G259" s="617"/>
      <c r="H259" s="617"/>
      <c r="I259" s="617"/>
      <c r="J259" s="617"/>
      <c r="K259" s="1694">
        <f>D259</f>
        <v>33455</v>
      </c>
      <c r="L259" s="481">
        <v>38432</v>
      </c>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33455</v>
      </c>
      <c r="E261" s="617"/>
      <c r="F261" s="617"/>
      <c r="G261" s="617"/>
      <c r="H261" s="617"/>
      <c r="I261" s="617"/>
      <c r="J261" s="617"/>
      <c r="K261" s="1692">
        <f>SUM(K259:K260)</f>
        <v>33455</v>
      </c>
      <c r="L261" s="1692">
        <f>SUM(L259:L260)</f>
        <v>38432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6031</v>
      </c>
      <c r="E264" s="617"/>
      <c r="F264" s="617"/>
      <c r="G264" s="617"/>
      <c r="H264" s="617"/>
      <c r="I264" s="617"/>
      <c r="J264" s="617"/>
      <c r="K264" s="1694">
        <f t="shared" ref="K264:K269" si="22">D264</f>
        <v>6031</v>
      </c>
      <c r="L264" s="466">
        <v>13596</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66397</v>
      </c>
      <c r="E266" s="617"/>
      <c r="F266" s="617"/>
      <c r="G266" s="617"/>
      <c r="H266" s="617"/>
      <c r="I266" s="617"/>
      <c r="J266" s="617"/>
      <c r="K266" s="1694">
        <f t="shared" si="22"/>
        <v>66397</v>
      </c>
      <c r="L266" s="466">
        <v>69700</v>
      </c>
    </row>
    <row r="267" spans="1:14" x14ac:dyDescent="0.2">
      <c r="A267" s="1526" t="s">
        <v>1010</v>
      </c>
      <c r="B267" s="615">
        <v>2550</v>
      </c>
      <c r="C267" s="617"/>
      <c r="D267" s="466">
        <v>50824</v>
      </c>
      <c r="E267" s="617"/>
      <c r="F267" s="617"/>
      <c r="G267" s="617"/>
      <c r="H267" s="617"/>
      <c r="I267" s="617"/>
      <c r="J267" s="617"/>
      <c r="K267" s="1694">
        <f t="shared" si="22"/>
        <v>50824</v>
      </c>
      <c r="L267" s="466">
        <v>54000</v>
      </c>
    </row>
    <row r="268" spans="1:14" x14ac:dyDescent="0.2">
      <c r="A268" s="1526" t="s">
        <v>102</v>
      </c>
      <c r="B268" s="615">
        <v>2560</v>
      </c>
      <c r="C268" s="617"/>
      <c r="D268" s="466">
        <v>28665</v>
      </c>
      <c r="E268" s="617"/>
      <c r="F268" s="617"/>
      <c r="G268" s="617"/>
      <c r="H268" s="617"/>
      <c r="I268" s="617"/>
      <c r="J268" s="617"/>
      <c r="K268" s="1694">
        <f t="shared" si="22"/>
        <v>28665</v>
      </c>
      <c r="L268" s="466">
        <v>28847</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151917</v>
      </c>
      <c r="E270" s="617"/>
      <c r="F270" s="617"/>
      <c r="G270" s="617"/>
      <c r="H270" s="617"/>
      <c r="I270" s="617"/>
      <c r="J270" s="617"/>
      <c r="K270" s="1692">
        <f>SUM(K263:K269)</f>
        <v>151917</v>
      </c>
      <c r="L270" s="1692">
        <f>SUM(L263:L269)</f>
        <v>166143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233437</v>
      </c>
      <c r="E279" s="617"/>
      <c r="F279" s="617"/>
      <c r="G279" s="617"/>
      <c r="H279" s="617"/>
      <c r="I279" s="617"/>
      <c r="J279" s="617"/>
      <c r="K279" s="1699">
        <f>SUM(K238,K243,K257,K261,K270,K277,K278)</f>
        <v>233437</v>
      </c>
      <c r="L279" s="1699">
        <f>SUM(L238,L243,L257,L261,L270,L277,L278)</f>
        <v>258178</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420067</v>
      </c>
      <c r="E295" s="617"/>
      <c r="F295" s="617"/>
      <c r="G295" s="617"/>
      <c r="H295" s="1692">
        <f>H293</f>
        <v>0</v>
      </c>
      <c r="I295" s="617"/>
      <c r="J295" s="617"/>
      <c r="K295" s="1692">
        <f>SUM(K229,K279,K280,K285,K293,K294)</f>
        <v>420067</v>
      </c>
      <c r="L295" s="1692">
        <f>SUM(L229,L279,L280,L285,L293,L294)</f>
        <v>455305</v>
      </c>
    </row>
    <row r="296" spans="1:14" ht="13.5" thickTop="1" x14ac:dyDescent="0.2">
      <c r="A296" s="2175" t="s">
        <v>1053</v>
      </c>
      <c r="B296" s="2176"/>
      <c r="C296" s="617"/>
      <c r="D296" s="619"/>
      <c r="E296" s="617"/>
      <c r="F296" s="617"/>
      <c r="G296" s="617"/>
      <c r="H296" s="688"/>
      <c r="I296" s="617"/>
      <c r="J296" s="617"/>
      <c r="K296" s="1706">
        <f>'Revenues 9-14'!G275-'Expenditures 15-22'!K295</f>
        <v>4979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240000</v>
      </c>
      <c r="M319" s="666"/>
      <c r="N319" s="666"/>
    </row>
    <row r="320" spans="1:14" s="675" customFormat="1" x14ac:dyDescent="0.2">
      <c r="A320" s="1545" t="s">
        <v>1906</v>
      </c>
      <c r="B320" s="699" t="s">
        <v>300</v>
      </c>
      <c r="C320" s="467"/>
      <c r="D320" s="467"/>
      <c r="E320" s="467">
        <v>47961</v>
      </c>
      <c r="F320" s="467"/>
      <c r="G320" s="467"/>
      <c r="H320" s="467"/>
      <c r="I320" s="467"/>
      <c r="J320" s="467"/>
      <c r="K320" s="1693">
        <f t="shared" ref="K320:K327" si="24">SUM(C320:J320)</f>
        <v>47961</v>
      </c>
      <c r="L320" s="467"/>
      <c r="M320" s="666"/>
      <c r="N320" s="666"/>
    </row>
    <row r="321" spans="1:14" s="675" customFormat="1" x14ac:dyDescent="0.2">
      <c r="A321" s="1541" t="s">
        <v>318</v>
      </c>
      <c r="B321" s="698" t="s">
        <v>301</v>
      </c>
      <c r="C321" s="467"/>
      <c r="D321" s="467"/>
      <c r="E321" s="467">
        <v>21703</v>
      </c>
      <c r="F321" s="467"/>
      <c r="G321" s="467"/>
      <c r="H321" s="467"/>
      <c r="I321" s="467"/>
      <c r="J321" s="467"/>
      <c r="K321" s="1693">
        <f t="shared" si="24"/>
        <v>21703</v>
      </c>
      <c r="L321" s="467"/>
      <c r="M321" s="666"/>
      <c r="N321" s="666"/>
    </row>
    <row r="322" spans="1:14" s="675" customFormat="1" x14ac:dyDescent="0.2">
      <c r="A322" s="1541" t="s">
        <v>256</v>
      </c>
      <c r="B322" s="698" t="s">
        <v>302</v>
      </c>
      <c r="C322" s="467"/>
      <c r="D322" s="467"/>
      <c r="E322" s="467">
        <v>113835</v>
      </c>
      <c r="F322" s="467"/>
      <c r="G322" s="467"/>
      <c r="H322" s="467"/>
      <c r="I322" s="467"/>
      <c r="J322" s="467"/>
      <c r="K322" s="1693">
        <f t="shared" si="24"/>
        <v>113835</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20146</v>
      </c>
      <c r="F325" s="467"/>
      <c r="G325" s="467"/>
      <c r="H325" s="467"/>
      <c r="I325" s="467"/>
      <c r="J325" s="467"/>
      <c r="K325" s="1693">
        <f t="shared" si="24"/>
        <v>20146</v>
      </c>
      <c r="L325" s="467">
        <v>16000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29891</v>
      </c>
      <c r="F327" s="467"/>
      <c r="G327" s="467"/>
      <c r="H327" s="467"/>
      <c r="I327" s="467"/>
      <c r="J327" s="467"/>
      <c r="K327" s="1693">
        <f t="shared" si="24"/>
        <v>29891</v>
      </c>
      <c r="L327" s="467">
        <v>25000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233536</v>
      </c>
      <c r="F330" s="1692">
        <f t="shared" si="25"/>
        <v>0</v>
      </c>
      <c r="G330" s="1692">
        <f t="shared" si="25"/>
        <v>0</v>
      </c>
      <c r="H330" s="1692">
        <f t="shared" si="25"/>
        <v>0</v>
      </c>
      <c r="I330" s="1692">
        <f t="shared" si="25"/>
        <v>0</v>
      </c>
      <c r="J330" s="1692">
        <f t="shared" si="25"/>
        <v>0</v>
      </c>
      <c r="K330" s="1692">
        <f>SUM(K319:K329)</f>
        <v>233536</v>
      </c>
      <c r="L330" s="1692">
        <f>SUM(L319:L329)</f>
        <v>281000</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1956</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233536</v>
      </c>
      <c r="F342" s="1692">
        <f>SUM(F330)</f>
        <v>0</v>
      </c>
      <c r="G342" s="1692">
        <f>SUM(G330)</f>
        <v>0</v>
      </c>
      <c r="H342" s="1692">
        <f>SUM(H330,H334,H340)</f>
        <v>0</v>
      </c>
      <c r="I342" s="1692">
        <f>SUM(I330)</f>
        <v>0</v>
      </c>
      <c r="J342" s="1692">
        <f>SUM(J330)</f>
        <v>0</v>
      </c>
      <c r="K342" s="1692">
        <f>SUM(K330,K334,K340)</f>
        <v>233536</v>
      </c>
      <c r="L342" s="1699">
        <f>SUM(L330,L340,L341)</f>
        <v>281000</v>
      </c>
    </row>
    <row r="343" spans="1:14" ht="12.75" customHeight="1" thickTop="1" x14ac:dyDescent="0.2">
      <c r="A343" s="2188" t="s">
        <v>1053</v>
      </c>
      <c r="B343" s="2189"/>
      <c r="C343" s="617"/>
      <c r="D343" s="617"/>
      <c r="E343" s="617"/>
      <c r="F343" s="617"/>
      <c r="G343" s="617"/>
      <c r="H343" s="617"/>
      <c r="I343" s="617"/>
      <c r="J343" s="617"/>
      <c r="K343" s="1706">
        <f>'Revenues 9-14'!J275-'Expenditures 15-22'!K342</f>
        <v>-13155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160000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160000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160000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c r="I354" s="702"/>
      <c r="J354" s="617"/>
      <c r="K354" s="1721">
        <f>H354</f>
        <v>0</v>
      </c>
      <c r="L354" s="471"/>
    </row>
    <row r="355" spans="1:14" ht="12.75" customHeight="1" x14ac:dyDescent="0.2">
      <c r="A355" s="1535" t="s">
        <v>1963</v>
      </c>
      <c r="B355" s="691" t="s">
        <v>1956</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160000</v>
      </c>
    </row>
    <row r="368" spans="1:14" ht="13.5" thickTop="1" x14ac:dyDescent="0.2">
      <c r="A368" s="2175" t="s">
        <v>1053</v>
      </c>
      <c r="B368" s="2176"/>
      <c r="C368" s="655"/>
      <c r="D368" s="655"/>
      <c r="E368" s="627"/>
      <c r="F368" s="627"/>
      <c r="G368" s="627"/>
      <c r="H368" s="627"/>
      <c r="I368" s="627"/>
      <c r="J368" s="624"/>
      <c r="K368" s="1693">
        <f>'Revenues 9-14'!K275-'Expenditures 15-22'!K367</f>
        <v>39243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1903</v>
      </c>
      <c r="B2" s="1550" t="s">
        <v>2033</v>
      </c>
      <c r="C2" s="715" t="s">
        <v>1908</v>
      </c>
      <c r="D2" s="715" t="s">
        <v>1909</v>
      </c>
      <c r="E2" s="715" t="s">
        <v>1910</v>
      </c>
      <c r="F2" s="715" t="s">
        <v>1911</v>
      </c>
    </row>
    <row r="3" spans="1:6" ht="12" customHeight="1" x14ac:dyDescent="0.2">
      <c r="A3" s="2203"/>
      <c r="B3" s="1547"/>
      <c r="C3" s="1548"/>
      <c r="D3" s="1549" t="s">
        <v>274</v>
      </c>
      <c r="E3" s="1548"/>
      <c r="F3" s="1549" t="s">
        <v>275</v>
      </c>
    </row>
    <row r="4" spans="1:6" ht="13.7" customHeight="1" x14ac:dyDescent="0.2">
      <c r="A4" s="716" t="s">
        <v>1217</v>
      </c>
      <c r="B4" s="1771">
        <f>'Revenues 9-14'!C5</f>
        <v>2159628</v>
      </c>
      <c r="C4" s="1546"/>
      <c r="D4" s="1774">
        <f>B4-C4</f>
        <v>2159628</v>
      </c>
      <c r="E4" s="1546">
        <v>2244992</v>
      </c>
      <c r="F4" s="1774">
        <f>E4-C4</f>
        <v>2244992</v>
      </c>
    </row>
    <row r="5" spans="1:6" ht="13.7" customHeight="1" x14ac:dyDescent="0.2">
      <c r="A5" s="716" t="s">
        <v>925</v>
      </c>
      <c r="B5" s="1772">
        <f>'Revenues 9-14'!D5</f>
        <v>364754</v>
      </c>
      <c r="C5" s="585"/>
      <c r="D5" s="1775">
        <f t="shared" ref="D5:D18" si="0">B5-C5</f>
        <v>364754</v>
      </c>
      <c r="E5" s="585">
        <v>379222</v>
      </c>
      <c r="F5" s="1775">
        <f>E5-C5</f>
        <v>379222</v>
      </c>
    </row>
    <row r="6" spans="1:6" ht="13.7" customHeight="1" x14ac:dyDescent="0.2">
      <c r="A6" s="716" t="s">
        <v>431</v>
      </c>
      <c r="B6" s="1772">
        <f>'Revenues 9-14'!E5</f>
        <v>306891</v>
      </c>
      <c r="C6" s="585"/>
      <c r="D6" s="1775">
        <f t="shared" si="0"/>
        <v>306891</v>
      </c>
      <c r="E6" s="585">
        <v>307670</v>
      </c>
      <c r="F6" s="1775">
        <f t="shared" ref="F6:F18" si="1">E6-C6</f>
        <v>307670</v>
      </c>
    </row>
    <row r="7" spans="1:6" ht="13.7" customHeight="1" x14ac:dyDescent="0.2">
      <c r="A7" s="716" t="s">
        <v>157</v>
      </c>
      <c r="B7" s="1772">
        <f>'Revenues 9-14'!F5</f>
        <v>145902</v>
      </c>
      <c r="C7" s="585"/>
      <c r="D7" s="1775">
        <f t="shared" si="0"/>
        <v>145902</v>
      </c>
      <c r="E7" s="585">
        <v>151689</v>
      </c>
      <c r="F7" s="1775">
        <f t="shared" si="1"/>
        <v>151689</v>
      </c>
    </row>
    <row r="8" spans="1:6" ht="13.7" customHeight="1" x14ac:dyDescent="0.2">
      <c r="A8" s="716" t="s">
        <v>1241</v>
      </c>
      <c r="B8" s="1772">
        <f>'Revenues 9-14'!G5</f>
        <v>206869</v>
      </c>
      <c r="C8" s="585"/>
      <c r="D8" s="1775">
        <f t="shared" si="0"/>
        <v>206869</v>
      </c>
      <c r="E8" s="585">
        <v>208003</v>
      </c>
      <c r="F8" s="1775">
        <f t="shared" si="1"/>
        <v>208003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36474</v>
      </c>
      <c r="C10" s="585"/>
      <c r="D10" s="1775">
        <f t="shared" si="0"/>
        <v>36474</v>
      </c>
      <c r="E10" s="585">
        <v>37922</v>
      </c>
      <c r="F10" s="1775">
        <f t="shared" si="1"/>
        <v>37922</v>
      </c>
    </row>
    <row r="11" spans="1:6" x14ac:dyDescent="0.2">
      <c r="A11" s="716" t="s">
        <v>429</v>
      </c>
      <c r="B11" s="1772">
        <f>'Revenues 9-14'!J5</f>
        <v>218845</v>
      </c>
      <c r="C11" s="585"/>
      <c r="D11" s="1775">
        <f t="shared" si="0"/>
        <v>218845</v>
      </c>
      <c r="E11" s="585">
        <v>225000</v>
      </c>
      <c r="F11" s="1775">
        <f t="shared" si="1"/>
        <v>225000</v>
      </c>
    </row>
    <row r="12" spans="1:6" ht="13.7" customHeight="1" x14ac:dyDescent="0.2">
      <c r="A12" s="716" t="s">
        <v>159</v>
      </c>
      <c r="B12" s="1772">
        <f>'Revenues 9-14'!K5</f>
        <v>36474</v>
      </c>
      <c r="C12" s="585"/>
      <c r="D12" s="1775">
        <f t="shared" si="0"/>
        <v>36474</v>
      </c>
      <c r="E12" s="585">
        <v>37922</v>
      </c>
      <c r="F12" s="1775">
        <f t="shared" si="1"/>
        <v>37922</v>
      </c>
    </row>
    <row r="13" spans="1:6" ht="13.7" customHeight="1" x14ac:dyDescent="0.2">
      <c r="A13" s="716" t="s">
        <v>993</v>
      </c>
      <c r="B13" s="1772">
        <f>SUM('Revenues 9-14'!C6:D6)</f>
        <v>36605</v>
      </c>
      <c r="C13" s="585"/>
      <c r="D13" s="1775">
        <f t="shared" si="0"/>
        <v>36605</v>
      </c>
      <c r="E13" s="585">
        <v>37922</v>
      </c>
      <c r="F13" s="1775">
        <f t="shared" si="1"/>
        <v>37922</v>
      </c>
    </row>
    <row r="14" spans="1:6" ht="13.7" customHeight="1" x14ac:dyDescent="0.2">
      <c r="A14" s="716" t="s">
        <v>430</v>
      </c>
      <c r="B14" s="1772">
        <f>SUM('Revenues 9-14'!C7:D7,'Revenues 9-14'!F7:H7)</f>
        <v>29285</v>
      </c>
      <c r="C14" s="585"/>
      <c r="D14" s="1775">
        <f t="shared" si="0"/>
        <v>29285</v>
      </c>
      <c r="E14" s="585">
        <v>30338</v>
      </c>
      <c r="F14" s="1775">
        <f t="shared" si="1"/>
        <v>30338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206869</v>
      </c>
      <c r="C16" s="585"/>
      <c r="D16" s="1775">
        <f t="shared" si="0"/>
        <v>206869</v>
      </c>
      <c r="E16" s="585">
        <v>208003</v>
      </c>
      <c r="F16" s="1775">
        <f t="shared" si="1"/>
        <v>208003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3748596</v>
      </c>
      <c r="C19" s="1773">
        <f>SUM(C4:C18)</f>
        <v>0</v>
      </c>
      <c r="D19" s="1773">
        <f>SUM(D4:D18)</f>
        <v>3748596</v>
      </c>
      <c r="E19" s="1773">
        <f>SUM(E4:E18)</f>
        <v>3868683</v>
      </c>
      <c r="F19" s="1773">
        <f>SUM(F4:F18)</f>
        <v>3868683</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I32" sqref="I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1903</v>
      </c>
      <c r="B2" s="2230"/>
      <c r="C2" s="1909" t="s">
        <v>2034</v>
      </c>
      <c r="D2" s="724" t="s">
        <v>2041</v>
      </c>
      <c r="E2" s="724" t="s">
        <v>2042</v>
      </c>
      <c r="F2" s="1909" t="s">
        <v>2035</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2036</v>
      </c>
      <c r="F30" s="1910" t="s">
        <v>2037</v>
      </c>
      <c r="G30" s="1910" t="s">
        <v>2040</v>
      </c>
      <c r="H30" s="1910" t="s">
        <v>2038</v>
      </c>
      <c r="I30" s="1910" t="s">
        <v>2039</v>
      </c>
      <c r="J30" s="1911" t="s">
        <v>2</v>
      </c>
      <c r="K30" s="732"/>
    </row>
    <row r="31" spans="1:11" ht="12" customHeight="1" x14ac:dyDescent="0.2">
      <c r="A31" s="733" t="s">
        <v>2091</v>
      </c>
      <c r="B31" s="734">
        <v>42429</v>
      </c>
      <c r="C31" s="735">
        <v>900000</v>
      </c>
      <c r="D31" s="736">
        <v>1</v>
      </c>
      <c r="E31" s="735">
        <v>605000</v>
      </c>
      <c r="F31" s="735"/>
      <c r="G31" s="735"/>
      <c r="H31" s="735">
        <v>300000</v>
      </c>
      <c r="I31" s="1778">
        <f>((E31+F31)-H31)+G31</f>
        <v>305000</v>
      </c>
      <c r="J31" s="735">
        <v>292032</v>
      </c>
      <c r="K31" s="737"/>
    </row>
    <row r="32" spans="1:11" ht="12" customHeight="1" x14ac:dyDescent="0.2">
      <c r="A32" s="733" t="s">
        <v>2111</v>
      </c>
      <c r="B32" s="734">
        <v>42985</v>
      </c>
      <c r="C32" s="735">
        <v>139800</v>
      </c>
      <c r="D32" s="736">
        <v>7</v>
      </c>
      <c r="E32" s="735"/>
      <c r="F32" s="735">
        <v>139800</v>
      </c>
      <c r="G32" s="735"/>
      <c r="H32" s="735">
        <v>30387</v>
      </c>
      <c r="I32" s="1778">
        <f>((E32+F32)-H32)+G32</f>
        <v>109413</v>
      </c>
      <c r="J32" s="735">
        <v>109413</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1039800</v>
      </c>
      <c r="D49" s="746"/>
      <c r="E49" s="1778">
        <f t="shared" ref="E49:J49" si="2">SUM(E31:E48)</f>
        <v>605000</v>
      </c>
      <c r="F49" s="1778">
        <f t="shared" si="2"/>
        <v>139800</v>
      </c>
      <c r="G49" s="1778">
        <f t="shared" si="2"/>
        <v>0</v>
      </c>
      <c r="H49" s="1778">
        <f t="shared" si="2"/>
        <v>330387</v>
      </c>
      <c r="I49" s="1778">
        <f t="shared" si="2"/>
        <v>414413</v>
      </c>
      <c r="J49" s="1778">
        <f t="shared" si="2"/>
        <v>401445</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t="s">
        <v>2112</v>
      </c>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1917</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29285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3750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18754</v>
      </c>
    </row>
    <row r="10" spans="1:11" x14ac:dyDescent="0.2">
      <c r="A10" s="2236" t="s">
        <v>1918</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29285</v>
      </c>
      <c r="I12" s="1780">
        <f>SUM(I5:I11)</f>
        <v>0</v>
      </c>
      <c r="J12" s="1780">
        <f>SUM(J5:J11)</f>
        <v>0</v>
      </c>
      <c r="K12" s="1780">
        <f>SUM(K5:K11)</f>
        <v>22504</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29285</v>
      </c>
      <c r="I14" s="772"/>
      <c r="J14" s="774"/>
      <c r="K14" s="766">
        <v>22504</v>
      </c>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1914</v>
      </c>
      <c r="B19" s="2245"/>
      <c r="C19" s="2245"/>
      <c r="D19" s="2245"/>
      <c r="E19" s="2246"/>
      <c r="F19" s="790" t="s">
        <v>990</v>
      </c>
      <c r="G19" s="783"/>
      <c r="H19" s="783"/>
      <c r="I19" s="783"/>
      <c r="J19" s="766"/>
      <c r="K19" s="796"/>
    </row>
    <row r="20" spans="1:11" x14ac:dyDescent="0.2">
      <c r="A20" s="2247" t="s">
        <v>1919</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1920</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29285</v>
      </c>
      <c r="I23" s="1780">
        <f>SUM(I14:I16,I21,I22)</f>
        <v>0</v>
      </c>
      <c r="J23" s="1780">
        <f>SUM(J14:J16,J21,J22)</f>
        <v>0</v>
      </c>
      <c r="K23" s="1780">
        <f>SUM(K14:K16,K21,K22)</f>
        <v>22504</v>
      </c>
    </row>
    <row r="24" spans="1:11" ht="14.25" thickTop="1" thickBot="1" x14ac:dyDescent="0.25">
      <c r="A24" s="2267" t="s">
        <v>2022</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1915</v>
      </c>
      <c r="B46" s="408" t="s">
        <v>1774</v>
      </c>
    </row>
    <row r="47" spans="1:11" s="824" customFormat="1" ht="12.75" customHeight="1" x14ac:dyDescent="0.2">
      <c r="A47" s="822"/>
      <c r="B47" s="823" t="s">
        <v>1775</v>
      </c>
      <c r="E47" s="823"/>
      <c r="K47" s="825"/>
    </row>
    <row r="48" spans="1:11" ht="12.75" customHeight="1" x14ac:dyDescent="0.2">
      <c r="A48" s="1554"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2031</v>
      </c>
      <c r="B1" s="2273"/>
      <c r="C1" s="2274"/>
      <c r="D1" s="827"/>
      <c r="E1" s="828"/>
      <c r="F1" s="828"/>
      <c r="G1" s="829"/>
      <c r="H1" s="830"/>
      <c r="I1" s="831"/>
      <c r="J1" s="2270"/>
      <c r="K1" s="2271"/>
      <c r="L1" s="2271"/>
    </row>
    <row r="2" spans="1:14" ht="69.75" customHeight="1" x14ac:dyDescent="0.2">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106415</v>
      </c>
      <c r="D5" s="842">
        <v>112016</v>
      </c>
      <c r="E5" s="842"/>
      <c r="F5" s="1782">
        <f>(C5+D5)-E5</f>
        <v>218431</v>
      </c>
      <c r="G5" s="838"/>
      <c r="H5" s="843"/>
      <c r="I5" s="843"/>
      <c r="J5" s="843"/>
      <c r="K5" s="794"/>
      <c r="L5" s="1791">
        <f>F5-K5</f>
        <v>218431</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6854157</v>
      </c>
      <c r="D8" s="845"/>
      <c r="E8" s="845"/>
      <c r="F8" s="1782">
        <f>(C8+D8)-E8</f>
        <v>6854157</v>
      </c>
      <c r="G8" s="844">
        <v>50</v>
      </c>
      <c r="H8" s="766">
        <v>2980233</v>
      </c>
      <c r="I8" s="766">
        <v>137084</v>
      </c>
      <c r="J8" s="766"/>
      <c r="K8" s="1791">
        <f>(H8+I8)-J8</f>
        <v>3117317</v>
      </c>
      <c r="L8" s="1791">
        <f>F8-K8</f>
        <v>3736840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2366691</v>
      </c>
      <c r="D10" s="847">
        <v>358844</v>
      </c>
      <c r="E10" s="847"/>
      <c r="F10" s="1786">
        <f>(C10+D10)-E10</f>
        <v>2725535</v>
      </c>
      <c r="G10" s="844">
        <v>20</v>
      </c>
      <c r="H10" s="848">
        <v>1358393</v>
      </c>
      <c r="I10" s="848">
        <v>136277</v>
      </c>
      <c r="J10" s="848"/>
      <c r="K10" s="1791">
        <f>(H10+I10)-J10</f>
        <v>1494670</v>
      </c>
      <c r="L10" s="1791">
        <f>F10-K10</f>
        <v>1230865</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4509022</v>
      </c>
      <c r="D12" s="845"/>
      <c r="E12" s="845"/>
      <c r="F12" s="1782">
        <f>(C12+D12)-E12</f>
        <v>4509022</v>
      </c>
      <c r="G12" s="844">
        <v>10</v>
      </c>
      <c r="H12" s="766">
        <v>4021157</v>
      </c>
      <c r="I12" s="766">
        <v>120828</v>
      </c>
      <c r="J12" s="766"/>
      <c r="K12" s="1791">
        <f>(H12+I12)-J12</f>
        <v>4141985</v>
      </c>
      <c r="L12" s="1791">
        <f>F12-K12</f>
        <v>367037</v>
      </c>
    </row>
    <row r="13" spans="1:14" ht="14.25" thickTop="1" thickBot="1" x14ac:dyDescent="0.25">
      <c r="A13" s="849" t="s">
        <v>1184</v>
      </c>
      <c r="B13" s="841">
        <v>252</v>
      </c>
      <c r="C13" s="845">
        <v>1367139</v>
      </c>
      <c r="D13" s="845">
        <v>139800</v>
      </c>
      <c r="E13" s="845"/>
      <c r="F13" s="1782">
        <f>(C13+D13)-E13</f>
        <v>1506939</v>
      </c>
      <c r="G13" s="844">
        <v>5</v>
      </c>
      <c r="H13" s="766">
        <v>1160625</v>
      </c>
      <c r="I13" s="766">
        <v>83924</v>
      </c>
      <c r="J13" s="766"/>
      <c r="K13" s="1791">
        <f>(H13+I13)-J13</f>
        <v>1244549</v>
      </c>
      <c r="L13" s="1791">
        <f>F13-K13</f>
        <v>262390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15203424</v>
      </c>
      <c r="D16" s="1782">
        <f>SUM(D3,D5:D6,D8:D10,D12:D15)</f>
        <v>610660</v>
      </c>
      <c r="E16" s="1782">
        <f>SUM(E3,E5:E6,E8:E10,E12:E15)</f>
        <v>0</v>
      </c>
      <c r="F16" s="1782">
        <f>SUM(F3,F5:F6,F8:F10,F12:F15)</f>
        <v>15814084</v>
      </c>
      <c r="G16" s="844"/>
      <c r="H16" s="1782">
        <f>SUM(H3,H6,H8:H10,H12:H14,)</f>
        <v>9520408</v>
      </c>
      <c r="I16" s="1782">
        <f>SUM(I3,I6,I8:I10,I12:I14,)</f>
        <v>478113</v>
      </c>
      <c r="J16" s="1782">
        <f>SUM(J3,J6,J8:J10,J12:J14,)</f>
        <v>0</v>
      </c>
      <c r="K16" s="1782">
        <f>(H16+I16)-J16</f>
        <v>9998521</v>
      </c>
      <c r="L16" s="1782">
        <f>F16-K16</f>
        <v>5815563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478113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11200905</v>
      </c>
      <c r="G8" s="866"/>
    </row>
    <row r="9" spans="1:7" x14ac:dyDescent="0.2">
      <c r="A9" s="870" t="s">
        <v>480</v>
      </c>
      <c r="B9" s="871" t="s">
        <v>1986</v>
      </c>
      <c r="C9" s="872"/>
      <c r="D9" s="870" t="s">
        <v>522</v>
      </c>
      <c r="E9" s="869"/>
      <c r="F9" s="1935">
        <f>'Expenditures 15-22'!K151</f>
        <v>724011</v>
      </c>
      <c r="G9" s="873"/>
    </row>
    <row r="10" spans="1:7" x14ac:dyDescent="0.2">
      <c r="A10" s="870" t="s">
        <v>520</v>
      </c>
      <c r="B10" s="871" t="s">
        <v>1987</v>
      </c>
      <c r="C10" s="872"/>
      <c r="D10" s="870" t="s">
        <v>522</v>
      </c>
      <c r="E10" s="869"/>
      <c r="F10" s="1935">
        <f>'Expenditures 15-22'!K174</f>
        <v>310588</v>
      </c>
      <c r="G10" s="873"/>
    </row>
    <row r="11" spans="1:7" x14ac:dyDescent="0.2">
      <c r="A11" s="870" t="s">
        <v>481</v>
      </c>
      <c r="B11" s="871" t="s">
        <v>1988</v>
      </c>
      <c r="C11" s="872"/>
      <c r="D11" s="870" t="s">
        <v>522</v>
      </c>
      <c r="E11" s="869"/>
      <c r="F11" s="1935">
        <f>'Expenditures 15-22'!K210</f>
        <v>590519</v>
      </c>
      <c r="G11" s="873"/>
    </row>
    <row r="12" spans="1:7" x14ac:dyDescent="0.2">
      <c r="A12" s="870" t="s">
        <v>482</v>
      </c>
      <c r="B12" s="871" t="s">
        <v>1989</v>
      </c>
      <c r="C12" s="872"/>
      <c r="D12" s="870" t="s">
        <v>522</v>
      </c>
      <c r="E12" s="869"/>
      <c r="F12" s="1935">
        <f>'Expenditures 15-22'!K295</f>
        <v>420067</v>
      </c>
      <c r="G12" s="873"/>
    </row>
    <row r="13" spans="1:7" x14ac:dyDescent="0.2">
      <c r="A13" s="870" t="s">
        <v>108</v>
      </c>
      <c r="B13" s="871" t="s">
        <v>1990</v>
      </c>
      <c r="C13" s="872"/>
      <c r="D13" s="870" t="s">
        <v>522</v>
      </c>
      <c r="E13" s="869"/>
      <c r="F13" s="1935">
        <f>'Expenditures 15-22'!K342</f>
        <v>233536</v>
      </c>
      <c r="G13" s="874"/>
    </row>
    <row r="14" spans="1:7" ht="12" customHeight="1" thickBot="1" x14ac:dyDescent="0.25">
      <c r="A14" s="1792"/>
      <c r="B14" s="1793"/>
      <c r="C14" s="1794"/>
      <c r="D14" s="1795" t="s">
        <v>522</v>
      </c>
      <c r="E14" s="1796" t="s">
        <v>1015</v>
      </c>
      <c r="F14" s="1797">
        <f>SUM(F8:F13)</f>
        <v>13479626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105641</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9">
        <f>'Expenditures 15-22'!K139</f>
        <v>0</v>
      </c>
      <c r="G57" s="866"/>
    </row>
    <row r="58" spans="1:7" x14ac:dyDescent="0.2">
      <c r="A58" s="870" t="s">
        <v>480</v>
      </c>
      <c r="B58" s="870" t="s">
        <v>1992</v>
      </c>
      <c r="C58" s="887" t="s">
        <v>1039</v>
      </c>
      <c r="D58" s="886" t="s">
        <v>1157</v>
      </c>
      <c r="E58" s="869"/>
      <c r="F58" s="1941">
        <f>'Expenditures 15-22'!G151</f>
        <v>470859</v>
      </c>
      <c r="G58" s="866"/>
    </row>
    <row r="59" spans="1:7" x14ac:dyDescent="0.2">
      <c r="A59" s="894" t="s">
        <v>480</v>
      </c>
      <c r="B59" s="857" t="s">
        <v>1993</v>
      </c>
      <c r="C59" s="895" t="s">
        <v>1039</v>
      </c>
      <c r="D59" s="857" t="s">
        <v>309</v>
      </c>
      <c r="F59" s="1942">
        <f>'Expenditures 15-22'!I151</f>
        <v>0</v>
      </c>
      <c r="G59" s="866"/>
    </row>
    <row r="60" spans="1:7" x14ac:dyDescent="0.2">
      <c r="A60" s="894" t="s">
        <v>520</v>
      </c>
      <c r="B60" s="857" t="s">
        <v>1994</v>
      </c>
      <c r="C60" s="895">
        <v>4000</v>
      </c>
      <c r="D60" s="857" t="s">
        <v>330</v>
      </c>
      <c r="F60" s="1940">
        <f>'Expenditures 15-22'!K160</f>
        <v>0</v>
      </c>
      <c r="G60" s="866"/>
    </row>
    <row r="61" spans="1:7" x14ac:dyDescent="0.2">
      <c r="A61" s="896" t="s">
        <v>520</v>
      </c>
      <c r="B61" s="896" t="s">
        <v>1995</v>
      </c>
      <c r="C61" s="897" t="str">
        <f>'Expenditures 15-22'!B170</f>
        <v>5300</v>
      </c>
      <c r="D61" s="898" t="s">
        <v>329</v>
      </c>
      <c r="E61" s="880"/>
      <c r="F61" s="1939">
        <f>'Expenditures 15-22'!K170</f>
        <v>300000</v>
      </c>
      <c r="G61" s="866"/>
    </row>
    <row r="62" spans="1:7" x14ac:dyDescent="0.2">
      <c r="A62" s="870" t="s">
        <v>481</v>
      </c>
      <c r="B62" s="870" t="s">
        <v>1996</v>
      </c>
      <c r="C62" s="887">
        <f>'Expenditures 15-22'!B185</f>
        <v>3000</v>
      </c>
      <c r="D62" s="877" t="s">
        <v>469</v>
      </c>
      <c r="E62" s="869"/>
      <c r="F62" s="1939">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1998</v>
      </c>
      <c r="C64" s="897" t="str">
        <f>'Expenditures 15-22'!B206</f>
        <v>5300</v>
      </c>
      <c r="D64" s="893" t="s">
        <v>329</v>
      </c>
      <c r="E64" s="869"/>
      <c r="F64" s="1939">
        <f>'Expenditures 15-22'!K206</f>
        <v>30387</v>
      </c>
      <c r="G64" s="866"/>
    </row>
    <row r="65" spans="1:8" x14ac:dyDescent="0.2">
      <c r="A65" s="870" t="s">
        <v>481</v>
      </c>
      <c r="B65" s="870" t="s">
        <v>1999</v>
      </c>
      <c r="C65" s="887" t="s">
        <v>1039</v>
      </c>
      <c r="D65" s="886" t="s">
        <v>1157</v>
      </c>
      <c r="E65" s="869"/>
      <c r="F65" s="1939">
        <f>'Expenditures 15-22'!G210</f>
        <v>139800</v>
      </c>
      <c r="G65" s="866"/>
    </row>
    <row r="66" spans="1:8" x14ac:dyDescent="0.2">
      <c r="A66" s="870" t="s">
        <v>481</v>
      </c>
      <c r="B66" s="870" t="s">
        <v>2000</v>
      </c>
      <c r="C66" s="887" t="s">
        <v>1039</v>
      </c>
      <c r="D66" s="886" t="s">
        <v>309</v>
      </c>
      <c r="E66" s="869"/>
      <c r="F66" s="1939">
        <f>'Expenditures 15-22'!I210</f>
        <v>0</v>
      </c>
      <c r="G66" s="866"/>
    </row>
    <row r="67" spans="1:8" x14ac:dyDescent="0.2">
      <c r="A67" s="870" t="s">
        <v>482</v>
      </c>
      <c r="B67" s="870" t="s">
        <v>2001</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2003</v>
      </c>
      <c r="C70" s="887">
        <f>'Expenditures 15-22'!B221</f>
        <v>1300</v>
      </c>
      <c r="D70" s="888" t="str">
        <f>'Expenditures 15-22'!A221</f>
        <v>Adult/Continuing Education Programs</v>
      </c>
      <c r="E70" s="869"/>
      <c r="F70" s="1939">
        <f>'Expenditures 15-22'!K221</f>
        <v>0</v>
      </c>
      <c r="G70" s="866"/>
    </row>
    <row r="71" spans="1:8" x14ac:dyDescent="0.2">
      <c r="A71" s="870" t="s">
        <v>482</v>
      </c>
      <c r="B71" s="870" t="s">
        <v>2004</v>
      </c>
      <c r="C71" s="887">
        <f>'Expenditures 15-22'!B224</f>
        <v>1600</v>
      </c>
      <c r="D71" s="888" t="str">
        <f>'Expenditures 15-22'!A224</f>
        <v>Summer School Programs</v>
      </c>
      <c r="E71" s="869"/>
      <c r="F71" s="1939">
        <f>'Expenditures 15-22'!K224</f>
        <v>0</v>
      </c>
      <c r="G71" s="866"/>
    </row>
    <row r="72" spans="1:8" x14ac:dyDescent="0.2">
      <c r="A72" s="870" t="s">
        <v>482</v>
      </c>
      <c r="B72" s="870" t="s">
        <v>2005</v>
      </c>
      <c r="C72" s="887">
        <f>'Expenditures 15-22'!B280</f>
        <v>3000</v>
      </c>
      <c r="D72" s="877" t="s">
        <v>469</v>
      </c>
      <c r="E72" s="869"/>
      <c r="F72" s="1939">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2007</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1046687</v>
      </c>
      <c r="G76" s="866"/>
    </row>
    <row r="77" spans="1:8" s="894" customFormat="1" ht="12" customHeight="1" thickTop="1" thickBot="1" x14ac:dyDescent="0.25">
      <c r="A77" s="1801"/>
      <c r="B77" s="1798"/>
      <c r="C77" s="1794"/>
      <c r="D77" s="1799" t="s">
        <v>2009</v>
      </c>
      <c r="E77" s="1796"/>
      <c r="F77" s="1802">
        <f>(F14-F76)</f>
        <v>12432939</v>
      </c>
      <c r="G77" s="870"/>
    </row>
    <row r="78" spans="1:8" s="894" customFormat="1" ht="12" customHeight="1" thickTop="1" x14ac:dyDescent="0.2">
      <c r="A78" s="1803"/>
      <c r="B78" s="1798"/>
      <c r="C78" s="1794"/>
      <c r="D78" s="1799" t="s">
        <v>2055</v>
      </c>
      <c r="E78" s="1796"/>
      <c r="F78" s="899">
        <v>1082.72</v>
      </c>
      <c r="G78" s="900"/>
      <c r="H78" s="870"/>
    </row>
    <row r="79" spans="1:8" s="894" customFormat="1" ht="12" customHeight="1" thickBot="1" x14ac:dyDescent="0.25">
      <c r="A79" s="1804"/>
      <c r="B79" s="1798"/>
      <c r="C79" s="1794"/>
      <c r="D79" s="1799" t="s">
        <v>2010</v>
      </c>
      <c r="E79" s="1796" t="s">
        <v>1015</v>
      </c>
      <c r="F79" s="1805">
        <f>IF(F78&gt;0,F77/F78," Complete Line 78")</f>
        <v>11483.06025565243</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26741</v>
      </c>
      <c r="G94" s="913"/>
    </row>
    <row r="95" spans="1:7" x14ac:dyDescent="0.2">
      <c r="A95" s="909" t="s">
        <v>142</v>
      </c>
      <c r="B95" s="909" t="s">
        <v>177</v>
      </c>
      <c r="C95" s="911">
        <v>1700</v>
      </c>
      <c r="D95" s="919" t="str">
        <f>'Revenues 9-14'!A82</f>
        <v>Total District/School Activity Income</v>
      </c>
      <c r="E95" s="907"/>
      <c r="F95" s="1811">
        <f>SUM('Revenues 9-14'!C82,'Revenues 9-14'!D82)</f>
        <v>24642</v>
      </c>
      <c r="G95" s="913"/>
    </row>
    <row r="96" spans="1:7" x14ac:dyDescent="0.2">
      <c r="A96" s="909" t="s">
        <v>479</v>
      </c>
      <c r="B96" s="909" t="s">
        <v>178</v>
      </c>
      <c r="C96" s="911">
        <f>'Revenues 9-14'!B84</f>
        <v>1811</v>
      </c>
      <c r="D96" s="912" t="str">
        <f>'Revenues 9-14'!A84</f>
        <v>Rentals - Regular Textbooks</v>
      </c>
      <c r="E96" s="907"/>
      <c r="F96" s="1811">
        <f>'Revenues 9-14'!C84</f>
        <v>25581</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4012</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788476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3743</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9287</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18754</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346958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575132</v>
      </c>
      <c r="G129" s="931"/>
    </row>
    <row r="130" spans="1:7" x14ac:dyDescent="0.2">
      <c r="A130" s="928" t="s">
        <v>689</v>
      </c>
      <c r="B130" s="928" t="s">
        <v>804</v>
      </c>
      <c r="C130" s="933">
        <v>4300</v>
      </c>
      <c r="D130" s="934" t="str">
        <f>'Revenues 9-14'!A211</f>
        <v>Total Title I</v>
      </c>
      <c r="E130" s="907"/>
      <c r="F130" s="1811">
        <f>SUM('Revenues 9-14'!C211,'Revenues 9-14'!D211,'Revenues 9-14'!F211,'Revenues 9-14'!G211)</f>
        <v>451205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15234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16689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63776</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2054</v>
      </c>
      <c r="C175" s="1946">
        <v>3100</v>
      </c>
      <c r="D175" s="1947" t="s">
        <v>2057</v>
      </c>
      <c r="E175" s="907"/>
      <c r="F175" s="1931"/>
      <c r="G175" s="928"/>
    </row>
    <row r="176" spans="1:7" x14ac:dyDescent="0.2">
      <c r="A176" s="1944" t="s">
        <v>685</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2370230</v>
      </c>
    </row>
    <row r="179" spans="1:7" ht="12" customHeight="1" x14ac:dyDescent="0.2">
      <c r="A179" s="1792"/>
      <c r="B179" s="1806"/>
      <c r="C179" s="1807"/>
      <c r="D179" s="1808" t="s">
        <v>2012</v>
      </c>
      <c r="E179" s="1809"/>
      <c r="F179" s="1811">
        <f>'PCTC-OEPP 27-28'!F77-F178</f>
        <v>10062709</v>
      </c>
    </row>
    <row r="180" spans="1:7" ht="12" customHeight="1" x14ac:dyDescent="0.2">
      <c r="A180" s="1792"/>
      <c r="B180" s="1806"/>
      <c r="C180" s="1807"/>
      <c r="D180" s="1808" t="s">
        <v>1922</v>
      </c>
      <c r="E180" s="1809"/>
      <c r="F180" s="1811">
        <f>'Cap Outlay Deprec 26'!I18</f>
        <v>478113</v>
      </c>
    </row>
    <row r="181" spans="1:7" ht="12" customHeight="1" x14ac:dyDescent="0.2">
      <c r="A181" s="1792"/>
      <c r="B181" s="1806"/>
      <c r="C181" s="1807"/>
      <c r="D181" s="1808" t="s">
        <v>2013</v>
      </c>
      <c r="E181" s="1809"/>
      <c r="F181" s="1811">
        <f>F179+F180</f>
        <v>10540822</v>
      </c>
    </row>
    <row r="182" spans="1:7" ht="12" customHeight="1" x14ac:dyDescent="0.2">
      <c r="A182" s="1792"/>
      <c r="B182" s="1812"/>
      <c r="C182" s="1807"/>
      <c r="D182" s="1808" t="str">
        <f>D78</f>
        <v>9 Month ADA from District Average Daily Attendance/Prior General State Aid Inquiry 2017-2018</v>
      </c>
      <c r="E182" s="1809"/>
      <c r="F182" s="1813">
        <f>'PCTC-OEPP 27-28'!F78</f>
        <v>1082.72</v>
      </c>
      <c r="G182" s="931"/>
    </row>
    <row r="183" spans="1:7" ht="12" customHeight="1" thickBot="1" x14ac:dyDescent="0.25">
      <c r="A183" s="1792"/>
      <c r="B183" s="1812"/>
      <c r="C183" s="1807"/>
      <c r="D183" s="1808" t="s">
        <v>2014</v>
      </c>
      <c r="E183" s="1809" t="s">
        <v>1626</v>
      </c>
      <c r="F183" s="1814">
        <f>F181/F182</f>
        <v>9735.5013299837447</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1923</v>
      </c>
      <c r="B4" s="2290"/>
      <c r="C4" s="2290"/>
      <c r="D4" s="2290"/>
      <c r="E4" s="2290"/>
      <c r="F4" s="2290"/>
      <c r="G4" s="2291"/>
    </row>
    <row r="5" spans="1:7" x14ac:dyDescent="0.25">
      <c r="A5" s="2292"/>
      <c r="B5" s="2293"/>
      <c r="C5" s="2293"/>
      <c r="D5" s="2293"/>
      <c r="E5" s="2293"/>
      <c r="F5" s="2293"/>
      <c r="G5" s="2294"/>
    </row>
    <row r="6" spans="1:7" ht="18.75" x14ac:dyDescent="0.25">
      <c r="A6" s="1556" t="s">
        <v>1924</v>
      </c>
      <c r="B6" s="1557"/>
      <c r="C6" s="1557"/>
      <c r="D6" s="1557"/>
      <c r="E6" s="1557"/>
      <c r="F6" s="1557"/>
      <c r="G6" s="1558"/>
    </row>
    <row r="7" spans="1:7" ht="30.75" customHeight="1" x14ac:dyDescent="0.25">
      <c r="A7" s="2295" t="s">
        <v>2071</v>
      </c>
      <c r="B7" s="2296"/>
      <c r="C7" s="2296"/>
      <c r="D7" s="2296"/>
      <c r="E7" s="2296"/>
      <c r="F7" s="2296"/>
      <c r="G7" s="2297"/>
    </row>
    <row r="8" spans="1:7" ht="15.75" customHeight="1" x14ac:dyDescent="0.25">
      <c r="A8" s="2298" t="s">
        <v>2020</v>
      </c>
      <c r="B8" s="2299"/>
      <c r="C8" s="2299"/>
      <c r="D8" s="2299"/>
      <c r="E8" s="2299"/>
      <c r="F8" s="2299"/>
      <c r="G8" s="2300"/>
    </row>
    <row r="9" spans="1:7" ht="35.25" customHeight="1" x14ac:dyDescent="0.25">
      <c r="A9" s="2295" t="s">
        <v>2074</v>
      </c>
      <c r="B9" s="2296"/>
      <c r="C9" s="2296"/>
      <c r="D9" s="2296"/>
      <c r="E9" s="2296"/>
      <c r="F9" s="2296"/>
      <c r="G9" s="2297"/>
    </row>
    <row r="10" spans="1:7" ht="15" customHeight="1" x14ac:dyDescent="0.25">
      <c r="A10" s="1559" t="s">
        <v>1925</v>
      </c>
      <c r="B10" s="1560"/>
      <c r="C10" s="1560"/>
      <c r="D10" s="1560"/>
      <c r="E10" s="1560"/>
      <c r="F10" s="1560"/>
      <c r="G10" s="1561"/>
    </row>
    <row r="11" spans="1:7" ht="17.25" customHeight="1" x14ac:dyDescent="0.25">
      <c r="A11" s="2295" t="s">
        <v>2073</v>
      </c>
      <c r="B11" s="2296"/>
      <c r="C11" s="2296"/>
      <c r="D11" s="2296"/>
      <c r="E11" s="2296"/>
      <c r="F11" s="2296"/>
      <c r="G11" s="2297"/>
    </row>
    <row r="12" spans="1:7" ht="15" customHeight="1" x14ac:dyDescent="0.25">
      <c r="A12" s="1559" t="s">
        <v>1930</v>
      </c>
      <c r="B12" s="1560"/>
      <c r="C12" s="1560"/>
      <c r="D12" s="1560"/>
      <c r="E12" s="1560"/>
      <c r="F12" s="1560"/>
      <c r="G12" s="1561"/>
    </row>
    <row r="13" spans="1:7" ht="32.25" customHeight="1" x14ac:dyDescent="0.25">
      <c r="A13" s="2286" t="s">
        <v>1931</v>
      </c>
      <c r="B13" s="2287"/>
      <c r="C13" s="2287"/>
      <c r="D13" s="2287"/>
      <c r="E13" s="2287"/>
      <c r="F13" s="2287"/>
      <c r="G13" s="2288"/>
    </row>
    <row r="14" spans="1:7" x14ac:dyDescent="0.25">
      <c r="A14" s="1683" t="s">
        <v>1939</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1940</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2110</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273908</v>
      </c>
      <c r="F10" s="975"/>
      <c r="G10" s="976"/>
      <c r="H10" s="162"/>
      <c r="I10" s="162"/>
    </row>
    <row r="11" spans="1:9" s="669" customFormat="1" ht="22.5" customHeight="1" x14ac:dyDescent="0.2">
      <c r="A11" s="2306" t="s">
        <v>1942</v>
      </c>
      <c r="B11" s="2307"/>
      <c r="C11" s="2307"/>
      <c r="D11" s="2308"/>
      <c r="E11" s="978">
        <v>62796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7618346</v>
      </c>
      <c r="F19" s="1822"/>
      <c r="G19" s="1824">
        <f>'Expenditures 15-22'!K33-SUM('Expenditures 15-22'!G33,'Expenditures 15-22'!I33)+'Expenditures 15-22'!D229</f>
        <v>7618346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414454</v>
      </c>
      <c r="F21" s="1825"/>
      <c r="G21" s="1828">
        <f>'Expenditures 15-22'!K42-SUM('Expenditures 15-22'!G42,'Expenditures 15-22'!I42)+'Expenditures 15-22'!K120-SUM('Expenditures 15-22'!G120,'Expenditures 15-22'!I120)+'Expenditures 15-22'!K180-SUM('Expenditures 15-22'!G180,'Expenditures 15-22'!I180)+'Expenditures 15-22'!D238</f>
        <v>414454</v>
      </c>
      <c r="H21" s="988"/>
      <c r="I21" s="162"/>
    </row>
    <row r="22" spans="1:9" s="669" customFormat="1" ht="12" customHeight="1" x14ac:dyDescent="0.2">
      <c r="A22" s="995" t="s">
        <v>585</v>
      </c>
      <c r="B22" s="996"/>
      <c r="C22" s="994">
        <v>2200</v>
      </c>
      <c r="D22" s="1825"/>
      <c r="E22" s="1827">
        <f>'Expenditures 15-22'!K47-SUM('Expenditures 15-22'!G47,'Expenditures 15-22'!I47)+'Expenditures 15-22'!D243</f>
        <v>587741</v>
      </c>
      <c r="F22" s="1825"/>
      <c r="G22" s="1828">
        <f>'Expenditures 15-22'!K47-SUM('Expenditures 15-22'!G47,'Expenditures 15-22'!I47)+'Expenditures 15-22'!D243</f>
        <v>587741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544958</v>
      </c>
      <c r="F23" s="1825"/>
      <c r="G23" s="1827">
        <f>'Expenditures 15-22'!K53-SUM('Expenditures 15-22'!G53,'Expenditures 15-22'!I53)+'Expenditures 15-22'!D257+'Expenditures 15-22'!K330-SUM('Expenditures 15-22'!G330,'Expenditures 15-22'!I330)</f>
        <v>544958</v>
      </c>
      <c r="H23" s="988"/>
      <c r="I23" s="162"/>
    </row>
    <row r="24" spans="1:9" s="669" customFormat="1" ht="12" customHeight="1" x14ac:dyDescent="0.2">
      <c r="A24" s="995" t="s">
        <v>587</v>
      </c>
      <c r="B24" s="996"/>
      <c r="C24" s="994">
        <v>2400</v>
      </c>
      <c r="D24" s="1825"/>
      <c r="E24" s="1827">
        <f>'Expenditures 15-22'!K57-SUM('Expenditures 15-22'!G57,'Expenditures 15-22'!I57)+'Expenditures 15-22'!D261</f>
        <v>952668</v>
      </c>
      <c r="F24" s="1825"/>
      <c r="G24" s="1828">
        <f>'Expenditures 15-22'!K57-SUM('Expenditures 15-22'!G57,'Expenditures 15-22'!I57)+'Expenditures 15-22'!D261</f>
        <v>952668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134607</v>
      </c>
      <c r="E27" s="1827">
        <f>E8</f>
        <v>0</v>
      </c>
      <c r="F27" s="1827">
        <f>'Expenditures 15-22'!K60-SUM('Expenditures 15-22'!G60,'Expenditures 15-22'!I60)+'Expenditures 15-22'!D264-E8</f>
        <v>134607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1188499</v>
      </c>
      <c r="F28" s="1829">
        <f>'Expenditures 15-22'!K61-SUM('Expenditures 15-22'!G61,'Expenditures 15-22'!I61)+'Expenditures 15-22'!K124-SUM('Expenditures 15-22'!G124,'Expenditures 15-22'!I124)+'Expenditures 15-22'!D266-E9</f>
        <v>1188499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479715</v>
      </c>
      <c r="F29" s="1825"/>
      <c r="G29" s="1828">
        <f>'Expenditures 15-22'!K62-SUM('Expenditures 15-22'!G62,'Expenditures 15-22'!I62)+'Expenditures 15-22'!K125-SUM('Expenditures 15-22'!G125,'Expenditures 15-22'!I125)+'Expenditures 15-22'!K182-SUM('Expenditures 15-22'!G182,'Expenditures 15-22'!I182)+'Expenditures 15-22'!D267</f>
        <v>479715</v>
      </c>
      <c r="H29" s="986"/>
    </row>
    <row r="30" spans="1:9" ht="12" customHeight="1" x14ac:dyDescent="0.2">
      <c r="A30" s="995" t="s">
        <v>102</v>
      </c>
      <c r="B30" s="998"/>
      <c r="C30" s="994">
        <v>2560</v>
      </c>
      <c r="D30" s="1825"/>
      <c r="E30" s="1827">
        <f>'Expenditures 15-22'!K63-SUM('Expenditures 15-22'!G63,'Expenditures 15-22'!I63)+'Expenditures 15-22'!D268-E10</f>
        <v>227455</v>
      </c>
      <c r="F30" s="1825"/>
      <c r="G30" s="1827">
        <f>'Expenditures 15-22'!K63-SUM('Expenditures 15-22'!G63,'Expenditures 15-22'!I63)+'Expenditures 15-22'!D268-E10</f>
        <v>227455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134607</v>
      </c>
      <c r="E41" s="1829">
        <f>SUM(E19:E40)</f>
        <v>12013836</v>
      </c>
      <c r="F41" s="1829">
        <f>SUM(F19:F39)</f>
        <v>1323106</v>
      </c>
      <c r="G41" s="1829">
        <f>SUM(G19:G40)</f>
        <v>10825337</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134607</v>
      </c>
      <c r="F43" s="1830" t="s">
        <v>495</v>
      </c>
      <c r="G43" s="1831">
        <f>F41</f>
        <v>1323106</v>
      </c>
    </row>
    <row r="44" spans="1:7" ht="12" customHeight="1" x14ac:dyDescent="0.2">
      <c r="A44" s="988"/>
      <c r="B44" s="162"/>
      <c r="C44" s="1002"/>
      <c r="D44" s="1830" t="s">
        <v>494</v>
      </c>
      <c r="E44" s="1831">
        <f>E41</f>
        <v>12013836</v>
      </c>
      <c r="F44" s="1830" t="s">
        <v>494</v>
      </c>
      <c r="G44" s="1831">
        <f>G41</f>
        <v>10825337</v>
      </c>
    </row>
    <row r="45" spans="1:7" ht="12" customHeight="1" x14ac:dyDescent="0.2">
      <c r="A45" s="988"/>
      <c r="B45" s="162"/>
      <c r="C45" s="162"/>
      <c r="D45" s="1832" t="s">
        <v>1063</v>
      </c>
      <c r="E45" s="1833">
        <f>(E43/E44)</f>
        <v>1.120433140588901E-2</v>
      </c>
      <c r="F45" s="1832" t="s">
        <v>1063</v>
      </c>
      <c r="G45" s="1833">
        <f>(G43/G44)</f>
        <v>0.12222307721228448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2044</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Hoopeston Area CUSD 11</v>
      </c>
      <c r="D6" s="2327"/>
      <c r="E6" s="2327"/>
      <c r="F6" s="1877"/>
    </row>
    <row r="7" spans="1:10" ht="11.25" customHeight="1" thickBot="1" x14ac:dyDescent="0.3">
      <c r="A7" s="1875"/>
      <c r="B7" s="1876"/>
      <c r="C7" s="2328">
        <f>COVER!A13</f>
        <v>54092011026</v>
      </c>
      <c r="D7" s="2328"/>
      <c r="E7" s="2328"/>
      <c r="F7" s="1877"/>
    </row>
    <row r="8" spans="1:10" ht="25.5" customHeight="1" thickBot="1" x14ac:dyDescent="0.25">
      <c r="A8" s="1918" t="s">
        <v>2021</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2075</v>
      </c>
      <c r="D26" s="1890" t="s">
        <v>2075</v>
      </c>
      <c r="E26" s="1893" t="s">
        <v>2075</v>
      </c>
      <c r="F26" s="1892" t="s">
        <v>2092</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Hoopeston Area CUSD 11</v>
      </c>
      <c r="J6" s="2337"/>
      <c r="Q6" s="1686"/>
    </row>
    <row r="7" spans="1:17" x14ac:dyDescent="0.2">
      <c r="A7" s="2338" t="s">
        <v>924</v>
      </c>
      <c r="B7" s="2339"/>
      <c r="C7" s="2339"/>
      <c r="D7" s="2339"/>
      <c r="E7" s="2340"/>
      <c r="F7" s="1018"/>
      <c r="G7" s="1010"/>
      <c r="H7" s="1017" t="s">
        <v>390</v>
      </c>
      <c r="I7" s="2341">
        <f>COVER!A13</f>
        <v>54092011026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212351</v>
      </c>
      <c r="F12" s="1040"/>
      <c r="G12" s="1834">
        <f t="shared" ref="G12:G18" si="0">SUM(E12:F12)</f>
        <v>212351</v>
      </c>
      <c r="H12" s="1041">
        <v>211236</v>
      </c>
      <c r="I12" s="1040"/>
      <c r="J12" s="1834">
        <f t="shared" ref="J12:J18" si="1">SUM(H12:I12)</f>
        <v>211236</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212351</v>
      </c>
      <c r="F19" s="1836">
        <f t="shared" si="2"/>
        <v>0</v>
      </c>
      <c r="G19" s="1836">
        <f t="shared" si="2"/>
        <v>212351</v>
      </c>
      <c r="H19" s="1836">
        <f t="shared" si="2"/>
        <v>211236</v>
      </c>
      <c r="I19" s="1836">
        <f t="shared" si="2"/>
        <v>0</v>
      </c>
      <c r="J19" s="1836">
        <f t="shared" si="2"/>
        <v>211236</v>
      </c>
    </row>
    <row r="20" spans="1:10" ht="13.5" thickTop="1" x14ac:dyDescent="0.2">
      <c r="A20" s="1036">
        <v>9</v>
      </c>
      <c r="B20" s="2348" t="s">
        <v>1703</v>
      </c>
      <c r="C20" s="2348"/>
      <c r="D20" s="2349"/>
      <c r="E20" s="1047"/>
      <c r="F20" s="1047"/>
      <c r="G20" s="1047"/>
      <c r="H20" s="1047"/>
      <c r="I20" s="1047"/>
      <c r="J20" s="1837">
        <f>IF(AND(G19&gt;0,J19&gt;0),(((J19-G19)/G19)),"Enter Budget Data")</f>
        <v>-5.2507405192346633E-3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1941</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6" t="s">
        <v>2093</v>
      </c>
    </row>
    <row r="6" spans="1:2" x14ac:dyDescent="0.2">
      <c r="A6" s="1069"/>
      <c r="B6" s="1957" t="s">
        <v>2094</v>
      </c>
    </row>
    <row r="7" spans="1:2" x14ac:dyDescent="0.2">
      <c r="A7" s="1069"/>
      <c r="B7" s="329" t="s">
        <v>2095</v>
      </c>
    </row>
    <row r="8" spans="1:2" x14ac:dyDescent="0.2">
      <c r="A8" s="1069"/>
    </row>
    <row r="9" spans="1:2" x14ac:dyDescent="0.2">
      <c r="A9" s="1070">
        <v>2</v>
      </c>
      <c r="B9" s="1956" t="s">
        <v>2096</v>
      </c>
    </row>
    <row r="10" spans="1:2" x14ac:dyDescent="0.2">
      <c r="A10" s="1070"/>
      <c r="B10" s="1957" t="s">
        <v>2097</v>
      </c>
    </row>
    <row r="11" spans="1:2" x14ac:dyDescent="0.2">
      <c r="A11" s="1070"/>
      <c r="B11" s="329" t="s">
        <v>2098</v>
      </c>
    </row>
    <row r="12" spans="1:2" x14ac:dyDescent="0.2">
      <c r="A12" s="1070"/>
    </row>
    <row r="13" spans="1:2" x14ac:dyDescent="0.2">
      <c r="A13" s="1070">
        <v>3</v>
      </c>
      <c r="B13" s="1956" t="s">
        <v>2099</v>
      </c>
    </row>
    <row r="14" spans="1:2" x14ac:dyDescent="0.2">
      <c r="A14" s="1070"/>
      <c r="B14" s="1957" t="s">
        <v>2097</v>
      </c>
    </row>
    <row r="15" spans="1:2" x14ac:dyDescent="0.2">
      <c r="A15" s="1070"/>
      <c r="B15" s="329" t="s">
        <v>2100</v>
      </c>
    </row>
    <row r="16" spans="1:2" x14ac:dyDescent="0.2">
      <c r="A16" s="1070"/>
    </row>
    <row r="17" spans="1:2" x14ac:dyDescent="0.2">
      <c r="A17" s="1070">
        <v>4</v>
      </c>
      <c r="B17" s="1956" t="s">
        <v>2101</v>
      </c>
    </row>
    <row r="18" spans="1:2" x14ac:dyDescent="0.2">
      <c r="A18" s="1070"/>
      <c r="B18" s="1957" t="s">
        <v>2097</v>
      </c>
    </row>
    <row r="19" spans="1:2" x14ac:dyDescent="0.2">
      <c r="A19" s="1070"/>
      <c r="B19" s="329" t="s">
        <v>2105</v>
      </c>
    </row>
    <row r="20" spans="1:2" x14ac:dyDescent="0.2">
      <c r="A20" s="1070"/>
      <c r="B20" s="329" t="s">
        <v>2106</v>
      </c>
    </row>
    <row r="21" spans="1:2" x14ac:dyDescent="0.2">
      <c r="A21" s="1070"/>
      <c r="B21" s="1957" t="s">
        <v>2102</v>
      </c>
    </row>
    <row r="22" spans="1:2" x14ac:dyDescent="0.2">
      <c r="A22" s="1070"/>
      <c r="B22" s="329" t="s">
        <v>2104</v>
      </c>
    </row>
    <row r="23" spans="1:2" x14ac:dyDescent="0.2">
      <c r="A23" s="1070"/>
      <c r="B23" s="1957" t="s">
        <v>2094</v>
      </c>
    </row>
    <row r="24" spans="1:2" x14ac:dyDescent="0.2">
      <c r="A24" s="1070"/>
      <c r="B24" s="329" t="s">
        <v>2103</v>
      </c>
    </row>
    <row r="25" spans="1:2" x14ac:dyDescent="0.2">
      <c r="A25" s="1070"/>
    </row>
    <row r="26" spans="1:2" x14ac:dyDescent="0.2">
      <c r="A26" s="1070">
        <v>5</v>
      </c>
      <c r="B26" s="1956" t="s">
        <v>2107</v>
      </c>
    </row>
    <row r="27" spans="1:2" x14ac:dyDescent="0.2">
      <c r="A27" s="1070"/>
      <c r="B27" s="329" t="s">
        <v>2108</v>
      </c>
    </row>
    <row r="28" spans="1:2" x14ac:dyDescent="0.2">
      <c r="A28" s="1070"/>
    </row>
    <row r="29" spans="1:2" x14ac:dyDescent="0.2">
      <c r="A29" s="1070">
        <v>6</v>
      </c>
      <c r="B29" s="1956" t="s">
        <v>2109</v>
      </c>
    </row>
    <row r="30" spans="1:2" x14ac:dyDescent="0.2">
      <c r="A30" s="1070"/>
      <c r="B30" s="329" t="s">
        <v>2110</v>
      </c>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Hoopeston Area CUSD 11</v>
      </c>
    </row>
    <row r="65" spans="2:2" x14ac:dyDescent="0.2">
      <c r="B65" s="1071">
        <f>COVER!A13</f>
        <v>54092011026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2052</v>
      </c>
      <c r="B4" s="2376"/>
      <c r="C4" s="2376"/>
      <c r="D4" s="2376"/>
      <c r="E4" s="2376"/>
      <c r="F4" s="2377"/>
      <c r="G4" s="1075"/>
      <c r="H4" s="1075"/>
    </row>
    <row r="5" spans="1:8" ht="14.25" customHeight="1" x14ac:dyDescent="0.2">
      <c r="A5" s="2378" t="s">
        <v>2053</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12295843</v>
      </c>
      <c r="C8" s="1838">
        <f>'Acct Summary 7-8'!D8</f>
        <v>672284</v>
      </c>
      <c r="D8" s="1838">
        <f>'Acct Summary 7-8'!F8</f>
        <v>518644</v>
      </c>
      <c r="E8" s="1838">
        <f>'Acct Summary 7-8'!I8</f>
        <v>66807</v>
      </c>
      <c r="F8" s="1838">
        <f>SUM(B8:E8)</f>
        <v>13553578</v>
      </c>
    </row>
    <row r="9" spans="1:8" s="1080" customFormat="1" ht="14.25" customHeight="1" thickBot="1" x14ac:dyDescent="0.25">
      <c r="A9" s="1079" t="s">
        <v>1436</v>
      </c>
      <c r="B9" s="1839">
        <f>'Acct Summary 7-8'!C17</f>
        <v>11200905</v>
      </c>
      <c r="C9" s="1839">
        <f>'Acct Summary 7-8'!D17</f>
        <v>724011</v>
      </c>
      <c r="D9" s="1839">
        <f>'Acct Summary 7-8'!F17</f>
        <v>590519</v>
      </c>
      <c r="E9" s="1838"/>
      <c r="F9" s="1838">
        <f>SUM(B9:E9)</f>
        <v>12515435</v>
      </c>
    </row>
    <row r="10" spans="1:8" s="1080" customFormat="1" ht="14.25" thickTop="1" thickBot="1" x14ac:dyDescent="0.25">
      <c r="A10" s="1081" t="s">
        <v>1437</v>
      </c>
      <c r="B10" s="1840">
        <f>(B8-B9)</f>
        <v>1094938</v>
      </c>
      <c r="C10" s="1840">
        <f>(C8-C9)</f>
        <v>-51727</v>
      </c>
      <c r="D10" s="1840">
        <f>(D8-D9)</f>
        <v>-71875</v>
      </c>
      <c r="E10" s="1839">
        <f>(E8-E9)</f>
        <v>66807</v>
      </c>
      <c r="F10" s="1841">
        <f>SUM(F8-F9)</f>
        <v>1038143</v>
      </c>
    </row>
    <row r="11" spans="1:8" s="1080" customFormat="1" ht="14.25" thickTop="1" thickBot="1" x14ac:dyDescent="0.25">
      <c r="A11" s="1082" t="s">
        <v>1785</v>
      </c>
      <c r="B11" s="1842">
        <f>'Acct Summary 7-8'!C81</f>
        <v>5925930</v>
      </c>
      <c r="C11" s="1842">
        <f>'Acct Summary 7-8'!D81</f>
        <v>179883</v>
      </c>
      <c r="D11" s="1842">
        <f>'Acct Summary 7-8'!F81</f>
        <v>79424</v>
      </c>
      <c r="E11" s="1842">
        <f>'Acct Summary 7-8'!I81</f>
        <v>2204130</v>
      </c>
      <c r="F11" s="1843">
        <f>SUM(B11:E11)</f>
        <v>8389367</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1079</v>
      </c>
      <c r="D67" s="1126"/>
    </row>
    <row r="68" spans="1:4" x14ac:dyDescent="0.2">
      <c r="A68" s="1101"/>
      <c r="B68" s="1111"/>
      <c r="C68" s="1103" t="s">
        <v>2047</v>
      </c>
      <c r="D68" s="1125" t="str">
        <f>IF('Short-Term Long-Term Debt 24'!F49=SUM(,'Acct Summary 7-8'!C33:K33),"OK","ERROR!")</f>
        <v>ERROR!</v>
      </c>
    </row>
    <row r="69" spans="1:4" x14ac:dyDescent="0.2">
      <c r="A69" s="1101"/>
      <c r="B69" s="1111"/>
      <c r="C69" s="1103" t="s">
        <v>2048</v>
      </c>
      <c r="D69" s="1125" t="str">
        <f>IF('Expenditures 15-22'!H170&lt;&gt;'Short-Term Long-Term Debt 24'!H49,"ERROR!","OK")</f>
        <v>ERROR!</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2050</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54092011026</v>
      </c>
    </row>
    <row r="3" spans="1:2" x14ac:dyDescent="0.2">
      <c r="A3" t="s">
        <v>1013</v>
      </c>
      <c r="B3" s="138" t="str">
        <f>COVER!A15</f>
        <v>VERMILION</v>
      </c>
    </row>
    <row r="4" spans="1:2" x14ac:dyDescent="0.2">
      <c r="A4" t="s">
        <v>1064</v>
      </c>
      <c r="B4" s="138" t="str">
        <f>COVER!A17</f>
        <v>Hoopeston Area CUSD 11</v>
      </c>
    </row>
    <row r="5" spans="1:2" x14ac:dyDescent="0.2">
      <c r="A5" t="s">
        <v>728</v>
      </c>
      <c r="B5" s="138" t="str">
        <f>COVER!A38</f>
        <v>SUZZETTE HESSER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Yes</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305000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5925930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5910793</v>
      </c>
      <c r="D92" s="2" t="str">
        <f t="shared" si="0"/>
        <v>Error?</v>
      </c>
    </row>
    <row r="93" spans="1:4" x14ac:dyDescent="0.2">
      <c r="A93" s="5">
        <v>32</v>
      </c>
      <c r="B93" s="138">
        <f>'Assets-Liab 5-6'!C41</f>
        <v>5925930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179883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179883</v>
      </c>
      <c r="D123" s="2" t="str">
        <f t="shared" si="0"/>
        <v>Error?</v>
      </c>
    </row>
    <row r="124" spans="1:4" x14ac:dyDescent="0.2">
      <c r="A124" s="5">
        <v>63</v>
      </c>
      <c r="B124" s="138">
        <f>'Assets-Liab 5-6'!D41</f>
        <v>179883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12968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12968</v>
      </c>
      <c r="D140" s="2" t="str">
        <f t="shared" si="1"/>
        <v>Error?</v>
      </c>
    </row>
    <row r="141" spans="1:4" x14ac:dyDescent="0.2">
      <c r="A141" s="5">
        <v>80</v>
      </c>
      <c r="B141" s="138">
        <f>'Assets-Liab 5-6'!E41</f>
        <v>12968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79424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79424</v>
      </c>
      <c r="D170" s="2" t="str">
        <f t="shared" si="1"/>
        <v>Error?</v>
      </c>
    </row>
    <row r="171" spans="1:4" x14ac:dyDescent="0.2">
      <c r="A171" s="5">
        <v>110</v>
      </c>
      <c r="B171" s="138">
        <f>'Assets-Liab 5-6'!F41</f>
        <v>79424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636742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636742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218431</v>
      </c>
      <c r="D273" s="2" t="str">
        <f t="shared" si="3"/>
        <v>Error?</v>
      </c>
    </row>
    <row r="274" spans="1:4" x14ac:dyDescent="0.2">
      <c r="A274" s="5">
        <v>213</v>
      </c>
      <c r="B274" s="138">
        <f>'Assets-Liab 5-6'!M17</f>
        <v>6854157</v>
      </c>
      <c r="D274" s="2" t="str">
        <f t="shared" si="3"/>
        <v>Error?</v>
      </c>
    </row>
    <row r="275" spans="1:4" x14ac:dyDescent="0.2">
      <c r="A275" s="5">
        <v>214</v>
      </c>
      <c r="B275" s="138">
        <f>'Assets-Liab 5-6'!M18</f>
        <v>2725535</v>
      </c>
      <c r="D275" s="2" t="str">
        <f t="shared" si="3"/>
        <v>Error?</v>
      </c>
    </row>
    <row r="276" spans="1:4" x14ac:dyDescent="0.2">
      <c r="A276" s="5">
        <v>215</v>
      </c>
      <c r="B276" s="138">
        <f>'Assets-Liab 5-6'!M19</f>
        <v>6015961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15814084</v>
      </c>
      <c r="C279" s="2" t="s">
        <v>594</v>
      </c>
      <c r="D279" s="2" t="str">
        <f t="shared" si="3"/>
        <v>Error?</v>
      </c>
    </row>
    <row r="280" spans="1:4" x14ac:dyDescent="0.2">
      <c r="A280" s="5">
        <v>219</v>
      </c>
      <c r="B280" s="138">
        <f>'Assets-Liab 5-6'!M40</f>
        <v>15814084</v>
      </c>
      <c r="D280" s="2" t="str">
        <f t="shared" si="3"/>
        <v>Error?</v>
      </c>
    </row>
    <row r="281" spans="1:4" x14ac:dyDescent="0.2">
      <c r="A281" s="5">
        <v>220</v>
      </c>
      <c r="B281" s="138">
        <f>'Assets-Liab 5-6'!M41</f>
        <v>15814084</v>
      </c>
      <c r="C281" s="2" t="s">
        <v>594</v>
      </c>
      <c r="D281" s="2" t="str">
        <f t="shared" si="3"/>
        <v>Error?</v>
      </c>
    </row>
    <row r="282" spans="1:4" x14ac:dyDescent="0.2">
      <c r="A282" s="5">
        <v>221</v>
      </c>
      <c r="B282" s="138">
        <f>'Assets-Liab 5-6'!N21</f>
        <v>12968</v>
      </c>
      <c r="D282" s="2" t="str">
        <f t="shared" si="3"/>
        <v>Error?</v>
      </c>
    </row>
    <row r="283" spans="1:4" x14ac:dyDescent="0.2">
      <c r="A283" s="5">
        <v>222</v>
      </c>
      <c r="B283" s="138">
        <f>'Assets-Liab 5-6'!N22</f>
        <v>401445</v>
      </c>
      <c r="D283" s="2" t="str">
        <f t="shared" si="3"/>
        <v>Error?</v>
      </c>
    </row>
    <row r="284" spans="1:4" x14ac:dyDescent="0.2">
      <c r="A284" s="5">
        <v>223</v>
      </c>
      <c r="B284" s="138">
        <f>'Assets-Liab 5-6'!N23</f>
        <v>414413</v>
      </c>
      <c r="C284" s="2" t="s">
        <v>594</v>
      </c>
      <c r="D284" s="2" t="str">
        <f t="shared" si="3"/>
        <v>Error?</v>
      </c>
    </row>
    <row r="285" spans="1:4" x14ac:dyDescent="0.2">
      <c r="A285" s="5">
        <v>224</v>
      </c>
      <c r="B285" s="138">
        <f>'Assets-Liab 5-6'!N36</f>
        <v>414413</v>
      </c>
      <c r="D285" s="2" t="str">
        <f t="shared" si="3"/>
        <v>Error?</v>
      </c>
    </row>
    <row r="286" spans="1:4" x14ac:dyDescent="0.2">
      <c r="A286" s="10">
        <v>225</v>
      </c>
      <c r="D286" s="2" t="str">
        <f t="shared" si="3"/>
        <v>OK</v>
      </c>
    </row>
    <row r="287" spans="1:4" x14ac:dyDescent="0.2">
      <c r="A287" s="5">
        <v>226</v>
      </c>
      <c r="B287" s="138">
        <f>'Assets-Liab 5-6'!N37</f>
        <v>414413</v>
      </c>
      <c r="C287" s="2" t="s">
        <v>594</v>
      </c>
      <c r="D287" s="2" t="str">
        <f t="shared" si="3"/>
        <v>Error?</v>
      </c>
    </row>
    <row r="288" spans="1:4" x14ac:dyDescent="0.2">
      <c r="A288" s="5">
        <v>227</v>
      </c>
      <c r="B288" s="138">
        <f>'Assets-Liab 5-6'!N41</f>
        <v>414413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3418897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180491</v>
      </c>
      <c r="D717" s="2" t="str">
        <f t="shared" si="10"/>
        <v>Error?</v>
      </c>
    </row>
    <row r="718" spans="1:4" x14ac:dyDescent="0.2">
      <c r="A718" s="5">
        <v>657</v>
      </c>
      <c r="B718" s="138">
        <f>'Expenditures 15-22'!C14</f>
        <v>229854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5321752</v>
      </c>
      <c r="C720" s="2" t="s">
        <v>594</v>
      </c>
      <c r="D720" s="2" t="str">
        <f t="shared" si="10"/>
        <v>Error?</v>
      </c>
    </row>
    <row r="721" spans="1:4" x14ac:dyDescent="0.2">
      <c r="A721" s="5">
        <v>660</v>
      </c>
      <c r="B721" s="138">
        <f>'Expenditures 15-22'!C36</f>
        <v>111595</v>
      </c>
      <c r="D721" s="2" t="str">
        <f t="shared" si="10"/>
        <v>Error?</v>
      </c>
    </row>
    <row r="722" spans="1:4" x14ac:dyDescent="0.2">
      <c r="A722" s="5">
        <v>661</v>
      </c>
      <c r="B722" s="138">
        <f>'Expenditures 15-22'!C37</f>
        <v>51445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76599</v>
      </c>
      <c r="D724" s="2" t="str">
        <f t="shared" si="10"/>
        <v>Error?</v>
      </c>
    </row>
    <row r="725" spans="1:4" x14ac:dyDescent="0.2">
      <c r="A725" s="5">
        <v>664</v>
      </c>
      <c r="B725" s="138">
        <f>'Expenditures 15-22'!C40</f>
        <v>114425</v>
      </c>
      <c r="D725" s="2" t="str">
        <f t="shared" si="10"/>
        <v>Error?</v>
      </c>
    </row>
    <row r="726" spans="1:4" x14ac:dyDescent="0.2">
      <c r="A726" s="5">
        <v>665</v>
      </c>
      <c r="B726" s="138">
        <f>'Expenditures 15-22'!C41</f>
        <v>2970</v>
      </c>
      <c r="D726" s="2" t="str">
        <f t="shared" si="10"/>
        <v>Error?</v>
      </c>
    </row>
    <row r="727" spans="1:4" x14ac:dyDescent="0.2">
      <c r="A727" s="5">
        <v>666</v>
      </c>
      <c r="B727" s="138">
        <f>'Expenditures 15-22'!C42</f>
        <v>357034</v>
      </c>
      <c r="C727" s="2" t="s">
        <v>594</v>
      </c>
      <c r="D727" s="2" t="str">
        <f t="shared" si="10"/>
        <v>Error?</v>
      </c>
    </row>
    <row r="728" spans="1:4" x14ac:dyDescent="0.2">
      <c r="A728" s="5">
        <v>667</v>
      </c>
      <c r="B728" s="138">
        <f>'Expenditures 15-22'!C44</f>
        <v>85381</v>
      </c>
      <c r="D728" s="2" t="str">
        <f t="shared" si="10"/>
        <v>Error?</v>
      </c>
    </row>
    <row r="729" spans="1:4" x14ac:dyDescent="0.2">
      <c r="A729" s="5">
        <v>668</v>
      </c>
      <c r="B729" s="138">
        <f>'Expenditures 15-22'!C45</f>
        <v>150285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235666</v>
      </c>
      <c r="C731" s="2" t="s">
        <v>594</v>
      </c>
      <c r="D731" s="2" t="str">
        <f t="shared" si="10"/>
        <v>Error?</v>
      </c>
    </row>
    <row r="732" spans="1:4" x14ac:dyDescent="0.2">
      <c r="A732" s="5">
        <v>671</v>
      </c>
      <c r="B732" s="138">
        <f>'Expenditures 15-22'!C49</f>
        <v>1550</v>
      </c>
      <c r="D732" s="2" t="str">
        <f t="shared" si="10"/>
        <v>Error?</v>
      </c>
    </row>
    <row r="733" spans="1:4" x14ac:dyDescent="0.2">
      <c r="A733" s="5">
        <v>672</v>
      </c>
      <c r="B733" s="138">
        <f>'Expenditures 15-22'!C50</f>
        <v>170734</v>
      </c>
      <c r="D733" s="2" t="str">
        <f t="shared" si="10"/>
        <v>Error?</v>
      </c>
    </row>
    <row r="734" spans="1:4" x14ac:dyDescent="0.2">
      <c r="A734" s="5">
        <v>673</v>
      </c>
      <c r="B734" s="138">
        <f>'Expenditures 15-22'!C53</f>
        <v>172284</v>
      </c>
      <c r="C734" s="2" t="s">
        <v>594</v>
      </c>
      <c r="D734" s="2" t="str">
        <f t="shared" si="10"/>
        <v>Error?</v>
      </c>
    </row>
    <row r="735" spans="1:4" x14ac:dyDescent="0.2">
      <c r="A735" s="5">
        <v>674</v>
      </c>
      <c r="B735" s="138">
        <f>'Expenditures 15-22'!C55</f>
        <v>803014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803014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29173</v>
      </c>
      <c r="D739" s="2" t="str">
        <f t="shared" si="10"/>
        <v>Error?</v>
      </c>
    </row>
    <row r="740" spans="1:4" x14ac:dyDescent="0.2">
      <c r="A740" s="5">
        <v>679</v>
      </c>
      <c r="B740" s="138">
        <f>'Expenditures 15-22'!C61</f>
        <v>341474</v>
      </c>
      <c r="D740" s="2" t="str">
        <f t="shared" si="10"/>
        <v>Error?</v>
      </c>
    </row>
    <row r="741" spans="1:4" x14ac:dyDescent="0.2">
      <c r="A741" s="5">
        <v>680</v>
      </c>
      <c r="B741" s="138">
        <f>'Expenditures 15-22'!C62</f>
        <v>6712</v>
      </c>
      <c r="D741" s="2" t="str">
        <f t="shared" si="10"/>
        <v>Error?</v>
      </c>
    </row>
    <row r="742" spans="1:4" x14ac:dyDescent="0.2">
      <c r="A742" s="5">
        <v>681</v>
      </c>
      <c r="B742" s="138">
        <f>'Expenditures 15-22'!C63</f>
        <v>149302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526661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2094659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7416411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494425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25228</v>
      </c>
      <c r="D775" s="2" t="str">
        <f t="shared" si="11"/>
        <v>Error?</v>
      </c>
    </row>
    <row r="776" spans="1:4" x14ac:dyDescent="0.2">
      <c r="A776" s="5">
        <v>715</v>
      </c>
      <c r="B776" s="138">
        <f>'Expenditures 15-22'!D14</f>
        <v>27224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843592</v>
      </c>
      <c r="C778" s="2" t="s">
        <v>594</v>
      </c>
      <c r="D778" s="2" t="str">
        <f t="shared" si="11"/>
        <v>Error?</v>
      </c>
    </row>
    <row r="779" spans="1:4" x14ac:dyDescent="0.2">
      <c r="A779" s="5">
        <v>718</v>
      </c>
      <c r="B779" s="138">
        <f>'Expenditures 15-22'!D36</f>
        <v>11104</v>
      </c>
      <c r="D779" s="2" t="str">
        <f t="shared" si="11"/>
        <v>Error?</v>
      </c>
    </row>
    <row r="780" spans="1:4" x14ac:dyDescent="0.2">
      <c r="A780" s="5">
        <v>719</v>
      </c>
      <c r="B780" s="138">
        <f>'Expenditures 15-22'!D37</f>
        <v>7478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9634</v>
      </c>
      <c r="D782" s="2" t="str">
        <f t="shared" si="11"/>
        <v>Error?</v>
      </c>
    </row>
    <row r="783" spans="1:4" x14ac:dyDescent="0.2">
      <c r="A783" s="5">
        <v>722</v>
      </c>
      <c r="B783" s="138">
        <f>'Expenditures 15-22'!D40</f>
        <v>16832</v>
      </c>
      <c r="D783" s="2" t="str">
        <f t="shared" si="11"/>
        <v>Error?</v>
      </c>
    </row>
    <row r="784" spans="1:4" x14ac:dyDescent="0.2">
      <c r="A784" s="5">
        <v>723</v>
      </c>
      <c r="B784" s="138">
        <f>'Expenditures 15-22'!D41</f>
        <v>584</v>
      </c>
      <c r="D784" s="2" t="str">
        <f t="shared" si="11"/>
        <v>Error?</v>
      </c>
    </row>
    <row r="785" spans="1:4" x14ac:dyDescent="0.2">
      <c r="A785" s="5">
        <v>724</v>
      </c>
      <c r="B785" s="138">
        <f>'Expenditures 15-22'!D42</f>
        <v>45632</v>
      </c>
      <c r="C785" s="2" t="s">
        <v>594</v>
      </c>
      <c r="D785" s="2" t="str">
        <f t="shared" si="11"/>
        <v>Error?</v>
      </c>
    </row>
    <row r="786" spans="1:4" x14ac:dyDescent="0.2">
      <c r="A786" s="5">
        <v>725</v>
      </c>
      <c r="B786" s="138">
        <f>'Expenditures 15-22'!D44</f>
        <v>1991</v>
      </c>
      <c r="D786" s="2" t="str">
        <f t="shared" si="11"/>
        <v>Error?</v>
      </c>
    </row>
    <row r="787" spans="1:4" x14ac:dyDescent="0.2">
      <c r="A787" s="5">
        <v>726</v>
      </c>
      <c r="B787" s="138">
        <f>'Expenditures 15-22'!D45</f>
        <v>38076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40067</v>
      </c>
      <c r="C789" s="2" t="s">
        <v>594</v>
      </c>
      <c r="D789" s="2" t="str">
        <f t="shared" si="11"/>
        <v>Error?</v>
      </c>
    </row>
    <row r="790" spans="1:4" x14ac:dyDescent="0.2">
      <c r="A790" s="5">
        <v>729</v>
      </c>
      <c r="B790" s="138">
        <f>'Expenditures 15-22'!D49</f>
        <v>31034</v>
      </c>
      <c r="D790" s="2" t="str">
        <f t="shared" si="11"/>
        <v>Error?</v>
      </c>
    </row>
    <row r="791" spans="1:4" x14ac:dyDescent="0.2">
      <c r="A791" s="5">
        <v>730</v>
      </c>
      <c r="B791" s="138">
        <f>'Expenditures 15-22'!D50</f>
        <v>17006</v>
      </c>
      <c r="D791" s="2" t="str">
        <f t="shared" si="11"/>
        <v>Error?</v>
      </c>
    </row>
    <row r="792" spans="1:4" x14ac:dyDescent="0.2">
      <c r="A792" s="5">
        <v>731</v>
      </c>
      <c r="B792" s="138">
        <f>'Expenditures 15-22'!D53</f>
        <v>48040</v>
      </c>
      <c r="C792" s="2" t="s">
        <v>594</v>
      </c>
      <c r="D792" s="2" t="str">
        <f t="shared" si="11"/>
        <v>Error?</v>
      </c>
    </row>
    <row r="793" spans="1:4" x14ac:dyDescent="0.2">
      <c r="A793" s="5">
        <v>732</v>
      </c>
      <c r="B793" s="138">
        <f>'Expenditures 15-22'!D55</f>
        <v>100978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100978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4533</v>
      </c>
      <c r="D797" s="2" t="str">
        <f t="shared" si="11"/>
        <v>Error?</v>
      </c>
    </row>
    <row r="798" spans="1:4" x14ac:dyDescent="0.2">
      <c r="A798" s="5">
        <v>737</v>
      </c>
      <c r="B798" s="138">
        <f>'Expenditures 15-22'!D61</f>
        <v>54311</v>
      </c>
      <c r="D798" s="2" t="str">
        <f t="shared" si="11"/>
        <v>Error?</v>
      </c>
    </row>
    <row r="799" spans="1:4" x14ac:dyDescent="0.2">
      <c r="A799" s="5">
        <v>738</v>
      </c>
      <c r="B799" s="138">
        <f>'Expenditures 15-22'!D62</f>
        <v>1847</v>
      </c>
      <c r="D799" s="2" t="str">
        <f t="shared" si="11"/>
        <v>Error?</v>
      </c>
    </row>
    <row r="800" spans="1:4" x14ac:dyDescent="0.2">
      <c r="A800" s="5">
        <v>739</v>
      </c>
      <c r="B800" s="138">
        <f>'Expenditures 15-22'!D63</f>
        <v>47273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107964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342681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1186273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12625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53435</v>
      </c>
      <c r="D833" s="2" t="str">
        <f t="shared" si="12"/>
        <v>Error?</v>
      </c>
    </row>
    <row r="834" spans="1:4" x14ac:dyDescent="0.2">
      <c r="A834" s="5">
        <v>773</v>
      </c>
      <c r="B834" s="138">
        <f>'Expenditures 15-22'!E14</f>
        <v>27183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778765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64</v>
      </c>
      <c r="D841" s="2" t="str">
        <f t="shared" si="12"/>
        <v>Error?</v>
      </c>
    </row>
    <row r="842" spans="1:4" x14ac:dyDescent="0.2">
      <c r="A842" s="5">
        <v>781</v>
      </c>
      <c r="B842" s="138">
        <f>'Expenditures 15-22'!E41</f>
        <v>4922</v>
      </c>
      <c r="D842" s="2" t="str">
        <f t="shared" si="12"/>
        <v>Error?</v>
      </c>
    </row>
    <row r="843" spans="1:4" x14ac:dyDescent="0.2">
      <c r="A843" s="5">
        <v>782</v>
      </c>
      <c r="B843" s="138">
        <f>'Expenditures 15-22'!E42</f>
        <v>4986</v>
      </c>
      <c r="C843" s="2" t="s">
        <v>594</v>
      </c>
      <c r="D843" s="2" t="str">
        <f t="shared" si="12"/>
        <v>Error?</v>
      </c>
    </row>
    <row r="844" spans="1:4" x14ac:dyDescent="0.2">
      <c r="A844" s="5">
        <v>783</v>
      </c>
      <c r="B844" s="138">
        <f>'Expenditures 15-22'!E44</f>
        <v>104250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104250</v>
      </c>
      <c r="C847" s="2" t="s">
        <v>594</v>
      </c>
      <c r="D847" s="2" t="str">
        <f t="shared" si="12"/>
        <v>Error?</v>
      </c>
    </row>
    <row r="848" spans="1:4" x14ac:dyDescent="0.2">
      <c r="A848" s="5">
        <v>787</v>
      </c>
      <c r="B848" s="138">
        <f>'Expenditures 15-22'!E49</f>
        <v>27087</v>
      </c>
      <c r="D848" s="2" t="str">
        <f t="shared" si="12"/>
        <v>Error?</v>
      </c>
    </row>
    <row r="849" spans="1:4" x14ac:dyDescent="0.2">
      <c r="A849" s="5">
        <v>788</v>
      </c>
      <c r="B849" s="138">
        <f>'Expenditures 15-22'!E50</f>
        <v>16663</v>
      </c>
      <c r="D849" s="2" t="str">
        <f t="shared" si="12"/>
        <v>Error?</v>
      </c>
    </row>
    <row r="850" spans="1:4" x14ac:dyDescent="0.2">
      <c r="A850" s="5">
        <v>789</v>
      </c>
      <c r="B850" s="138">
        <f>'Expenditures 15-22'!E53</f>
        <v>43750</v>
      </c>
      <c r="C850" s="2" t="s">
        <v>594</v>
      </c>
      <c r="D850" s="2" t="str">
        <f t="shared" si="12"/>
        <v>Error?</v>
      </c>
    </row>
    <row r="851" spans="1:4" x14ac:dyDescent="0.2">
      <c r="A851" s="5">
        <v>790</v>
      </c>
      <c r="B851" s="138">
        <f>'Expenditures 15-22'!E55</f>
        <v>635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635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10265</v>
      </c>
      <c r="D855" s="2" t="str">
        <f t="shared" si="12"/>
        <v>Error?</v>
      </c>
    </row>
    <row r="856" spans="1:4" x14ac:dyDescent="0.2">
      <c r="A856" s="5">
        <v>795</v>
      </c>
      <c r="B856" s="138">
        <f>'Expenditures 15-22'!E61</f>
        <v>154399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26616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191280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344901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1229307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112914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9434</v>
      </c>
      <c r="D891" s="2" t="str">
        <f t="shared" si="12"/>
        <v>Error?</v>
      </c>
    </row>
    <row r="892" spans="1:4" x14ac:dyDescent="0.2">
      <c r="A892" s="5">
        <v>831</v>
      </c>
      <c r="B892" s="138">
        <f>'Expenditures 15-22'!F14</f>
        <v>93187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470627</v>
      </c>
      <c r="C894" s="2" t="s">
        <v>594</v>
      </c>
      <c r="D894" s="2" t="str">
        <f t="shared" si="12"/>
        <v>Error?</v>
      </c>
    </row>
    <row r="895" spans="1:4" x14ac:dyDescent="0.2">
      <c r="A895" s="5">
        <v>834</v>
      </c>
      <c r="B895" s="138">
        <f>'Expenditures 15-22'!F36</f>
        <v>310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90</v>
      </c>
      <c r="D898" s="2" t="str">
        <f t="shared" si="13"/>
        <v>Error?</v>
      </c>
    </row>
    <row r="899" spans="1:4" x14ac:dyDescent="0.2">
      <c r="A899" s="5">
        <v>838</v>
      </c>
      <c r="B899" s="138">
        <f>'Expenditures 15-22'!F40</f>
        <v>1131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1531</v>
      </c>
      <c r="C901" s="2" t="s">
        <v>594</v>
      </c>
      <c r="D901" s="2" t="str">
        <f t="shared" si="13"/>
        <v>Error?</v>
      </c>
    </row>
    <row r="902" spans="1:4" x14ac:dyDescent="0.2">
      <c r="A902" s="5">
        <v>841</v>
      </c>
      <c r="B902" s="138">
        <f>'Expenditures 15-22'!F44</f>
        <v>109201</v>
      </c>
      <c r="D902" s="2" t="str">
        <f t="shared" si="13"/>
        <v>Error?</v>
      </c>
    </row>
    <row r="903" spans="1:4" x14ac:dyDescent="0.2">
      <c r="A903" s="5">
        <v>842</v>
      </c>
      <c r="B903" s="138">
        <f>'Expenditures 15-22'!F45</f>
        <v>32572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141773</v>
      </c>
      <c r="C905" s="2" t="s">
        <v>594</v>
      </c>
      <c r="D905" s="2" t="str">
        <f t="shared" si="13"/>
        <v>Error?</v>
      </c>
    </row>
    <row r="906" spans="1:4" x14ac:dyDescent="0.2">
      <c r="A906" s="5">
        <v>845</v>
      </c>
      <c r="B906" s="138">
        <f>'Expenditures 15-22'!F49</f>
        <v>14583</v>
      </c>
      <c r="D906" s="2" t="str">
        <f t="shared" si="13"/>
        <v>Error?</v>
      </c>
    </row>
    <row r="907" spans="1:4" x14ac:dyDescent="0.2">
      <c r="A907" s="5">
        <v>846</v>
      </c>
      <c r="B907" s="138">
        <f>'Expenditures 15-22'!F50</f>
        <v>5451</v>
      </c>
      <c r="D907" s="2" t="str">
        <f t="shared" si="13"/>
        <v>Error?</v>
      </c>
    </row>
    <row r="908" spans="1:4" x14ac:dyDescent="0.2">
      <c r="A908" s="5">
        <v>847</v>
      </c>
      <c r="B908" s="138">
        <f>'Expenditures 15-22'!F53</f>
        <v>20034</v>
      </c>
      <c r="C908" s="2" t="s">
        <v>594</v>
      </c>
      <c r="D908" s="2" t="str">
        <f t="shared" si="13"/>
        <v>Error?</v>
      </c>
    </row>
    <row r="909" spans="1:4" x14ac:dyDescent="0.2">
      <c r="A909" s="5">
        <v>848</v>
      </c>
      <c r="B909" s="138">
        <f>'Expenditures 15-22'!F55</f>
        <v>4757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4757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1851</v>
      </c>
      <c r="D913" s="2" t="str">
        <f t="shared" si="13"/>
        <v>Error?</v>
      </c>
    </row>
    <row r="914" spans="1:4" x14ac:dyDescent="0.2">
      <c r="A914" s="5">
        <v>853</v>
      </c>
      <c r="B914" s="138">
        <f>'Expenditures 15-22'!F61</f>
        <v>318766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247292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567909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736004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1206631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11610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5370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16980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33226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33226</v>
      </c>
      <c r="C1021" s="2" t="s">
        <v>594</v>
      </c>
      <c r="D1021" s="2" t="str">
        <f t="shared" si="14"/>
        <v>Error?</v>
      </c>
    </row>
    <row r="1022" spans="1:4" x14ac:dyDescent="0.2">
      <c r="A1022" s="5">
        <v>961</v>
      </c>
      <c r="B1022" s="138">
        <f>'Expenditures 15-22'!H49</f>
        <v>14782</v>
      </c>
      <c r="D1022" s="2" t="str">
        <f t="shared" si="14"/>
        <v>Error?</v>
      </c>
    </row>
    <row r="1023" spans="1:4" x14ac:dyDescent="0.2">
      <c r="A1023" s="5">
        <v>962</v>
      </c>
      <c r="B1023" s="138">
        <f>'Expenditures 15-22'!H50</f>
        <v>2497</v>
      </c>
      <c r="D1023" s="2" t="str">
        <f t="shared" ref="D1023:D1086" si="15">IF(ISBLANK(B1023),"OK",IF(A1023-B1023=0,"OK","Error?"))</f>
        <v>Error?</v>
      </c>
    </row>
    <row r="1024" spans="1:4" x14ac:dyDescent="0.2">
      <c r="A1024" s="5">
        <v>963</v>
      </c>
      <c r="B1024" s="138">
        <f>'Expenditures 15-22'!H53</f>
        <v>17279</v>
      </c>
      <c r="C1024" s="2" t="s">
        <v>594</v>
      </c>
      <c r="D1024" s="2" t="str">
        <f t="shared" si="15"/>
        <v>Error?</v>
      </c>
    </row>
    <row r="1025" spans="1:4" x14ac:dyDescent="0.2">
      <c r="A1025" s="5">
        <v>964</v>
      </c>
      <c r="B1025" s="138">
        <f>'Expenditures 15-22'!H55</f>
        <v>9829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9829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82754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2215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84969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145303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162283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4050471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268588</v>
      </c>
      <c r="C1105" s="2" t="s">
        <v>594</v>
      </c>
      <c r="D1105" s="2" t="str">
        <f t="shared" si="16"/>
        <v>Error?</v>
      </c>
    </row>
    <row r="1106" spans="1:4" x14ac:dyDescent="0.2">
      <c r="A1106" s="5">
        <v>1045</v>
      </c>
      <c r="B1106" s="138">
        <f>'Expenditures 15-22'!K14</f>
        <v>382818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7431716</v>
      </c>
      <c r="C1108" s="2" t="s">
        <v>594</v>
      </c>
      <c r="D1108" s="2" t="str">
        <f t="shared" si="16"/>
        <v>Error?</v>
      </c>
    </row>
    <row r="1109" spans="1:4" x14ac:dyDescent="0.2">
      <c r="A1109" s="5">
        <v>1048</v>
      </c>
      <c r="B1109" s="138">
        <f>'Expenditures 15-22'!K36</f>
        <v>123009</v>
      </c>
      <c r="C1109" s="2" t="s">
        <v>594</v>
      </c>
      <c r="D1109" s="2" t="str">
        <f t="shared" si="16"/>
        <v>Error?</v>
      </c>
    </row>
    <row r="1110" spans="1:4" x14ac:dyDescent="0.2">
      <c r="A1110" s="5">
        <v>1049</v>
      </c>
      <c r="B1110" s="138">
        <f>'Expenditures 15-22'!K37</f>
        <v>58923</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86323</v>
      </c>
      <c r="C1112" s="2" t="s">
        <v>594</v>
      </c>
      <c r="D1112" s="2" t="str">
        <f t="shared" si="16"/>
        <v>Error?</v>
      </c>
    </row>
    <row r="1113" spans="1:4" x14ac:dyDescent="0.2">
      <c r="A1113" s="5">
        <v>1052</v>
      </c>
      <c r="B1113" s="138">
        <f>'Expenditures 15-22'!K40</f>
        <v>132452</v>
      </c>
      <c r="C1113" s="2" t="s">
        <v>594</v>
      </c>
      <c r="D1113" s="2" t="str">
        <f t="shared" si="16"/>
        <v>Error?</v>
      </c>
    </row>
    <row r="1114" spans="1:4" x14ac:dyDescent="0.2">
      <c r="A1114" s="5">
        <v>1053</v>
      </c>
      <c r="B1114" s="138">
        <f>'Expenditures 15-22'!K41</f>
        <v>8476</v>
      </c>
      <c r="C1114" s="2" t="s">
        <v>594</v>
      </c>
      <c r="D1114" s="2" t="str">
        <f t="shared" si="16"/>
        <v>Error?</v>
      </c>
    </row>
    <row r="1115" spans="1:4" x14ac:dyDescent="0.2">
      <c r="A1115" s="5">
        <v>1054</v>
      </c>
      <c r="B1115" s="138">
        <f>'Expenditures 15-22'!K42</f>
        <v>409183</v>
      </c>
      <c r="C1115" s="2" t="s">
        <v>594</v>
      </c>
      <c r="D1115" s="2" t="str">
        <f t="shared" si="16"/>
        <v>Error?</v>
      </c>
    </row>
    <row r="1116" spans="1:4" x14ac:dyDescent="0.2">
      <c r="A1116" s="5">
        <v>1055</v>
      </c>
      <c r="B1116" s="138">
        <f>'Expenditures 15-22'!K44</f>
        <v>300823</v>
      </c>
      <c r="C1116" s="2" t="s">
        <v>594</v>
      </c>
      <c r="D1116" s="2" t="str">
        <f t="shared" si="16"/>
        <v>Error?</v>
      </c>
    </row>
    <row r="1117" spans="1:4" x14ac:dyDescent="0.2">
      <c r="A1117" s="5">
        <v>1056</v>
      </c>
      <c r="B1117" s="138">
        <f>'Expenditures 15-22'!K45</f>
        <v>254159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554982</v>
      </c>
      <c r="C1119" s="2" t="s">
        <v>594</v>
      </c>
      <c r="D1119" s="2" t="str">
        <f t="shared" si="16"/>
        <v>Error?</v>
      </c>
    </row>
    <row r="1120" spans="1:4" x14ac:dyDescent="0.2">
      <c r="A1120" s="5">
        <v>1059</v>
      </c>
      <c r="B1120" s="138">
        <f>'Expenditures 15-22'!K49</f>
        <v>89036</v>
      </c>
      <c r="C1120" s="2" t="s">
        <v>594</v>
      </c>
      <c r="D1120" s="2" t="str">
        <f t="shared" si="16"/>
        <v>Error?</v>
      </c>
    </row>
    <row r="1121" spans="1:4" x14ac:dyDescent="0.2">
      <c r="A1121" s="5">
        <v>1060</v>
      </c>
      <c r="B1121" s="138">
        <f>'Expenditures 15-22'!K50</f>
        <v>212351</v>
      </c>
      <c r="C1121" s="2" t="s">
        <v>594</v>
      </c>
      <c r="D1121" s="2" t="str">
        <f t="shared" si="16"/>
        <v>Error?</v>
      </c>
    </row>
    <row r="1122" spans="1:4" x14ac:dyDescent="0.2">
      <c r="A1122" s="5">
        <v>1061</v>
      </c>
      <c r="B1122" s="138">
        <f>'Expenditures 15-22'!K53</f>
        <v>301387</v>
      </c>
      <c r="C1122" s="2" t="s">
        <v>594</v>
      </c>
      <c r="D1122" s="2" t="str">
        <f t="shared" si="16"/>
        <v>Error?</v>
      </c>
    </row>
    <row r="1123" spans="1:4" x14ac:dyDescent="0.2">
      <c r="A1123" s="5">
        <v>1062</v>
      </c>
      <c r="B1123" s="138">
        <f>'Expenditures 15-22'!K55</f>
        <v>919213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919213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128576</v>
      </c>
      <c r="C1127" s="2" t="s">
        <v>594</v>
      </c>
      <c r="D1127" s="2" t="str">
        <f t="shared" si="16"/>
        <v>Error?</v>
      </c>
    </row>
    <row r="1128" spans="1:4" x14ac:dyDescent="0.2">
      <c r="A1128" s="5">
        <v>1067</v>
      </c>
      <c r="B1128" s="138">
        <f>'Expenditures 15-22'!K61</f>
        <v>868950</v>
      </c>
      <c r="C1128" s="2" t="s">
        <v>594</v>
      </c>
      <c r="D1128" s="2" t="str">
        <f t="shared" si="16"/>
        <v>Error?</v>
      </c>
    </row>
    <row r="1129" spans="1:4" x14ac:dyDescent="0.2">
      <c r="A1129" s="5">
        <v>1068</v>
      </c>
      <c r="B1129" s="138">
        <f>'Expenditures 15-22'!K62</f>
        <v>8559</v>
      </c>
      <c r="C1129" s="2" t="s">
        <v>594</v>
      </c>
      <c r="D1129" s="2" t="str">
        <f t="shared" si="16"/>
        <v>Error?</v>
      </c>
    </row>
    <row r="1130" spans="1:4" x14ac:dyDescent="0.2">
      <c r="A1130" s="5">
        <v>1069</v>
      </c>
      <c r="B1130" s="138">
        <f>'Expenditures 15-22'!K63</f>
        <v>472698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1478783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3663548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105641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11200905</v>
      </c>
      <c r="C1152" s="2" t="s">
        <v>594</v>
      </c>
      <c r="D1152" s="2" t="str">
        <f t="shared" si="17"/>
        <v>Error?</v>
      </c>
    </row>
    <row r="1153" spans="1:4" x14ac:dyDescent="0.2">
      <c r="A1153" s="5">
        <v>1092</v>
      </c>
      <c r="B1153" s="138">
        <f>'Expenditures 15-22'!K115</f>
        <v>1094938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149877</v>
      </c>
      <c r="D1237" s="2" t="str">
        <f t="shared" si="18"/>
        <v>Error?</v>
      </c>
    </row>
    <row r="1238" spans="1:4" x14ac:dyDescent="0.2">
      <c r="A1238" s="10">
        <v>1177</v>
      </c>
      <c r="D1238" s="2" t="str">
        <f t="shared" si="18"/>
        <v>OK</v>
      </c>
    </row>
    <row r="1239" spans="1:4" x14ac:dyDescent="0.2">
      <c r="A1239" s="5">
        <v>1178</v>
      </c>
      <c r="B1239" s="138">
        <f>'Expenditures 15-22'!E127</f>
        <v>149877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149877</v>
      </c>
      <c r="C1241" s="2" t="s">
        <v>594</v>
      </c>
      <c r="D1241" s="2" t="str">
        <f t="shared" si="18"/>
        <v>Error?</v>
      </c>
    </row>
    <row r="1242" spans="1:4" x14ac:dyDescent="0.2">
      <c r="A1242" s="5">
        <v>1181</v>
      </c>
      <c r="B1242" s="138">
        <f>'Expenditures 15-22'!E151</f>
        <v>149877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103275</v>
      </c>
      <c r="D1245" s="2" t="str">
        <f t="shared" si="18"/>
        <v>Error?</v>
      </c>
    </row>
    <row r="1246" spans="1:4" x14ac:dyDescent="0.2">
      <c r="A1246" s="10">
        <v>1185</v>
      </c>
      <c r="D1246" s="2" t="str">
        <f t="shared" si="18"/>
        <v>OK</v>
      </c>
    </row>
    <row r="1247" spans="1:4" x14ac:dyDescent="0.2">
      <c r="A1247" s="5">
        <v>1186</v>
      </c>
      <c r="B1247" s="138">
        <f>'Expenditures 15-22'!F127</f>
        <v>103275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103275</v>
      </c>
      <c r="C1249" s="2" t="s">
        <v>594</v>
      </c>
      <c r="D1249" s="2" t="str">
        <f t="shared" si="18"/>
        <v>Error?</v>
      </c>
    </row>
    <row r="1250" spans="1:4" x14ac:dyDescent="0.2">
      <c r="A1250" s="5">
        <v>1189</v>
      </c>
      <c r="B1250" s="138">
        <f>'Expenditures 15-22'!F151</f>
        <v>103275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470859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470859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470859</v>
      </c>
      <c r="C1258" s="2" t="s">
        <v>594</v>
      </c>
      <c r="D1258" s="2" t="str">
        <f t="shared" si="18"/>
        <v>Error?</v>
      </c>
    </row>
    <row r="1259" spans="1:4" x14ac:dyDescent="0.2">
      <c r="A1259" s="5">
        <v>1198</v>
      </c>
      <c r="B1259" s="138">
        <f>'Expenditures 15-22'!G151</f>
        <v>470859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724011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724011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724011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724011</v>
      </c>
      <c r="C1288" s="2" t="s">
        <v>594</v>
      </c>
      <c r="D1288" s="2" t="str">
        <f t="shared" si="19"/>
        <v>Error?</v>
      </c>
    </row>
    <row r="1289" spans="1:4" x14ac:dyDescent="0.2">
      <c r="A1289" s="5">
        <v>1228</v>
      </c>
      <c r="B1289" s="138">
        <f>'Expenditures 15-22'!K152</f>
        <v>-51727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10588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300000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310588</v>
      </c>
      <c r="C1317" s="2" t="s">
        <v>594</v>
      </c>
      <c r="D1317" s="2" t="str">
        <f t="shared" si="19"/>
        <v>Error?</v>
      </c>
    </row>
    <row r="1318" spans="1:4" x14ac:dyDescent="0.2">
      <c r="A1318" s="5">
        <v>1257</v>
      </c>
      <c r="B1318" s="138">
        <f>'Expenditures 15-22'!H174</f>
        <v>310588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10588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300000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310588</v>
      </c>
      <c r="C1331" s="2" t="s">
        <v>594</v>
      </c>
      <c r="D1331" s="2" t="str">
        <f t="shared" si="19"/>
        <v>Error?</v>
      </c>
    </row>
    <row r="1332" spans="1:4" x14ac:dyDescent="0.2">
      <c r="A1332" s="5">
        <v>1271</v>
      </c>
      <c r="B1332" s="138">
        <f>'Expenditures 15-22'!K174</f>
        <v>310588</v>
      </c>
      <c r="C1332" s="2" t="s">
        <v>594</v>
      </c>
      <c r="D1332" s="2" t="str">
        <f t="shared" si="19"/>
        <v>Error?</v>
      </c>
    </row>
    <row r="1333" spans="1:4" x14ac:dyDescent="0.2">
      <c r="A1333" s="5">
        <v>1272</v>
      </c>
      <c r="B1333" s="138">
        <f>'Expenditures 15-22'!K175</f>
        <v>601</v>
      </c>
      <c r="C1333" s="2" t="s">
        <v>594</v>
      </c>
      <c r="D1333" s="2" t="str">
        <f t="shared" si="19"/>
        <v>Error?</v>
      </c>
    </row>
    <row r="1334" spans="1:4" x14ac:dyDescent="0.2">
      <c r="A1334" s="10">
        <v>1273</v>
      </c>
      <c r="D1334" s="2" t="str">
        <f t="shared" si="19"/>
        <v>OK</v>
      </c>
    </row>
    <row r="1335" spans="1:4" x14ac:dyDescent="0.2">
      <c r="A1335" s="5">
        <v>1274</v>
      </c>
      <c r="B1335" s="138">
        <f>'Expenditures 15-22'!C182</f>
        <v>238645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238645</v>
      </c>
      <c r="C1339" s="2" t="s">
        <v>594</v>
      </c>
      <c r="D1339" s="2" t="str">
        <f t="shared" si="19"/>
        <v>Error?</v>
      </c>
    </row>
    <row r="1340" spans="1:4" x14ac:dyDescent="0.2">
      <c r="A1340" s="5">
        <v>1279</v>
      </c>
      <c r="B1340" s="138">
        <f>'Expenditures 15-22'!C210</f>
        <v>238645</v>
      </c>
      <c r="C1340" s="2" t="s">
        <v>594</v>
      </c>
      <c r="D1340" s="2" t="str">
        <f t="shared" si="19"/>
        <v>Error?</v>
      </c>
    </row>
    <row r="1341" spans="1:4" x14ac:dyDescent="0.2">
      <c r="A1341" s="5">
        <v>1280</v>
      </c>
      <c r="B1341" s="138">
        <f>'Expenditures 15-22'!D182</f>
        <v>99942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99942</v>
      </c>
      <c r="C1345" s="2" t="s">
        <v>594</v>
      </c>
      <c r="D1345" s="2" t="str">
        <f t="shared" si="20"/>
        <v>Error?</v>
      </c>
    </row>
    <row r="1346" spans="1:4" x14ac:dyDescent="0.2">
      <c r="A1346" s="5">
        <v>1285</v>
      </c>
      <c r="B1346" s="138">
        <f>'Expenditures 15-22'!D210</f>
        <v>99942</v>
      </c>
      <c r="C1346" s="2" t="s">
        <v>594</v>
      </c>
      <c r="D1346" s="2" t="str">
        <f t="shared" si="20"/>
        <v>Error?</v>
      </c>
    </row>
    <row r="1347" spans="1:4" x14ac:dyDescent="0.2">
      <c r="A1347" s="5">
        <v>1286</v>
      </c>
      <c r="B1347" s="138">
        <f>'Expenditures 15-22'!E182</f>
        <v>15263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15263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15263</v>
      </c>
      <c r="C1353" s="2" t="s">
        <v>594</v>
      </c>
      <c r="D1353" s="2" t="str">
        <f t="shared" si="20"/>
        <v>Error?</v>
      </c>
    </row>
    <row r="1354" spans="1:4" x14ac:dyDescent="0.2">
      <c r="A1354" s="5">
        <v>1293</v>
      </c>
      <c r="B1354" s="138">
        <f>'Expenditures 15-22'!F182</f>
        <v>66482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66482</v>
      </c>
      <c r="C1358" s="2" t="s">
        <v>594</v>
      </c>
      <c r="D1358" s="2" t="str">
        <f t="shared" si="20"/>
        <v>Error?</v>
      </c>
    </row>
    <row r="1359" spans="1:4" x14ac:dyDescent="0.2">
      <c r="A1359" s="5">
        <v>1298</v>
      </c>
      <c r="B1359" s="138">
        <f>'Expenditures 15-22'!F210</f>
        <v>66482</v>
      </c>
      <c r="C1359" s="2" t="s">
        <v>594</v>
      </c>
      <c r="D1359" s="2" t="str">
        <f t="shared" si="20"/>
        <v>Error?</v>
      </c>
    </row>
    <row r="1360" spans="1:4" x14ac:dyDescent="0.2">
      <c r="A1360" s="5">
        <v>1299</v>
      </c>
      <c r="B1360" s="138">
        <f>'Expenditures 15-22'!G182</f>
        <v>139800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139800</v>
      </c>
      <c r="C1364" s="2" t="s">
        <v>594</v>
      </c>
      <c r="D1364" s="2" t="str">
        <f t="shared" si="20"/>
        <v>Error?</v>
      </c>
    </row>
    <row r="1365" spans="1:4" x14ac:dyDescent="0.2">
      <c r="A1365" s="5">
        <v>1304</v>
      </c>
      <c r="B1365" s="138">
        <f>'Expenditures 15-22'!G210</f>
        <v>139800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30387</v>
      </c>
      <c r="C1375" s="2" t="s">
        <v>594</v>
      </c>
      <c r="D1375" s="2" t="str">
        <f t="shared" si="20"/>
        <v>Error?</v>
      </c>
    </row>
    <row r="1376" spans="1:4" x14ac:dyDescent="0.2">
      <c r="A1376" s="5">
        <v>1315</v>
      </c>
      <c r="B1376" s="138">
        <f>'Expenditures 15-22'!H210</f>
        <v>30387</v>
      </c>
      <c r="C1376" s="2" t="s">
        <v>594</v>
      </c>
      <c r="D1376" s="2" t="str">
        <f t="shared" si="20"/>
        <v>Error?</v>
      </c>
    </row>
    <row r="1377" spans="1:4" x14ac:dyDescent="0.2">
      <c r="A1377" s="5">
        <v>1316</v>
      </c>
      <c r="B1377" s="138">
        <f>'Expenditures 15-22'!K182</f>
        <v>560132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560132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30387</v>
      </c>
      <c r="C1387" s="2" t="s">
        <v>594</v>
      </c>
      <c r="D1387" s="2" t="str">
        <f t="shared" si="20"/>
        <v>Error?</v>
      </c>
    </row>
    <row r="1388" spans="1:4" x14ac:dyDescent="0.2">
      <c r="A1388" s="5">
        <v>1327</v>
      </c>
      <c r="B1388" s="138">
        <f>'Expenditures 15-22'!K210</f>
        <v>590519</v>
      </c>
      <c r="C1388" s="2" t="s">
        <v>594</v>
      </c>
      <c r="D1388" s="2" t="str">
        <f t="shared" si="20"/>
        <v>Error?</v>
      </c>
    </row>
    <row r="1389" spans="1:4" x14ac:dyDescent="0.2">
      <c r="A1389" s="5">
        <v>1328</v>
      </c>
      <c r="B1389" s="138">
        <f>'Expenditures 15-22'!K211</f>
        <v>-71875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2541</v>
      </c>
      <c r="D1407" s="2" t="str">
        <f t="shared" ref="D1407:D1470" si="21">IF(ISBLANK(B1407),"OK",IF(A1407-B1407=0,"OK","Error?"))</f>
        <v>Error?</v>
      </c>
    </row>
    <row r="1408" spans="1:4" x14ac:dyDescent="0.2">
      <c r="A1408" s="5">
        <v>1347</v>
      </c>
      <c r="B1408" s="138">
        <f>'Expenditures 15-22'!D223</f>
        <v>10577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186630</v>
      </c>
      <c r="C1410" s="2" t="s">
        <v>594</v>
      </c>
      <c r="D1410" s="2" t="str">
        <f t="shared" si="21"/>
        <v>Error?</v>
      </c>
    </row>
    <row r="1411" spans="1:4" x14ac:dyDescent="0.2">
      <c r="A1411" s="5">
        <v>1350</v>
      </c>
      <c r="B1411" s="138">
        <f>'Expenditures 15-22'!D232</f>
        <v>1609</v>
      </c>
      <c r="D1411" s="2" t="str">
        <f t="shared" si="21"/>
        <v>Error?</v>
      </c>
    </row>
    <row r="1412" spans="1:4" x14ac:dyDescent="0.2">
      <c r="A1412" s="5">
        <v>1351</v>
      </c>
      <c r="B1412" s="138">
        <f>'Expenditures 15-22'!D233</f>
        <v>687</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1037</v>
      </c>
      <c r="D1414" s="2" t="str">
        <f t="shared" si="21"/>
        <v>Error?</v>
      </c>
    </row>
    <row r="1415" spans="1:4" x14ac:dyDescent="0.2">
      <c r="A1415" s="5">
        <v>1354</v>
      </c>
      <c r="B1415" s="138">
        <f>'Expenditures 15-22'!D236</f>
        <v>1896</v>
      </c>
      <c r="D1415" s="2" t="str">
        <f t="shared" si="21"/>
        <v>Error?</v>
      </c>
    </row>
    <row r="1416" spans="1:4" x14ac:dyDescent="0.2">
      <c r="A1416" s="5">
        <v>1355</v>
      </c>
      <c r="B1416" s="138">
        <f>'Expenditures 15-22'!D237</f>
        <v>42</v>
      </c>
      <c r="D1416" s="2" t="str">
        <f t="shared" si="21"/>
        <v>Error?</v>
      </c>
    </row>
    <row r="1417" spans="1:4" x14ac:dyDescent="0.2">
      <c r="A1417" s="5">
        <v>1356</v>
      </c>
      <c r="B1417" s="138">
        <f>'Expenditures 15-22'!D238</f>
        <v>5271</v>
      </c>
      <c r="C1417" s="2" t="s">
        <v>594</v>
      </c>
      <c r="D1417" s="2" t="str">
        <f t="shared" si="21"/>
        <v>Error?</v>
      </c>
    </row>
    <row r="1418" spans="1:4" x14ac:dyDescent="0.2">
      <c r="A1418" s="5">
        <v>1357</v>
      </c>
      <c r="B1418" s="138">
        <f>'Expenditures 15-22'!D240</f>
        <v>15697</v>
      </c>
      <c r="D1418" s="2" t="str">
        <f t="shared" si="21"/>
        <v>Error?</v>
      </c>
    </row>
    <row r="1419" spans="1:4" x14ac:dyDescent="0.2">
      <c r="A1419" s="5">
        <v>1358</v>
      </c>
      <c r="B1419" s="138">
        <f>'Expenditures 15-22'!D241</f>
        <v>17062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32759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10035</v>
      </c>
      <c r="D1423" s="2" t="str">
        <f t="shared" si="21"/>
        <v>Error?</v>
      </c>
    </row>
    <row r="1424" spans="1:4" x14ac:dyDescent="0.2">
      <c r="A1424" s="5">
        <v>1363</v>
      </c>
      <c r="B1424" s="138">
        <f>'Expenditures 15-22'!D257</f>
        <v>10035</v>
      </c>
      <c r="C1424" s="2" t="s">
        <v>594</v>
      </c>
      <c r="D1424" s="2" t="str">
        <f t="shared" si="21"/>
        <v>Error?</v>
      </c>
    </row>
    <row r="1425" spans="1:4" x14ac:dyDescent="0.2">
      <c r="A1425" s="5">
        <v>1364</v>
      </c>
      <c r="B1425" s="138">
        <f>'Expenditures 15-22'!D259</f>
        <v>33455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33455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6031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66397</v>
      </c>
      <c r="D1431" s="2" t="str">
        <f t="shared" si="21"/>
        <v>Error?</v>
      </c>
    </row>
    <row r="1432" spans="1:4" x14ac:dyDescent="0.2">
      <c r="A1432" s="5">
        <v>1371</v>
      </c>
      <c r="B1432" s="138">
        <f>'Expenditures 15-22'!D267</f>
        <v>50824</v>
      </c>
      <c r="D1432" s="2" t="str">
        <f t="shared" si="21"/>
        <v>Error?</v>
      </c>
    </row>
    <row r="1433" spans="1:4" x14ac:dyDescent="0.2">
      <c r="A1433" s="5">
        <v>1372</v>
      </c>
      <c r="B1433" s="138">
        <f>'Expenditures 15-22'!D268</f>
        <v>28665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151917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233437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420067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2541</v>
      </c>
      <c r="C1471" s="2" t="s">
        <v>594</v>
      </c>
      <c r="D1471" s="2" t="str">
        <f t="shared" ref="D1471:D1534" si="22">IF(ISBLANK(B1471),"OK",IF(A1471-B1471=0,"OK","Error?"))</f>
        <v>Error?</v>
      </c>
    </row>
    <row r="1472" spans="1:4" x14ac:dyDescent="0.2">
      <c r="A1472" s="5">
        <v>1411</v>
      </c>
      <c r="B1472" s="138">
        <f>'Expenditures 15-22'!K223</f>
        <v>10577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186630</v>
      </c>
      <c r="C1474" s="2" t="s">
        <v>594</v>
      </c>
      <c r="D1474" s="2" t="str">
        <f t="shared" si="22"/>
        <v>Error?</v>
      </c>
    </row>
    <row r="1475" spans="1:4" x14ac:dyDescent="0.2">
      <c r="A1475" s="5">
        <v>1414</v>
      </c>
      <c r="B1475" s="138">
        <f>'Expenditures 15-22'!K232</f>
        <v>1609</v>
      </c>
      <c r="C1475" s="2" t="s">
        <v>594</v>
      </c>
      <c r="D1475" s="2" t="str">
        <f t="shared" si="22"/>
        <v>Error?</v>
      </c>
    </row>
    <row r="1476" spans="1:4" x14ac:dyDescent="0.2">
      <c r="A1476" s="5">
        <v>1415</v>
      </c>
      <c r="B1476" s="138">
        <f>'Expenditures 15-22'!K233</f>
        <v>687</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1037</v>
      </c>
      <c r="C1478" s="2" t="s">
        <v>594</v>
      </c>
      <c r="D1478" s="2" t="str">
        <f t="shared" si="22"/>
        <v>Error?</v>
      </c>
    </row>
    <row r="1479" spans="1:4" x14ac:dyDescent="0.2">
      <c r="A1479" s="5">
        <v>1418</v>
      </c>
      <c r="B1479" s="138">
        <f>'Expenditures 15-22'!K236</f>
        <v>1896</v>
      </c>
      <c r="C1479" s="2" t="s">
        <v>594</v>
      </c>
      <c r="D1479" s="2" t="str">
        <f t="shared" si="22"/>
        <v>Error?</v>
      </c>
    </row>
    <row r="1480" spans="1:4" x14ac:dyDescent="0.2">
      <c r="A1480" s="5">
        <v>1419</v>
      </c>
      <c r="B1480" s="138">
        <f>'Expenditures 15-22'!K237</f>
        <v>42</v>
      </c>
      <c r="C1480" s="2" t="s">
        <v>594</v>
      </c>
      <c r="D1480" s="2" t="str">
        <f t="shared" si="22"/>
        <v>Error?</v>
      </c>
    </row>
    <row r="1481" spans="1:4" x14ac:dyDescent="0.2">
      <c r="A1481" s="5">
        <v>1420</v>
      </c>
      <c r="B1481" s="138">
        <f>'Expenditures 15-22'!K238</f>
        <v>5271</v>
      </c>
      <c r="C1481" s="2" t="s">
        <v>594</v>
      </c>
      <c r="D1481" s="2" t="str">
        <f t="shared" si="22"/>
        <v>Error?</v>
      </c>
    </row>
    <row r="1482" spans="1:4" x14ac:dyDescent="0.2">
      <c r="A1482" s="5">
        <v>1421</v>
      </c>
      <c r="B1482" s="138">
        <f>'Expenditures 15-22'!K240</f>
        <v>15697</v>
      </c>
      <c r="C1482" s="2" t="s">
        <v>594</v>
      </c>
      <c r="D1482" s="2" t="str">
        <f t="shared" si="22"/>
        <v>Error?</v>
      </c>
    </row>
    <row r="1483" spans="1:4" x14ac:dyDescent="0.2">
      <c r="A1483" s="5">
        <v>1422</v>
      </c>
      <c r="B1483" s="138">
        <f>'Expenditures 15-22'!K241</f>
        <v>17062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32759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10035</v>
      </c>
      <c r="C1487" s="2" t="s">
        <v>594</v>
      </c>
      <c r="D1487" s="2" t="str">
        <f t="shared" si="22"/>
        <v>Error?</v>
      </c>
    </row>
    <row r="1488" spans="1:4" x14ac:dyDescent="0.2">
      <c r="A1488" s="5">
        <v>1427</v>
      </c>
      <c r="B1488" s="138">
        <f>'Expenditures 15-22'!K257</f>
        <v>10035</v>
      </c>
      <c r="C1488" s="2" t="s">
        <v>594</v>
      </c>
      <c r="D1488" s="2" t="str">
        <f t="shared" si="22"/>
        <v>Error?</v>
      </c>
    </row>
    <row r="1489" spans="1:4" x14ac:dyDescent="0.2">
      <c r="A1489" s="5">
        <v>1428</v>
      </c>
      <c r="B1489" s="138">
        <f>'Expenditures 15-22'!K259</f>
        <v>33455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33455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6031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66397</v>
      </c>
      <c r="C1495" s="2" t="s">
        <v>594</v>
      </c>
      <c r="D1495" s="2" t="str">
        <f t="shared" si="22"/>
        <v>Error?</v>
      </c>
    </row>
    <row r="1496" spans="1:4" x14ac:dyDescent="0.2">
      <c r="A1496" s="5">
        <v>1435</v>
      </c>
      <c r="B1496" s="138">
        <f>'Expenditures 15-22'!K267</f>
        <v>50824</v>
      </c>
      <c r="C1496" s="2" t="s">
        <v>594</v>
      </c>
      <c r="D1496" s="2" t="str">
        <f t="shared" si="22"/>
        <v>Error?</v>
      </c>
    </row>
    <row r="1497" spans="1:4" x14ac:dyDescent="0.2">
      <c r="A1497" s="5">
        <v>1436</v>
      </c>
      <c r="B1497" s="138">
        <f>'Expenditures 15-22'!K268</f>
        <v>28665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151917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233437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420067</v>
      </c>
      <c r="C1517" s="2" t="s">
        <v>594</v>
      </c>
      <c r="D1517" s="2" t="str">
        <f t="shared" si="22"/>
        <v>Error?</v>
      </c>
    </row>
    <row r="1518" spans="1:4" x14ac:dyDescent="0.2">
      <c r="A1518" s="5">
        <v>1457</v>
      </c>
      <c r="B1518" s="138">
        <f>'Expenditures 15-22'!K296</f>
        <v>4979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4830992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5925930</v>
      </c>
      <c r="C1630" s="2" t="s">
        <v>594</v>
      </c>
      <c r="D1630" s="2" t="str">
        <f t="shared" si="24"/>
        <v>Error?</v>
      </c>
    </row>
    <row r="1631" spans="1:4" x14ac:dyDescent="0.2">
      <c r="A1631" s="5">
        <v>1570</v>
      </c>
      <c r="B1631" s="138">
        <f>'Acct Summary 7-8'!D79</f>
        <v>231610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179883</v>
      </c>
      <c r="C1644" s="2" t="s">
        <v>594</v>
      </c>
      <c r="D1644" s="2" t="str">
        <f t="shared" si="24"/>
        <v>Error?</v>
      </c>
    </row>
    <row r="1645" spans="1:4" x14ac:dyDescent="0.2">
      <c r="A1645" s="5">
        <v>1584</v>
      </c>
      <c r="B1645" s="138">
        <f>'Acct Summary 7-8'!E79</f>
        <v>12367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12968</v>
      </c>
      <c r="C1658" s="2" t="s">
        <v>594</v>
      </c>
      <c r="D1658" s="2" t="str">
        <f t="shared" si="24"/>
        <v>Error?</v>
      </c>
    </row>
    <row r="1659" spans="1:4" x14ac:dyDescent="0.2">
      <c r="A1659" s="5">
        <v>1598</v>
      </c>
      <c r="B1659" s="138">
        <f>'Acct Summary 7-8'!F79</f>
        <v>11499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79424</v>
      </c>
      <c r="C1672" s="2" t="s">
        <v>594</v>
      </c>
      <c r="D1672" s="2" t="str">
        <f t="shared" si="25"/>
        <v>Error?</v>
      </c>
    </row>
    <row r="1673" spans="1:4" x14ac:dyDescent="0.2">
      <c r="A1673" s="5">
        <v>1612</v>
      </c>
      <c r="B1673" s="138">
        <f>'Acct Summary 7-8'!G79</f>
        <v>631763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636742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2159628</v>
      </c>
      <c r="C1744" s="2" t="s">
        <v>594</v>
      </c>
      <c r="D1744" s="2" t="str">
        <f t="shared" si="26"/>
        <v>Error?</v>
      </c>
    </row>
    <row r="1745" spans="1:5" x14ac:dyDescent="0.2">
      <c r="A1745" s="5">
        <v>1684</v>
      </c>
      <c r="B1745" s="138">
        <f>'Tax Sched 23'!B5</f>
        <v>364754</v>
      </c>
      <c r="C1745" s="2" t="s">
        <v>594</v>
      </c>
      <c r="D1745" s="2" t="str">
        <f t="shared" si="26"/>
        <v>Error?</v>
      </c>
    </row>
    <row r="1746" spans="1:5" x14ac:dyDescent="0.2">
      <c r="A1746" s="5">
        <v>1685</v>
      </c>
      <c r="B1746" s="138">
        <f>'Tax Sched 23'!B6</f>
        <v>306891</v>
      </c>
      <c r="C1746" s="2" t="s">
        <v>594</v>
      </c>
      <c r="D1746" s="2" t="str">
        <f t="shared" si="26"/>
        <v>Error?</v>
      </c>
    </row>
    <row r="1747" spans="1:5" x14ac:dyDescent="0.2">
      <c r="A1747" s="5">
        <v>1686</v>
      </c>
      <c r="B1747" s="138">
        <f>'Tax Sched 23'!B7</f>
        <v>145902</v>
      </c>
      <c r="C1747" s="2" t="s">
        <v>594</v>
      </c>
      <c r="D1747" s="2" t="str">
        <f t="shared" si="26"/>
        <v>Error?</v>
      </c>
    </row>
    <row r="1748" spans="1:5" x14ac:dyDescent="0.2">
      <c r="A1748" s="5">
        <v>1687</v>
      </c>
      <c r="B1748" s="138">
        <f>'Tax Sched 23'!B8</f>
        <v>206869</v>
      </c>
      <c r="C1748" s="2" t="s">
        <v>594</v>
      </c>
      <c r="D1748" s="2" t="str">
        <f t="shared" si="26"/>
        <v>Error?</v>
      </c>
    </row>
    <row r="1749" spans="1:5" x14ac:dyDescent="0.2">
      <c r="A1749" s="5">
        <v>1688</v>
      </c>
      <c r="B1749" s="138">
        <f>'Tax Sched 23'!B10</f>
        <v>36474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218845</v>
      </c>
      <c r="C1752" s="2" t="s">
        <v>594</v>
      </c>
      <c r="D1752" s="2" t="str">
        <f t="shared" si="26"/>
        <v>Error?</v>
      </c>
    </row>
    <row r="1753" spans="1:5" x14ac:dyDescent="0.2">
      <c r="A1753" s="5">
        <v>1692</v>
      </c>
      <c r="B1753" s="138">
        <f>'Tax Sched 23'!B12</f>
        <v>36474</v>
      </c>
      <c r="C1753" s="2" t="s">
        <v>594</v>
      </c>
      <c r="D1753" s="2" t="str">
        <f t="shared" si="26"/>
        <v>Error?</v>
      </c>
    </row>
    <row r="1754" spans="1:5" x14ac:dyDescent="0.2">
      <c r="A1754" s="5">
        <v>1693</v>
      </c>
      <c r="B1754" s="138">
        <f>'Tax Sched 23'!B14</f>
        <v>29285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3748596</v>
      </c>
      <c r="C1759" s="2" t="s">
        <v>594</v>
      </c>
      <c r="D1759" s="2" t="str">
        <f t="shared" si="26"/>
        <v>Error?</v>
      </c>
    </row>
    <row r="1760" spans="1:5" x14ac:dyDescent="0.2">
      <c r="A1760" s="5">
        <v>1699</v>
      </c>
      <c r="B1760" s="138">
        <f>'Tax Sched 23'!D4</f>
        <v>2159628</v>
      </c>
      <c r="C1760" s="2" t="s">
        <v>594</v>
      </c>
      <c r="D1760" s="2" t="str">
        <f t="shared" si="26"/>
        <v>Error?</v>
      </c>
    </row>
    <row r="1761" spans="1:5" x14ac:dyDescent="0.2">
      <c r="A1761" s="5">
        <v>1700</v>
      </c>
      <c r="B1761" s="138">
        <f>'Tax Sched 23'!D5</f>
        <v>364754</v>
      </c>
      <c r="C1761" s="2" t="s">
        <v>594</v>
      </c>
      <c r="D1761" s="2" t="str">
        <f t="shared" si="26"/>
        <v>Error?</v>
      </c>
    </row>
    <row r="1762" spans="1:5" s="8" customFormat="1" x14ac:dyDescent="0.2">
      <c r="A1762" s="5">
        <v>1701</v>
      </c>
      <c r="B1762" s="138">
        <f>'Tax Sched 23'!D6</f>
        <v>306891</v>
      </c>
      <c r="C1762" s="2" t="s">
        <v>594</v>
      </c>
      <c r="D1762" s="2" t="str">
        <f t="shared" si="26"/>
        <v>Error?</v>
      </c>
      <c r="E1762" s="9"/>
    </row>
    <row r="1763" spans="1:5" x14ac:dyDescent="0.2">
      <c r="A1763" s="5">
        <v>1702</v>
      </c>
      <c r="B1763" s="138">
        <f>'Tax Sched 23'!D7</f>
        <v>145902</v>
      </c>
      <c r="C1763" s="2" t="s">
        <v>594</v>
      </c>
      <c r="D1763" s="2" t="str">
        <f t="shared" si="26"/>
        <v>Error?</v>
      </c>
    </row>
    <row r="1764" spans="1:5" x14ac:dyDescent="0.2">
      <c r="A1764" s="5">
        <v>1703</v>
      </c>
      <c r="B1764" s="138">
        <f>'Tax Sched 23'!D8</f>
        <v>206869</v>
      </c>
      <c r="C1764" s="2" t="s">
        <v>594</v>
      </c>
      <c r="D1764" s="2" t="str">
        <f t="shared" si="26"/>
        <v>Error?</v>
      </c>
    </row>
    <row r="1765" spans="1:5" x14ac:dyDescent="0.2">
      <c r="A1765" s="5">
        <v>1704</v>
      </c>
      <c r="B1765" s="138">
        <f>'Tax Sched 23'!D10</f>
        <v>36474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218845</v>
      </c>
      <c r="C1768" s="2" t="s">
        <v>594</v>
      </c>
      <c r="D1768" s="2" t="str">
        <f t="shared" si="26"/>
        <v>Error?</v>
      </c>
    </row>
    <row r="1769" spans="1:5" x14ac:dyDescent="0.2">
      <c r="A1769" s="5">
        <v>1708</v>
      </c>
      <c r="B1769" s="138">
        <f>'Tax Sched 23'!D12</f>
        <v>36474</v>
      </c>
      <c r="C1769" s="2" t="s">
        <v>594</v>
      </c>
      <c r="D1769" s="2" t="str">
        <f t="shared" si="26"/>
        <v>Error?</v>
      </c>
    </row>
    <row r="1770" spans="1:5" x14ac:dyDescent="0.2">
      <c r="A1770" s="5">
        <v>1709</v>
      </c>
      <c r="B1770" s="138">
        <f>'Tax Sched 23'!D14</f>
        <v>29285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3748596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2244992</v>
      </c>
      <c r="C1792" s="2" t="s">
        <v>594</v>
      </c>
      <c r="D1792" s="2" t="str">
        <f t="shared" si="27"/>
        <v>Error?</v>
      </c>
    </row>
    <row r="1793" spans="1:4" x14ac:dyDescent="0.2">
      <c r="A1793" s="5">
        <v>1732</v>
      </c>
      <c r="B1793" s="138">
        <f>'Tax Sched 23'!F5</f>
        <v>379222</v>
      </c>
      <c r="C1793" s="2" t="s">
        <v>594</v>
      </c>
      <c r="D1793" s="2" t="str">
        <f t="shared" si="27"/>
        <v>Error?</v>
      </c>
    </row>
    <row r="1794" spans="1:4" x14ac:dyDescent="0.2">
      <c r="A1794" s="5">
        <v>1733</v>
      </c>
      <c r="B1794" s="138">
        <f>'Tax Sched 23'!F6</f>
        <v>307670</v>
      </c>
      <c r="C1794" s="2" t="s">
        <v>594</v>
      </c>
      <c r="D1794" s="2" t="str">
        <f t="shared" si="27"/>
        <v>Error?</v>
      </c>
    </row>
    <row r="1795" spans="1:4" x14ac:dyDescent="0.2">
      <c r="A1795" s="5">
        <v>1734</v>
      </c>
      <c r="B1795" s="138">
        <f>'Tax Sched 23'!F7</f>
        <v>151689</v>
      </c>
      <c r="C1795" s="2" t="s">
        <v>594</v>
      </c>
      <c r="D1795" s="2" t="str">
        <f t="shared" si="27"/>
        <v>Error?</v>
      </c>
    </row>
    <row r="1796" spans="1:4" x14ac:dyDescent="0.2">
      <c r="A1796" s="5">
        <v>1735</v>
      </c>
      <c r="B1796" s="138">
        <f>'Tax Sched 23'!F8</f>
        <v>208003</v>
      </c>
      <c r="C1796" s="2" t="s">
        <v>594</v>
      </c>
      <c r="D1796" s="2" t="str">
        <f t="shared" si="27"/>
        <v>Error?</v>
      </c>
    </row>
    <row r="1797" spans="1:4" x14ac:dyDescent="0.2">
      <c r="A1797" s="5">
        <v>1736</v>
      </c>
      <c r="B1797" s="138">
        <f>'Tax Sched 23'!F10</f>
        <v>37922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225000</v>
      </c>
      <c r="C1800" s="2" t="s">
        <v>594</v>
      </c>
      <c r="D1800" s="2" t="str">
        <f t="shared" si="27"/>
        <v>Error?</v>
      </c>
    </row>
    <row r="1801" spans="1:4" x14ac:dyDescent="0.2">
      <c r="A1801" s="5">
        <v>1740</v>
      </c>
      <c r="B1801" s="138">
        <f>'Tax Sched 23'!F12</f>
        <v>37922</v>
      </c>
      <c r="C1801" s="2" t="s">
        <v>594</v>
      </c>
      <c r="D1801" s="2" t="str">
        <f t="shared" si="27"/>
        <v>Error?</v>
      </c>
    </row>
    <row r="1802" spans="1:4" x14ac:dyDescent="0.2">
      <c r="A1802" s="5">
        <v>1741</v>
      </c>
      <c r="B1802" s="138">
        <f>'Tax Sched 23'!F14</f>
        <v>30338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3868683</v>
      </c>
      <c r="C1807" s="2" t="s">
        <v>594</v>
      </c>
      <c r="D1807" s="2" t="str">
        <f t="shared" si="27"/>
        <v>Error?</v>
      </c>
    </row>
    <row r="1808" spans="1:4" x14ac:dyDescent="0.2">
      <c r="A1808" s="5">
        <v>1747</v>
      </c>
      <c r="B1808" s="138">
        <f>'Tax Sched 23'!E4</f>
        <v>2244992</v>
      </c>
      <c r="D1808" s="2" t="str">
        <f t="shared" si="27"/>
        <v>Error?</v>
      </c>
    </row>
    <row r="1809" spans="1:4" x14ac:dyDescent="0.2">
      <c r="A1809" s="5">
        <v>1748</v>
      </c>
      <c r="B1809" s="138">
        <f>'Tax Sched 23'!E5</f>
        <v>379222</v>
      </c>
      <c r="D1809" s="2" t="str">
        <f t="shared" si="27"/>
        <v>Error?</v>
      </c>
    </row>
    <row r="1810" spans="1:4" x14ac:dyDescent="0.2">
      <c r="A1810" s="5">
        <v>1749</v>
      </c>
      <c r="B1810" s="138">
        <f>'Tax Sched 23'!E6</f>
        <v>307670</v>
      </c>
      <c r="D1810" s="2" t="str">
        <f t="shared" si="27"/>
        <v>Error?</v>
      </c>
    </row>
    <row r="1811" spans="1:4" x14ac:dyDescent="0.2">
      <c r="A1811" s="5">
        <v>1750</v>
      </c>
      <c r="B1811" s="138">
        <f>'Tax Sched 23'!E7</f>
        <v>151689</v>
      </c>
      <c r="D1811" s="2" t="str">
        <f t="shared" si="27"/>
        <v>Error?</v>
      </c>
    </row>
    <row r="1812" spans="1:4" x14ac:dyDescent="0.2">
      <c r="A1812" s="5">
        <v>1751</v>
      </c>
      <c r="B1812" s="138">
        <f>'Tax Sched 23'!E8</f>
        <v>208003</v>
      </c>
      <c r="D1812" s="2" t="str">
        <f t="shared" si="27"/>
        <v>Error?</v>
      </c>
    </row>
    <row r="1813" spans="1:4" x14ac:dyDescent="0.2">
      <c r="A1813" s="5">
        <v>1752</v>
      </c>
      <c r="B1813" s="138">
        <f>'Tax Sched 23'!E10</f>
        <v>37922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225000</v>
      </c>
      <c r="D1816" s="2" t="str">
        <f t="shared" si="27"/>
        <v>Error?</v>
      </c>
    </row>
    <row r="1817" spans="1:4" x14ac:dyDescent="0.2">
      <c r="A1817" s="5">
        <v>1756</v>
      </c>
      <c r="B1817" s="138">
        <f>'Tax Sched 23'!E12</f>
        <v>37922</v>
      </c>
      <c r="D1817" s="2" t="str">
        <f t="shared" si="27"/>
        <v>Error?</v>
      </c>
    </row>
    <row r="1818" spans="1:4" x14ac:dyDescent="0.2">
      <c r="A1818" s="5">
        <v>1757</v>
      </c>
      <c r="B1818" s="138">
        <f>'Tax Sched 23'!E14</f>
        <v>30338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3868683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605000</v>
      </c>
      <c r="C1939" s="2" t="s">
        <v>594</v>
      </c>
      <c r="D1939" s="2" t="str">
        <f t="shared" si="29"/>
        <v>Error?</v>
      </c>
    </row>
    <row r="1940" spans="1:5" x14ac:dyDescent="0.2">
      <c r="A1940" s="5">
        <v>1879</v>
      </c>
      <c r="B1940" s="138">
        <f>'Short-Term Long-Term Debt 24'!F49</f>
        <v>139800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29285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29285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29285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106415</v>
      </c>
      <c r="D2008" s="2" t="str">
        <f t="shared" si="30"/>
        <v>Error?</v>
      </c>
    </row>
    <row r="2009" spans="1:4" x14ac:dyDescent="0.2">
      <c r="A2009" s="5">
        <v>1948</v>
      </c>
      <c r="B2009" s="138">
        <f>'Cap Outlay Deprec 26'!C8</f>
        <v>6854157</v>
      </c>
      <c r="D2009" s="2" t="str">
        <f t="shared" si="30"/>
        <v>Error?</v>
      </c>
    </row>
    <row r="2010" spans="1:4" x14ac:dyDescent="0.2">
      <c r="A2010" s="5">
        <v>1949</v>
      </c>
      <c r="B2010" s="138">
        <f>'Cap Outlay Deprec 26'!C10</f>
        <v>2366691</v>
      </c>
      <c r="D2010" s="2" t="str">
        <f t="shared" si="30"/>
        <v>Error?</v>
      </c>
    </row>
    <row r="2011" spans="1:4" x14ac:dyDescent="0.2">
      <c r="A2011" s="5">
        <v>1950</v>
      </c>
      <c r="B2011" s="138">
        <f>'Cap Outlay Deprec 26'!C12</f>
        <v>4509022</v>
      </c>
      <c r="D2011" s="2" t="str">
        <f t="shared" si="30"/>
        <v>Error?</v>
      </c>
    </row>
    <row r="2012" spans="1:4" x14ac:dyDescent="0.2">
      <c r="A2012" s="5">
        <v>1951</v>
      </c>
      <c r="B2012" s="138">
        <f>'Cap Outlay Deprec 26'!C13</f>
        <v>1367139</v>
      </c>
      <c r="D2012" s="2" t="str">
        <f t="shared" si="30"/>
        <v>Error?</v>
      </c>
    </row>
    <row r="2013" spans="1:4" x14ac:dyDescent="0.2">
      <c r="A2013" s="5">
        <v>1952</v>
      </c>
      <c r="B2013" s="138">
        <f>'Cap Outlay Deprec 26'!C16</f>
        <v>15203424</v>
      </c>
      <c r="C2013" s="2" t="s">
        <v>594</v>
      </c>
      <c r="D2013" s="2" t="str">
        <f t="shared" si="30"/>
        <v>Error?</v>
      </c>
    </row>
    <row r="2014" spans="1:4" x14ac:dyDescent="0.2">
      <c r="A2014" s="5">
        <v>1953</v>
      </c>
      <c r="B2014" s="138">
        <f>'Cap Outlay Deprec 26'!D5</f>
        <v>112016</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358844</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139800</v>
      </c>
      <c r="D2018" s="2" t="str">
        <f t="shared" si="30"/>
        <v>Error?</v>
      </c>
    </row>
    <row r="2019" spans="1:4" x14ac:dyDescent="0.2">
      <c r="A2019" s="5">
        <v>1958</v>
      </c>
      <c r="B2019" s="138">
        <f>'Cap Outlay Deprec 26'!D16</f>
        <v>610660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218431</v>
      </c>
      <c r="C2026" s="2" t="s">
        <v>594</v>
      </c>
      <c r="D2026" s="2" t="str">
        <f t="shared" si="30"/>
        <v>Error?</v>
      </c>
    </row>
    <row r="2027" spans="1:4" x14ac:dyDescent="0.2">
      <c r="A2027" s="5">
        <v>1966</v>
      </c>
      <c r="B2027" s="138">
        <f>'Cap Outlay Deprec 26'!F8</f>
        <v>6854157</v>
      </c>
      <c r="C2027" s="2" t="s">
        <v>594</v>
      </c>
      <c r="D2027" s="2" t="str">
        <f t="shared" si="30"/>
        <v>Error?</v>
      </c>
    </row>
    <row r="2028" spans="1:4" x14ac:dyDescent="0.2">
      <c r="A2028" s="5">
        <v>1967</v>
      </c>
      <c r="B2028" s="138">
        <f>'Cap Outlay Deprec 26'!F10</f>
        <v>2725535</v>
      </c>
      <c r="C2028" s="2" t="s">
        <v>594</v>
      </c>
      <c r="D2028" s="2" t="str">
        <f t="shared" si="30"/>
        <v>Error?</v>
      </c>
    </row>
    <row r="2029" spans="1:4" x14ac:dyDescent="0.2">
      <c r="A2029" s="5">
        <v>1968</v>
      </c>
      <c r="B2029" s="138">
        <f>'Cap Outlay Deprec 26'!F12</f>
        <v>4509022</v>
      </c>
      <c r="C2029" s="2" t="s">
        <v>594</v>
      </c>
      <c r="D2029" s="2" t="str">
        <f t="shared" si="30"/>
        <v>Error?</v>
      </c>
    </row>
    <row r="2030" spans="1:4" x14ac:dyDescent="0.2">
      <c r="A2030" s="5">
        <v>1969</v>
      </c>
      <c r="B2030" s="138">
        <f>'Cap Outlay Deprec 26'!F13</f>
        <v>1506939</v>
      </c>
      <c r="C2030" s="2" t="s">
        <v>594</v>
      </c>
      <c r="D2030" s="2" t="str">
        <f t="shared" si="30"/>
        <v>Error?</v>
      </c>
    </row>
    <row r="2031" spans="1:4" x14ac:dyDescent="0.2">
      <c r="A2031" s="5">
        <v>1970</v>
      </c>
      <c r="B2031" s="138">
        <f>'Cap Outlay Deprec 26'!F16</f>
        <v>15814084</v>
      </c>
      <c r="C2031" s="2" t="s">
        <v>594</v>
      </c>
      <c r="D2031" s="2" t="str">
        <f t="shared" si="30"/>
        <v>Error?</v>
      </c>
    </row>
    <row r="2032" spans="1:4" x14ac:dyDescent="0.2">
      <c r="A2032" s="10">
        <v>1971</v>
      </c>
      <c r="D2032" s="2" t="str">
        <f t="shared" si="30"/>
        <v>OK</v>
      </c>
    </row>
    <row r="2033" spans="1:4" x14ac:dyDescent="0.2">
      <c r="A2033" s="5">
        <v>1972</v>
      </c>
      <c r="B2033" s="138">
        <f>'Cap Outlay Deprec 26'!H8</f>
        <v>2980233</v>
      </c>
      <c r="D2033" s="2" t="str">
        <f t="shared" si="30"/>
        <v>Error?</v>
      </c>
    </row>
    <row r="2034" spans="1:4" x14ac:dyDescent="0.2">
      <c r="A2034" s="5">
        <v>1973</v>
      </c>
      <c r="B2034" s="138">
        <f>'Cap Outlay Deprec 26'!H10</f>
        <v>1358393</v>
      </c>
      <c r="D2034" s="2" t="str">
        <f t="shared" si="30"/>
        <v>Error?</v>
      </c>
    </row>
    <row r="2035" spans="1:4" x14ac:dyDescent="0.2">
      <c r="A2035" s="5">
        <v>1974</v>
      </c>
      <c r="B2035" s="138">
        <f>'Cap Outlay Deprec 26'!H12</f>
        <v>4021157</v>
      </c>
      <c r="D2035" s="2" t="str">
        <f t="shared" si="30"/>
        <v>Error?</v>
      </c>
    </row>
    <row r="2036" spans="1:4" x14ac:dyDescent="0.2">
      <c r="A2036" s="5">
        <v>1975</v>
      </c>
      <c r="B2036" s="138">
        <f>'Cap Outlay Deprec 26'!H13</f>
        <v>1160625</v>
      </c>
      <c r="D2036" s="2" t="str">
        <f t="shared" si="30"/>
        <v>Error?</v>
      </c>
    </row>
    <row r="2037" spans="1:4" x14ac:dyDescent="0.2">
      <c r="A2037" s="5">
        <v>1976</v>
      </c>
      <c r="B2037" s="138">
        <f>'Cap Outlay Deprec 26'!H16</f>
        <v>9520408</v>
      </c>
      <c r="C2037" s="2" t="s">
        <v>594</v>
      </c>
      <c r="D2037" s="2" t="str">
        <f t="shared" si="30"/>
        <v>Error?</v>
      </c>
    </row>
    <row r="2038" spans="1:4" x14ac:dyDescent="0.2">
      <c r="A2038" s="10">
        <v>1977</v>
      </c>
      <c r="D2038" s="2" t="str">
        <f t="shared" si="30"/>
        <v>OK</v>
      </c>
    </row>
    <row r="2039" spans="1:4" x14ac:dyDescent="0.2">
      <c r="A2039" s="5">
        <v>1978</v>
      </c>
      <c r="B2039" s="138">
        <f>'Cap Outlay Deprec 26'!I8</f>
        <v>137084</v>
      </c>
      <c r="D2039" s="2" t="str">
        <f t="shared" si="30"/>
        <v>Error?</v>
      </c>
    </row>
    <row r="2040" spans="1:4" x14ac:dyDescent="0.2">
      <c r="A2040" s="5">
        <v>1979</v>
      </c>
      <c r="B2040" s="138">
        <f>'Cap Outlay Deprec 26'!I10</f>
        <v>136277</v>
      </c>
      <c r="D2040" s="2" t="str">
        <f t="shared" si="30"/>
        <v>Error?</v>
      </c>
    </row>
    <row r="2041" spans="1:4" x14ac:dyDescent="0.2">
      <c r="A2041" s="5">
        <v>1980</v>
      </c>
      <c r="B2041" s="138">
        <f>'Cap Outlay Deprec 26'!I12</f>
        <v>120828</v>
      </c>
      <c r="D2041" s="2" t="str">
        <f t="shared" si="30"/>
        <v>Error?</v>
      </c>
    </row>
    <row r="2042" spans="1:4" x14ac:dyDescent="0.2">
      <c r="A2042" s="5">
        <v>1981</v>
      </c>
      <c r="B2042" s="138">
        <f>'Cap Outlay Deprec 26'!I13</f>
        <v>83924</v>
      </c>
      <c r="D2042" s="2" t="str">
        <f t="shared" si="30"/>
        <v>Error?</v>
      </c>
    </row>
    <row r="2043" spans="1:4" x14ac:dyDescent="0.2">
      <c r="A2043" s="5">
        <v>1982</v>
      </c>
      <c r="B2043" s="138">
        <f>'Cap Outlay Deprec 26'!I16</f>
        <v>478113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3117317</v>
      </c>
      <c r="C2051" s="2" t="s">
        <v>594</v>
      </c>
      <c r="D2051" s="2" t="str">
        <f t="shared" si="31"/>
        <v>Error?</v>
      </c>
    </row>
    <row r="2052" spans="1:4" x14ac:dyDescent="0.2">
      <c r="A2052" s="5">
        <v>1991</v>
      </c>
      <c r="B2052" s="138">
        <f>'Cap Outlay Deprec 26'!K10</f>
        <v>1494670</v>
      </c>
      <c r="C2052" s="2" t="s">
        <v>594</v>
      </c>
      <c r="D2052" s="2" t="str">
        <f t="shared" si="31"/>
        <v>Error?</v>
      </c>
    </row>
    <row r="2053" spans="1:4" x14ac:dyDescent="0.2">
      <c r="A2053" s="5">
        <v>1992</v>
      </c>
      <c r="B2053" s="138">
        <f>'Cap Outlay Deprec 26'!K12</f>
        <v>4141985</v>
      </c>
      <c r="C2053" s="2" t="s">
        <v>594</v>
      </c>
      <c r="D2053" s="2" t="str">
        <f t="shared" si="31"/>
        <v>Error?</v>
      </c>
    </row>
    <row r="2054" spans="1:4" x14ac:dyDescent="0.2">
      <c r="A2054" s="5">
        <v>1993</v>
      </c>
      <c r="B2054" s="138">
        <f>'Cap Outlay Deprec 26'!K13</f>
        <v>1244549</v>
      </c>
      <c r="C2054" s="2" t="s">
        <v>594</v>
      </c>
      <c r="D2054" s="2" t="str">
        <f t="shared" si="31"/>
        <v>Error?</v>
      </c>
    </row>
    <row r="2055" spans="1:4" x14ac:dyDescent="0.2">
      <c r="A2055" s="5">
        <v>1994</v>
      </c>
      <c r="B2055" s="138">
        <f>'Cap Outlay Deprec 26'!K16</f>
        <v>9998521</v>
      </c>
      <c r="C2055" s="2" t="s">
        <v>594</v>
      </c>
      <c r="D2055" s="2" t="str">
        <f t="shared" si="31"/>
        <v>Error?</v>
      </c>
    </row>
    <row r="2056" spans="1:4" x14ac:dyDescent="0.2">
      <c r="A2056" s="5">
        <v>1995</v>
      </c>
      <c r="B2056" s="138">
        <f>'Cap Outlay Deprec 26'!L5</f>
        <v>218431</v>
      </c>
      <c r="C2056" s="2" t="s">
        <v>594</v>
      </c>
      <c r="D2056" s="2" t="str">
        <f t="shared" si="31"/>
        <v>Error?</v>
      </c>
    </row>
    <row r="2057" spans="1:4" x14ac:dyDescent="0.2">
      <c r="A2057" s="5">
        <v>1996</v>
      </c>
      <c r="B2057" s="138">
        <f>'Cap Outlay Deprec 26'!L8</f>
        <v>3736840</v>
      </c>
      <c r="C2057" s="2" t="s">
        <v>594</v>
      </c>
      <c r="D2057" s="2" t="str">
        <f t="shared" si="31"/>
        <v>Error?</v>
      </c>
    </row>
    <row r="2058" spans="1:4" x14ac:dyDescent="0.2">
      <c r="A2058" s="5">
        <v>1997</v>
      </c>
      <c r="B2058" s="138">
        <f>'Cap Outlay Deprec 26'!L10</f>
        <v>1230865</v>
      </c>
      <c r="C2058" s="2" t="s">
        <v>594</v>
      </c>
      <c r="D2058" s="2" t="str">
        <f t="shared" si="31"/>
        <v>Error?</v>
      </c>
    </row>
    <row r="2059" spans="1:4" x14ac:dyDescent="0.2">
      <c r="A2059" s="5">
        <v>1998</v>
      </c>
      <c r="B2059" s="138">
        <f>'Cap Outlay Deprec 26'!L12</f>
        <v>367037</v>
      </c>
      <c r="C2059" s="2" t="s">
        <v>594</v>
      </c>
      <c r="D2059" s="2" t="str">
        <f t="shared" si="31"/>
        <v>Error?</v>
      </c>
    </row>
    <row r="2060" spans="1:4" x14ac:dyDescent="0.2">
      <c r="A2060" s="5">
        <v>1999</v>
      </c>
      <c r="B2060" s="138">
        <f>'Cap Outlay Deprec 26'!L13</f>
        <v>262390</v>
      </c>
      <c r="C2060" s="2" t="s">
        <v>594</v>
      </c>
      <c r="D2060" s="2" t="str">
        <f t="shared" si="31"/>
        <v>Error?</v>
      </c>
    </row>
    <row r="2061" spans="1:4" x14ac:dyDescent="0.2">
      <c r="A2061" s="5">
        <v>2000</v>
      </c>
      <c r="B2061" s="138">
        <f>'Cap Outlay Deprec 26'!L16</f>
        <v>5815563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105641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15137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636742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3342804</v>
      </c>
      <c r="C2551" s="2" t="s">
        <v>594</v>
      </c>
      <c r="D2551" s="2" t="str">
        <f t="shared" si="38"/>
        <v>Error?</v>
      </c>
    </row>
    <row r="2552" spans="1:4" x14ac:dyDescent="0.2">
      <c r="A2552" s="10">
        <v>2491</v>
      </c>
      <c r="D2552" s="2" t="str">
        <f t="shared" si="38"/>
        <v>OK</v>
      </c>
    </row>
    <row r="2553" spans="1:4" x14ac:dyDescent="0.2">
      <c r="A2553" s="5">
        <v>2492</v>
      </c>
      <c r="B2553" s="138">
        <f>'Acct Summary 7-8'!C6</f>
        <v>7784261</v>
      </c>
      <c r="C2553" s="2" t="s">
        <v>594</v>
      </c>
      <c r="D2553" s="2" t="str">
        <f t="shared" si="38"/>
        <v>Error?</v>
      </c>
    </row>
    <row r="2554" spans="1:4" x14ac:dyDescent="0.2">
      <c r="A2554" s="5">
        <v>2493</v>
      </c>
      <c r="B2554" s="138">
        <f>'Acct Summary 7-8'!C7</f>
        <v>1122036</v>
      </c>
      <c r="C2554" s="2" t="s">
        <v>594</v>
      </c>
      <c r="D2554" s="2" t="str">
        <f t="shared" si="38"/>
        <v>Error?</v>
      </c>
    </row>
    <row r="2555" spans="1:4" x14ac:dyDescent="0.2">
      <c r="A2555" s="5">
        <v>2494</v>
      </c>
      <c r="B2555" s="138">
        <f>'Acct Summary 7-8'!C8</f>
        <v>12295843</v>
      </c>
      <c r="C2555" s="2" t="s">
        <v>594</v>
      </c>
      <c r="D2555" s="2" t="str">
        <f t="shared" si="38"/>
        <v>Error?</v>
      </c>
    </row>
    <row r="2556" spans="1:4" x14ac:dyDescent="0.2">
      <c r="A2556" s="5">
        <v>2495</v>
      </c>
      <c r="B2556" s="138">
        <f>'Acct Summary 7-8'!C12</f>
        <v>7431716</v>
      </c>
      <c r="C2556" s="2" t="s">
        <v>594</v>
      </c>
      <c r="D2556" s="2" t="str">
        <f t="shared" si="38"/>
        <v>Error?</v>
      </c>
    </row>
    <row r="2557" spans="1:4" x14ac:dyDescent="0.2">
      <c r="A2557" s="5">
        <v>2496</v>
      </c>
      <c r="B2557" s="138">
        <f>'Acct Summary 7-8'!C13</f>
        <v>3663548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105641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11200905</v>
      </c>
      <c r="C2561" s="2" t="s">
        <v>594</v>
      </c>
      <c r="D2561" s="2" t="str">
        <f t="shared" si="39"/>
        <v>Error?</v>
      </c>
    </row>
    <row r="2562" spans="1:4" x14ac:dyDescent="0.2">
      <c r="A2562" s="5">
        <v>2501</v>
      </c>
      <c r="B2562" s="138">
        <f>'Acct Summary 7-8'!C20</f>
        <v>1094938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672284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672284</v>
      </c>
      <c r="C2568" s="2" t="s">
        <v>594</v>
      </c>
      <c r="D2568" s="2" t="str">
        <f t="shared" si="39"/>
        <v>Error?</v>
      </c>
    </row>
    <row r="2569" spans="1:4" x14ac:dyDescent="0.2">
      <c r="A2569" s="5">
        <v>2508</v>
      </c>
      <c r="B2569" s="138">
        <f>'Acct Summary 7-8'!D13</f>
        <v>724011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724011</v>
      </c>
      <c r="C2573" s="2" t="s">
        <v>594</v>
      </c>
      <c r="D2573" s="2" t="str">
        <f t="shared" si="39"/>
        <v>Error?</v>
      </c>
    </row>
    <row r="2574" spans="1:4" x14ac:dyDescent="0.2">
      <c r="A2574" s="5">
        <v>2513</v>
      </c>
      <c r="B2574" s="138">
        <f>'Acct Summary 7-8'!D20</f>
        <v>-51727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171686</v>
      </c>
      <c r="C2591" s="2" t="s">
        <v>594</v>
      </c>
      <c r="D2591" s="2" t="str">
        <f t="shared" si="39"/>
        <v>Error?</v>
      </c>
    </row>
    <row r="2592" spans="1:4" x14ac:dyDescent="0.2">
      <c r="A2592" s="10">
        <v>2531</v>
      </c>
      <c r="D2592" s="2" t="str">
        <f t="shared" si="39"/>
        <v>OK</v>
      </c>
    </row>
    <row r="2593" spans="1:4" x14ac:dyDescent="0.2">
      <c r="A2593" s="5">
        <v>2532</v>
      </c>
      <c r="B2593" s="138">
        <f>'Acct Summary 7-8'!F6</f>
        <v>346958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518644</v>
      </c>
      <c r="C2595" s="2" t="s">
        <v>594</v>
      </c>
      <c r="D2595" s="2" t="str">
        <f t="shared" si="39"/>
        <v>Error?</v>
      </c>
    </row>
    <row r="2596" spans="1:4" x14ac:dyDescent="0.2">
      <c r="A2596" s="5">
        <v>2535</v>
      </c>
      <c r="B2596" s="138">
        <f>'Acct Summary 7-8'!F13</f>
        <v>560132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30387</v>
      </c>
      <c r="C2599" s="2" t="s">
        <v>594</v>
      </c>
      <c r="D2599" s="2" t="str">
        <f t="shared" si="39"/>
        <v>Error?</v>
      </c>
    </row>
    <row r="2600" spans="1:4" x14ac:dyDescent="0.2">
      <c r="A2600" s="5">
        <v>2539</v>
      </c>
      <c r="B2600" s="138">
        <f>'Acct Summary 7-8'!F17</f>
        <v>590519</v>
      </c>
      <c r="C2600" s="2" t="s">
        <v>594</v>
      </c>
      <c r="D2600" s="2" t="str">
        <f t="shared" si="39"/>
        <v>Error?</v>
      </c>
    </row>
    <row r="2601" spans="1:4" x14ac:dyDescent="0.2">
      <c r="A2601" s="5">
        <v>2540</v>
      </c>
      <c r="B2601" s="138">
        <f>'Acct Summary 7-8'!F20</f>
        <v>-71875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425046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425046</v>
      </c>
      <c r="C2606" s="2" t="s">
        <v>594</v>
      </c>
      <c r="D2606" s="2" t="str">
        <f t="shared" si="39"/>
        <v>Error?</v>
      </c>
    </row>
    <row r="2607" spans="1:4" x14ac:dyDescent="0.2">
      <c r="A2607" s="5">
        <v>2546</v>
      </c>
      <c r="B2607" s="138">
        <f>'Acct Summary 7-8'!G12</f>
        <v>186630</v>
      </c>
      <c r="C2607" s="2" t="s">
        <v>594</v>
      </c>
      <c r="D2607" s="2" t="str">
        <f t="shared" si="39"/>
        <v>Error?</v>
      </c>
    </row>
    <row r="2608" spans="1:4" x14ac:dyDescent="0.2">
      <c r="A2608" s="5">
        <v>2547</v>
      </c>
      <c r="B2608" s="138">
        <f>'Acct Summary 7-8'!G13</f>
        <v>233437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420067</v>
      </c>
      <c r="C2612" s="2" t="s">
        <v>594</v>
      </c>
      <c r="D2612" s="2" t="str">
        <f t="shared" si="39"/>
        <v>Error?</v>
      </c>
    </row>
    <row r="2613" spans="1:4" x14ac:dyDescent="0.2">
      <c r="A2613" s="5">
        <v>2552</v>
      </c>
      <c r="B2613" s="138">
        <f>'Acct Summary 7-8'!G20</f>
        <v>4979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311189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311189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310588</v>
      </c>
      <c r="C2634" s="2" t="s">
        <v>594</v>
      </c>
      <c r="D2634" s="2" t="str">
        <f t="shared" si="40"/>
        <v>Error?</v>
      </c>
    </row>
    <row r="2635" spans="1:4" x14ac:dyDescent="0.2">
      <c r="A2635" s="5">
        <v>2574</v>
      </c>
      <c r="B2635" s="138">
        <f>'Acct Summary 7-8'!E17</f>
        <v>310588</v>
      </c>
      <c r="C2635" s="2" t="s">
        <v>594</v>
      </c>
      <c r="D2635" s="2" t="str">
        <f t="shared" si="40"/>
        <v>Error?</v>
      </c>
    </row>
    <row r="2636" spans="1:4" x14ac:dyDescent="0.2">
      <c r="A2636" s="5">
        <v>2575</v>
      </c>
      <c r="B2636" s="138">
        <f>'Acct Summary 7-8'!E20</f>
        <v>601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105641</v>
      </c>
      <c r="C2789" s="2" t="s">
        <v>594</v>
      </c>
      <c r="D2789" s="2" t="str">
        <f t="shared" si="42"/>
        <v>Error?</v>
      </c>
    </row>
    <row r="2790" spans="1:4" x14ac:dyDescent="0.2">
      <c r="A2790" s="5">
        <v>2729</v>
      </c>
      <c r="B2790" s="138">
        <f>'Expenditures 15-22'!E102</f>
        <v>105641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2204130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138749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2204130</v>
      </c>
      <c r="D2912" s="2" t="str">
        <f t="shared" si="44"/>
        <v>Error?</v>
      </c>
    </row>
    <row r="2913" spans="1:4" x14ac:dyDescent="0.2">
      <c r="A2913" s="5">
        <v>2852</v>
      </c>
      <c r="B2913" s="138">
        <f>'Assets-Liab 5-6'!I41</f>
        <v>2204130</v>
      </c>
      <c r="C2913" s="2" t="s">
        <v>594</v>
      </c>
      <c r="D2913" s="2" t="str">
        <f t="shared" si="44"/>
        <v>Error?</v>
      </c>
    </row>
    <row r="2914" spans="1:4" x14ac:dyDescent="0.2">
      <c r="A2914" s="5">
        <v>2853</v>
      </c>
      <c r="B2914" s="138">
        <f>'Assets-Liab 5-6'!L33</f>
        <v>138749</v>
      </c>
      <c r="D2914" s="2" t="str">
        <f t="shared" si="44"/>
        <v>Error?</v>
      </c>
    </row>
    <row r="2915" spans="1:4" x14ac:dyDescent="0.2">
      <c r="A2915" s="10">
        <v>2854</v>
      </c>
      <c r="D2915" s="2" t="str">
        <f t="shared" si="44"/>
        <v>OK</v>
      </c>
    </row>
    <row r="2916" spans="1:4" x14ac:dyDescent="0.2">
      <c r="A2916" s="5">
        <v>2855</v>
      </c>
      <c r="B2916" s="138">
        <f>'Assets-Liab 5-6'!L34</f>
        <v>138749</v>
      </c>
      <c r="C2916" s="2" t="s">
        <v>594</v>
      </c>
      <c r="D2916" s="2" t="str">
        <f t="shared" si="44"/>
        <v>Error?</v>
      </c>
    </row>
    <row r="2917" spans="1:4" x14ac:dyDescent="0.2">
      <c r="A2917" s="5">
        <v>2856</v>
      </c>
      <c r="B2917" s="138">
        <f>'Assets-Liab 5-6'!L41</f>
        <v>138749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103107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2534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103107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2534</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416055</v>
      </c>
      <c r="D3055" s="2" t="str">
        <f t="shared" si="46"/>
        <v>Error?</v>
      </c>
    </row>
    <row r="3056" spans="1:4" x14ac:dyDescent="0.2">
      <c r="A3056" s="5">
        <v>2995</v>
      </c>
      <c r="B3056" s="138">
        <f>'Expenditures 15-22'!D10</f>
        <v>86670</v>
      </c>
      <c r="D3056" s="2" t="str">
        <f t="shared" si="46"/>
        <v>Error?</v>
      </c>
    </row>
    <row r="3057" spans="1:4" x14ac:dyDescent="0.2">
      <c r="A3057" s="5">
        <v>2996</v>
      </c>
      <c r="B3057" s="138">
        <f>'Expenditures 15-22'!E10</f>
        <v>25520</v>
      </c>
      <c r="D3057" s="2" t="str">
        <f t="shared" si="46"/>
        <v>Error?</v>
      </c>
    </row>
    <row r="3058" spans="1:4" x14ac:dyDescent="0.2">
      <c r="A3058" s="5">
        <v>2997</v>
      </c>
      <c r="B3058" s="138">
        <f>'Expenditures 15-22'!F10</f>
        <v>251109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779354</v>
      </c>
      <c r="C3062" s="2" t="s">
        <v>594</v>
      </c>
      <c r="D3062" s="2" t="str">
        <f t="shared" si="46"/>
        <v>Error?</v>
      </c>
    </row>
    <row r="3063" spans="1:4" x14ac:dyDescent="0.2">
      <c r="A3063" s="10">
        <v>3002</v>
      </c>
      <c r="D3063" s="2" t="str">
        <f t="shared" si="46"/>
        <v>OK</v>
      </c>
    </row>
    <row r="3064" spans="1:4" x14ac:dyDescent="0.2">
      <c r="A3064" s="5">
        <v>3003</v>
      </c>
      <c r="B3064" s="138">
        <f>'Expenditures 15-22'!D219</f>
        <v>31365</v>
      </c>
      <c r="D3064" s="2" t="str">
        <f t="shared" si="46"/>
        <v>Error?</v>
      </c>
    </row>
    <row r="3065" spans="1:4" x14ac:dyDescent="0.2">
      <c r="A3065" s="5">
        <v>3004</v>
      </c>
      <c r="B3065" s="138">
        <f>'Expenditures 15-22'!K219</f>
        <v>31365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66807</v>
      </c>
      <c r="C3225" s="2" t="s">
        <v>594</v>
      </c>
      <c r="D3225" s="2" t="str">
        <f t="shared" si="49"/>
        <v>Error?</v>
      </c>
    </row>
    <row r="3226" spans="1:4" x14ac:dyDescent="0.2">
      <c r="A3226" s="5">
        <v>3165</v>
      </c>
      <c r="B3226" s="138">
        <f>'Acct Summary 7-8'!I8</f>
        <v>66807</v>
      </c>
      <c r="C3226" s="2" t="s">
        <v>594</v>
      </c>
      <c r="D3226" s="2" t="str">
        <f t="shared" si="49"/>
        <v>Error?</v>
      </c>
    </row>
    <row r="3227" spans="1:4" x14ac:dyDescent="0.2">
      <c r="A3227" s="5">
        <v>3166</v>
      </c>
      <c r="B3227" s="138">
        <f>'Acct Summary 7-8'!I20</f>
        <v>66807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1094938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-51727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139800</v>
      </c>
      <c r="D3251" s="2" t="str">
        <f t="shared" si="49"/>
        <v>Error?</v>
      </c>
    </row>
    <row r="3252" spans="1:4" x14ac:dyDescent="0.2">
      <c r="A3252" s="5">
        <v>3191</v>
      </c>
      <c r="B3252" s="138">
        <f>'Acct Summary 7-8'!F44</f>
        <v>139800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139800</v>
      </c>
      <c r="C3255" s="2" t="s">
        <v>594</v>
      </c>
      <c r="D3255" s="2" t="str">
        <f t="shared" si="49"/>
        <v>Error?</v>
      </c>
    </row>
    <row r="3256" spans="1:4" x14ac:dyDescent="0.2">
      <c r="A3256" s="5">
        <v>3195</v>
      </c>
      <c r="B3256" s="138">
        <f>'Acct Summary 7-8'!F78</f>
        <v>67925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4979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601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66807</v>
      </c>
      <c r="C3320" s="2" t="s">
        <v>594</v>
      </c>
      <c r="D3320" s="2" t="str">
        <f t="shared" si="50"/>
        <v>Error?</v>
      </c>
    </row>
    <row r="3321" spans="1:4" x14ac:dyDescent="0.2">
      <c r="A3321" s="5">
        <v>3260</v>
      </c>
      <c r="B3321" s="138">
        <f>'Acct Summary 7-8'!I79</f>
        <v>2137323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2204130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1076455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210045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660002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3983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1950485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71926</v>
      </c>
      <c r="D3387" s="2" t="str">
        <f t="shared" si="51"/>
        <v>Error?</v>
      </c>
    </row>
    <row r="3388" spans="1:4" x14ac:dyDescent="0.2">
      <c r="A3388" s="5">
        <v>3327</v>
      </c>
      <c r="B3388" s="138">
        <f>'Expenditures 15-22'!D217</f>
        <v>70221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71926</v>
      </c>
      <c r="C3390" s="2" t="s">
        <v>594</v>
      </c>
      <c r="D3390" s="2" t="str">
        <f t="shared" si="51"/>
        <v>Error?</v>
      </c>
    </row>
    <row r="3391" spans="1:4" x14ac:dyDescent="0.2">
      <c r="A3391" s="5">
        <v>3330</v>
      </c>
      <c r="B3391" s="138">
        <f>'Expenditures 15-22'!K217</f>
        <v>70221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46742</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5620930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179883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12968</v>
      </c>
      <c r="D3417" s="2" t="str">
        <f t="shared" si="52"/>
        <v>Error?</v>
      </c>
    </row>
    <row r="3418" spans="1:4" x14ac:dyDescent="0.2">
      <c r="A3418" s="10">
        <v>3357</v>
      </c>
      <c r="D3418" s="2" t="str">
        <f t="shared" si="52"/>
        <v>OK</v>
      </c>
    </row>
    <row r="3419" spans="1:4" x14ac:dyDescent="0.2">
      <c r="A3419" s="5">
        <v>3358</v>
      </c>
      <c r="B3419" s="138">
        <f>'Assets-Liab 5-6'!F4</f>
        <v>79424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636742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2204130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138749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206869</v>
      </c>
      <c r="C3446" s="2" t="s">
        <v>594</v>
      </c>
      <c r="D3446" s="2" t="str">
        <f t="shared" si="52"/>
        <v>Error?</v>
      </c>
    </row>
    <row r="3447" spans="1:4" x14ac:dyDescent="0.2">
      <c r="A3447" s="5">
        <v>3386</v>
      </c>
      <c r="B3447" s="138">
        <f>'Tax Sched 23'!D16</f>
        <v>206869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208003</v>
      </c>
      <c r="C3449" s="2" t="s">
        <v>594</v>
      </c>
      <c r="D3449" s="2" t="str">
        <f t="shared" si="52"/>
        <v>Error?</v>
      </c>
    </row>
    <row r="3450" spans="1:4" x14ac:dyDescent="0.2">
      <c r="A3450" s="5">
        <v>3389</v>
      </c>
      <c r="B3450" s="138">
        <f>'Tax Sched 23'!E16</f>
        <v>208003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202755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202755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202755</v>
      </c>
      <c r="D3567" s="2" t="str">
        <f t="shared" si="54"/>
        <v>Error?</v>
      </c>
    </row>
    <row r="3568" spans="1:4" x14ac:dyDescent="0.2">
      <c r="A3568" s="5">
        <v>3507</v>
      </c>
      <c r="B3568" s="138">
        <f>'Assets-Liab 5-6'!K41</f>
        <v>202755</v>
      </c>
      <c r="C3568" s="2" t="s">
        <v>594</v>
      </c>
      <c r="D3568" s="2" t="str">
        <f t="shared" si="54"/>
        <v>Error?</v>
      </c>
    </row>
    <row r="3569" spans="1:4" x14ac:dyDescent="0.2">
      <c r="A3569" s="5">
        <v>3508</v>
      </c>
      <c r="B3569" s="138">
        <f>'Acct Summary 7-8'!K4</f>
        <v>39243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39243</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39243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39243</v>
      </c>
      <c r="C3588" s="2" t="s">
        <v>594</v>
      </c>
      <c r="D3588" s="2" t="str">
        <f t="shared" si="55"/>
        <v>Error?</v>
      </c>
    </row>
    <row r="3589" spans="1:4" x14ac:dyDescent="0.2">
      <c r="A3589" s="5">
        <v>3528</v>
      </c>
      <c r="B3589" s="138">
        <f>'Acct Summary 7-8'!K79</f>
        <v>163512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202755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39243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36605</v>
      </c>
      <c r="C3725" s="2" t="s">
        <v>594</v>
      </c>
      <c r="D3725" s="2" t="str">
        <f t="shared" si="57"/>
        <v>Error?</v>
      </c>
    </row>
    <row r="3726" spans="1:4" x14ac:dyDescent="0.2">
      <c r="A3726" s="5">
        <v>3665</v>
      </c>
      <c r="B3726" s="138">
        <f>'Tax Sched 23'!D13</f>
        <v>36605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37922</v>
      </c>
      <c r="C3728" s="2" t="s">
        <v>594</v>
      </c>
      <c r="D3728" s="2" t="str">
        <f t="shared" si="57"/>
        <v>Error?</v>
      </c>
    </row>
    <row r="3729" spans="1:4" x14ac:dyDescent="0.2">
      <c r="A3729" s="5">
        <v>3668</v>
      </c>
      <c r="B3729" s="138">
        <f>'Tax Sched 23'!E13</f>
        <v>37922</v>
      </c>
      <c r="D3729" s="2" t="str">
        <f t="shared" si="57"/>
        <v>Error?</v>
      </c>
    </row>
    <row r="3730" spans="1:4" x14ac:dyDescent="0.2">
      <c r="A3730" s="5">
        <v>3669</v>
      </c>
      <c r="B3730" s="138">
        <f>'ICR Computation 30'!E10</f>
        <v>273908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5013472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17309315</v>
      </c>
      <c r="C4122" s="2" t="s">
        <v>594</v>
      </c>
      <c r="D4122" s="2" t="str">
        <f t="shared" si="63"/>
        <v>Error?</v>
      </c>
    </row>
    <row r="4123" spans="1:4" x14ac:dyDescent="0.2">
      <c r="A4123" s="5">
        <v>4062</v>
      </c>
      <c r="B4123" s="138">
        <f>'Acct Summary 7-8'!D10</f>
        <v>672284</v>
      </c>
      <c r="C4123" s="2" t="s">
        <v>594</v>
      </c>
      <c r="D4123" s="2" t="str">
        <f t="shared" si="63"/>
        <v>Error?</v>
      </c>
    </row>
    <row r="4124" spans="1:4" x14ac:dyDescent="0.2">
      <c r="A4124" s="5">
        <v>4063</v>
      </c>
      <c r="B4124" s="138">
        <f>'Acct Summary 7-8'!E10</f>
        <v>311189</v>
      </c>
      <c r="C4124" s="2" t="s">
        <v>594</v>
      </c>
      <c r="D4124" s="2" t="str">
        <f t="shared" si="63"/>
        <v>Error?</v>
      </c>
    </row>
    <row r="4125" spans="1:4" x14ac:dyDescent="0.2">
      <c r="A4125" s="5">
        <v>4064</v>
      </c>
      <c r="B4125" s="138">
        <f>'Acct Summary 7-8'!F10</f>
        <v>518644</v>
      </c>
      <c r="C4125" s="2" t="s">
        <v>594</v>
      </c>
      <c r="D4125" s="2" t="str">
        <f t="shared" si="63"/>
        <v>Error?</v>
      </c>
    </row>
    <row r="4126" spans="1:4" x14ac:dyDescent="0.2">
      <c r="A4126" s="5">
        <v>4065</v>
      </c>
      <c r="B4126" s="138">
        <f>'Acct Summary 7-8'!G10</f>
        <v>425046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66807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39243</v>
      </c>
      <c r="C4130" s="2" t="s">
        <v>594</v>
      </c>
      <c r="D4130" s="2" t="str">
        <f t="shared" si="63"/>
        <v>Error?</v>
      </c>
    </row>
    <row r="4131" spans="1:4" x14ac:dyDescent="0.2">
      <c r="A4131" s="5">
        <v>4070</v>
      </c>
      <c r="B4131" s="138">
        <f>'Acct Summary 7-8'!C18</f>
        <v>5013472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16214377</v>
      </c>
      <c r="C4136" s="2" t="s">
        <v>594</v>
      </c>
      <c r="D4136" s="2" t="str">
        <f t="shared" si="63"/>
        <v>Error?</v>
      </c>
    </row>
    <row r="4137" spans="1:4" x14ac:dyDescent="0.2">
      <c r="A4137" s="5">
        <v>4076</v>
      </c>
      <c r="B4137" s="138">
        <f>'Acct Summary 7-8'!D19</f>
        <v>724011</v>
      </c>
      <c r="C4137" s="2" t="s">
        <v>594</v>
      </c>
      <c r="D4137" s="2" t="str">
        <f t="shared" si="63"/>
        <v>Error?</v>
      </c>
    </row>
    <row r="4138" spans="1:4" x14ac:dyDescent="0.2">
      <c r="A4138" s="5">
        <v>4077</v>
      </c>
      <c r="B4138" s="138">
        <f>'Acct Summary 7-8'!E19</f>
        <v>310588</v>
      </c>
      <c r="C4138" s="2" t="s">
        <v>594</v>
      </c>
      <c r="D4138" s="2" t="str">
        <f t="shared" si="63"/>
        <v>Error?</v>
      </c>
    </row>
    <row r="4139" spans="1:4" x14ac:dyDescent="0.2">
      <c r="A4139" s="5">
        <v>4078</v>
      </c>
      <c r="B4139" s="138">
        <f>'Acct Summary 7-8'!F19</f>
        <v>590519</v>
      </c>
      <c r="C4139" s="2" t="s">
        <v>594</v>
      </c>
      <c r="D4139" s="2" t="str">
        <f t="shared" si="63"/>
        <v>Error?</v>
      </c>
    </row>
    <row r="4140" spans="1:4" x14ac:dyDescent="0.2">
      <c r="A4140" s="5">
        <v>4079</v>
      </c>
      <c r="B4140" s="138">
        <f>'Acct Summary 7-8'!G19</f>
        <v>420067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414413</v>
      </c>
      <c r="C4171" s="2" t="s">
        <v>594</v>
      </c>
      <c r="D4171" s="2" t="str">
        <f t="shared" si="64"/>
        <v>Error?</v>
      </c>
    </row>
    <row r="4172" spans="1:4" x14ac:dyDescent="0.2">
      <c r="A4172" s="5">
        <v>4111</v>
      </c>
      <c r="B4172" s="138">
        <f>'Short-Term Long-Term Debt 24'!J49</f>
        <v>401445</v>
      </c>
      <c r="C4172" s="2" t="s">
        <v>594</v>
      </c>
      <c r="D4172" s="2" t="str">
        <f t="shared" si="64"/>
        <v>Error?</v>
      </c>
    </row>
    <row r="4173" spans="1:4" x14ac:dyDescent="0.2">
      <c r="A4173" s="5">
        <v>4112</v>
      </c>
      <c r="B4173" s="138">
        <f>'Short-Term Long-Term Debt 24'!H49</f>
        <v>330387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30387</v>
      </c>
      <c r="D4210" s="2" t="str">
        <f t="shared" si="64"/>
        <v>Error?</v>
      </c>
    </row>
    <row r="4211" spans="1:4" x14ac:dyDescent="0.2">
      <c r="A4211" s="5">
        <v>4150</v>
      </c>
      <c r="B4211" s="138">
        <f>'Expenditures 15-22'!K206</f>
        <v>30387</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2960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3660</v>
      </c>
      <c r="C4268" s="2" t="s">
        <v>594</v>
      </c>
      <c r="D4268" s="2" t="str">
        <f t="shared" si="65"/>
        <v>Error?</v>
      </c>
    </row>
    <row r="4269" spans="1:5" x14ac:dyDescent="0.2">
      <c r="A4269" s="12">
        <v>4208</v>
      </c>
      <c r="B4269" s="138">
        <f>'FP Info 3'!J16</f>
        <v>8389367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16689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63776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15234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75844340</v>
      </c>
      <c r="D4995" s="2" t="str">
        <f t="shared" si="77"/>
        <v>Error?</v>
      </c>
    </row>
    <row r="4996" spans="1:4" x14ac:dyDescent="0.2">
      <c r="A4996" s="12">
        <v>4935</v>
      </c>
      <c r="B4996" s="138">
        <f>'FP Info 3'!H31</f>
        <v>10466518.920000002</v>
      </c>
      <c r="D4996" s="2" t="str">
        <f t="shared" si="77"/>
        <v>Error?</v>
      </c>
    </row>
    <row r="4997" spans="1:4" x14ac:dyDescent="0.2">
      <c r="A4997" s="12">
        <v>4936</v>
      </c>
      <c r="B4997" s="138">
        <f>'FP Info 3'!H37</f>
        <v>414413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36605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2159628</v>
      </c>
      <c r="D5061" s="2" t="str">
        <f t="shared" si="78"/>
        <v>Error?</v>
      </c>
    </row>
    <row r="5062" spans="1:4" x14ac:dyDescent="0.2">
      <c r="A5062" s="10">
        <v>5001</v>
      </c>
      <c r="D5062" s="2" t="str">
        <f t="shared" si="78"/>
        <v>OK</v>
      </c>
    </row>
    <row r="5063" spans="1:4" x14ac:dyDescent="0.2">
      <c r="A5063" s="5">
        <v>5002</v>
      </c>
      <c r="B5063" s="138">
        <f>'Revenues 9-14'!C7</f>
        <v>29285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2225518</v>
      </c>
      <c r="C5066" s="2" t="s">
        <v>594</v>
      </c>
      <c r="D5066" s="2" t="str">
        <f t="shared" si="78"/>
        <v>Error?</v>
      </c>
    </row>
    <row r="5067" spans="1:4" x14ac:dyDescent="0.2">
      <c r="A5067" s="5">
        <v>5006</v>
      </c>
      <c r="B5067" s="138">
        <f>'Revenues 9-14'!C14</f>
        <v>170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339671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339841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184009</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184009</v>
      </c>
      <c r="C5087" s="2" t="s">
        <v>594</v>
      </c>
      <c r="D5087" s="2" t="str">
        <f t="shared" si="78"/>
        <v>Error?</v>
      </c>
    </row>
    <row r="5088" spans="1:4" x14ac:dyDescent="0.2">
      <c r="A5088" s="5">
        <v>5027</v>
      </c>
      <c r="B5088" s="138">
        <f>'Revenues 9-14'!C65</f>
        <v>81389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81389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19780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3106</v>
      </c>
      <c r="D5094" s="2" t="str">
        <f t="shared" si="78"/>
        <v>Error?</v>
      </c>
    </row>
    <row r="5095" spans="1:4" x14ac:dyDescent="0.2">
      <c r="A5095" s="5">
        <v>5034</v>
      </c>
      <c r="B5095" s="138">
        <f>'Revenues 9-14'!C74</f>
        <v>3855</v>
      </c>
      <c r="D5095" s="2" t="str">
        <f t="shared" si="78"/>
        <v>Error?</v>
      </c>
    </row>
    <row r="5096" spans="1:4" x14ac:dyDescent="0.2">
      <c r="A5096" s="5">
        <v>5035</v>
      </c>
      <c r="B5096" s="138">
        <f>'Revenues 9-14'!C75</f>
        <v>26741</v>
      </c>
      <c r="C5096" s="2" t="s">
        <v>594</v>
      </c>
      <c r="D5096" s="2" t="str">
        <f t="shared" si="78"/>
        <v>Error?</v>
      </c>
    </row>
    <row r="5097" spans="1:4" x14ac:dyDescent="0.2">
      <c r="A5097" s="5">
        <v>5036</v>
      </c>
      <c r="B5097" s="138">
        <f>'Revenues 9-14'!C77</f>
        <v>14548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9030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1064</v>
      </c>
      <c r="D5101" s="2" t="str">
        <f t="shared" si="78"/>
        <v>Error?</v>
      </c>
    </row>
    <row r="5102" spans="1:4" x14ac:dyDescent="0.2">
      <c r="A5102" s="5">
        <v>5041</v>
      </c>
      <c r="B5102" s="138">
        <f>'Revenues 9-14'!C82</f>
        <v>24642</v>
      </c>
      <c r="C5102" s="2" t="s">
        <v>594</v>
      </c>
      <c r="D5102" s="2" t="str">
        <f t="shared" si="78"/>
        <v>Error?</v>
      </c>
    </row>
    <row r="5103" spans="1:4" x14ac:dyDescent="0.2">
      <c r="A5103" s="5">
        <v>5042</v>
      </c>
      <c r="B5103" s="138">
        <f>'Revenues 9-14'!C84</f>
        <v>25581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25581</v>
      </c>
      <c r="C5112" s="2" t="s">
        <v>594</v>
      </c>
      <c r="D5112" s="2" t="str">
        <f t="shared" si="78"/>
        <v>Error?</v>
      </c>
    </row>
    <row r="5113" spans="1:4" x14ac:dyDescent="0.2">
      <c r="A5113" s="5">
        <v>5052</v>
      </c>
      <c r="B5113" s="138">
        <f>'Revenues 9-14'!C95</f>
        <v>4012</v>
      </c>
      <c r="D5113" s="2" t="str">
        <f t="shared" si="78"/>
        <v>Error?</v>
      </c>
    </row>
    <row r="5114" spans="1:4" x14ac:dyDescent="0.2">
      <c r="A5114" s="5">
        <v>5053</v>
      </c>
      <c r="B5114" s="138">
        <f>'Revenues 9-14'!C96</f>
        <v>164501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86034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176786</v>
      </c>
      <c r="D5119" s="2" t="str">
        <f t="shared" ref="D5119:D5182" si="79">IF(ISBLANK(B5119),"OK",IF(A5119-B5119=0,"OK","Error?"))</f>
        <v>Error?</v>
      </c>
    </row>
    <row r="5120" spans="1:4" x14ac:dyDescent="0.2">
      <c r="A5120" s="5">
        <v>5059</v>
      </c>
      <c r="B5120" s="138">
        <f>'Revenues 9-14'!C108</f>
        <v>435083</v>
      </c>
      <c r="C5120" s="2" t="s">
        <v>594</v>
      </c>
      <c r="D5120" s="2" t="str">
        <f t="shared" si="79"/>
        <v>Error?</v>
      </c>
    </row>
    <row r="5121" spans="1:4" x14ac:dyDescent="0.2">
      <c r="A5121" s="5">
        <v>5060</v>
      </c>
      <c r="B5121" s="138">
        <f>'Revenues 9-14'!C109</f>
        <v>3342804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46742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46742</v>
      </c>
      <c r="C5125" s="2" t="s">
        <v>594</v>
      </c>
      <c r="D5125" s="2" t="str">
        <f t="shared" si="79"/>
        <v>Error?</v>
      </c>
    </row>
    <row r="5126" spans="1:4" x14ac:dyDescent="0.2">
      <c r="A5126" s="5">
        <v>5065</v>
      </c>
      <c r="B5126" s="138">
        <f>'Revenues 9-14'!C117</f>
        <v>6879643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6879643</v>
      </c>
      <c r="C5132" s="2" t="s">
        <v>594</v>
      </c>
      <c r="D5132" s="2" t="str">
        <f t="shared" si="79"/>
        <v>Error?</v>
      </c>
    </row>
    <row r="5133" spans="1:4" x14ac:dyDescent="0.2">
      <c r="A5133" s="5">
        <v>5072</v>
      </c>
      <c r="B5133" s="138">
        <f>'Revenues 9-14'!C124</f>
        <v>516470</v>
      </c>
      <c r="D5133" s="2" t="str">
        <f t="shared" si="79"/>
        <v>Error?</v>
      </c>
    </row>
    <row r="5134" spans="1:4" x14ac:dyDescent="0.2">
      <c r="A5134" s="5">
        <v>5073</v>
      </c>
      <c r="B5134" s="138">
        <f>'Revenues 9-14'!C125</f>
        <v>88289</v>
      </c>
      <c r="D5134" s="2" t="str">
        <f t="shared" si="79"/>
        <v>Error?</v>
      </c>
    </row>
    <row r="5135" spans="1:4" x14ac:dyDescent="0.2">
      <c r="A5135" s="5">
        <v>5074</v>
      </c>
      <c r="B5135" s="138">
        <f>'Revenues 9-14'!C126</f>
        <v>129115</v>
      </c>
      <c r="D5135" s="2" t="str">
        <f t="shared" si="79"/>
        <v>Error?</v>
      </c>
    </row>
    <row r="5136" spans="1:4" x14ac:dyDescent="0.2">
      <c r="A5136" s="10">
        <v>5075</v>
      </c>
      <c r="D5136" s="2" t="str">
        <f t="shared" si="79"/>
        <v>OK</v>
      </c>
    </row>
    <row r="5137" spans="1:4" x14ac:dyDescent="0.2">
      <c r="A5137" s="5">
        <v>5076</v>
      </c>
      <c r="B5137" s="138">
        <f>'Revenues 9-14'!C127</f>
        <v>54602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788476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3743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9287</v>
      </c>
      <c r="D5167" s="2" t="str">
        <f t="shared" si="79"/>
        <v>Error?</v>
      </c>
    </row>
    <row r="5168" spans="1:4" x14ac:dyDescent="0.2">
      <c r="A5168" s="5">
        <v>5107</v>
      </c>
      <c r="B5168" s="138">
        <f>'Revenues 9-14'!C147</f>
        <v>18754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84358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904618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7784261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465459</v>
      </c>
      <c r="D5239" s="2" t="str">
        <f t="shared" si="80"/>
        <v>Error?</v>
      </c>
    </row>
    <row r="5240" spans="1:4" x14ac:dyDescent="0.2">
      <c r="A5240" s="5">
        <v>5179</v>
      </c>
      <c r="B5240" s="138">
        <f>'Revenues 9-14'!C195</f>
        <v>1436</v>
      </c>
      <c r="D5240" s="2" t="str">
        <f t="shared" si="80"/>
        <v>Error?</v>
      </c>
    </row>
    <row r="5241" spans="1:4" x14ac:dyDescent="0.2">
      <c r="A5241" s="5">
        <v>5180</v>
      </c>
      <c r="B5241" s="138">
        <f>'Revenues 9-14'!C196</f>
        <v>108237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575132</v>
      </c>
      <c r="C5246" s="2" t="s">
        <v>594</v>
      </c>
      <c r="D5246" s="2" t="str">
        <f t="shared" si="80"/>
        <v>Error?</v>
      </c>
    </row>
    <row r="5247" spans="1:4" x14ac:dyDescent="0.2">
      <c r="A5247" s="5">
        <v>5186</v>
      </c>
      <c r="B5247" s="138">
        <f>'Revenues 9-14'!C203</f>
        <v>451205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451205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1122036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1122036</v>
      </c>
      <c r="C5326" s="2" t="s">
        <v>594</v>
      </c>
      <c r="D5326" s="2" t="str">
        <f t="shared" si="82"/>
        <v>Error?</v>
      </c>
    </row>
    <row r="5327" spans="1:4" x14ac:dyDescent="0.2">
      <c r="A5327" s="5">
        <v>5266</v>
      </c>
      <c r="B5327" s="138">
        <f>'Revenues 9-14'!C275</f>
        <v>12295843</v>
      </c>
      <c r="C5327" s="2" t="s">
        <v>594</v>
      </c>
      <c r="D5327" s="2" t="str">
        <f t="shared" si="82"/>
        <v>Error?</v>
      </c>
    </row>
    <row r="5328" spans="1:4" x14ac:dyDescent="0.2">
      <c r="A5328" s="5">
        <v>5267</v>
      </c>
      <c r="B5328" s="138">
        <f>'Revenues 9-14'!D5</f>
        <v>364754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364754</v>
      </c>
      <c r="C5334" s="2" t="s">
        <v>594</v>
      </c>
      <c r="D5334" s="2" t="str">
        <f t="shared" si="82"/>
        <v>Error?</v>
      </c>
    </row>
    <row r="5335" spans="1:4" x14ac:dyDescent="0.2">
      <c r="A5335" s="5">
        <v>5274</v>
      </c>
      <c r="B5335" s="138">
        <f>'Revenues 9-14'!D14</f>
        <v>28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191178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191206</v>
      </c>
      <c r="C5339" s="2" t="s">
        <v>594</v>
      </c>
      <c r="D5339" s="2" t="str">
        <f t="shared" si="82"/>
        <v>Error?</v>
      </c>
    </row>
    <row r="5340" spans="1:4" x14ac:dyDescent="0.2">
      <c r="A5340" s="5">
        <v>5279</v>
      </c>
      <c r="B5340" s="138">
        <f>'Revenues 9-14'!D65</f>
        <v>2854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2854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60000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3470</v>
      </c>
      <c r="D5354" s="2" t="str">
        <f t="shared" si="82"/>
        <v>Error?</v>
      </c>
    </row>
    <row r="5355" spans="1:4" x14ac:dyDescent="0.2">
      <c r="A5355" s="5">
        <v>5294</v>
      </c>
      <c r="B5355" s="138">
        <f>'Revenues 9-14'!D108</f>
        <v>113470</v>
      </c>
      <c r="C5355" s="2" t="s">
        <v>594</v>
      </c>
      <c r="D5355" s="2" t="str">
        <f t="shared" si="82"/>
        <v>Error?</v>
      </c>
    </row>
    <row r="5356" spans="1:4" x14ac:dyDescent="0.2">
      <c r="A5356" s="5">
        <v>5295</v>
      </c>
      <c r="B5356" s="138">
        <f>'Revenues 9-14'!D109</f>
        <v>672284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672284</v>
      </c>
      <c r="C5508" s="2" t="s">
        <v>594</v>
      </c>
      <c r="D5508" s="2" t="str">
        <f t="shared" si="85"/>
        <v>Error?</v>
      </c>
    </row>
    <row r="5509" spans="1:4" x14ac:dyDescent="0.2">
      <c r="A5509" s="5">
        <v>5448</v>
      </c>
      <c r="B5509" s="138">
        <f>'Revenues 9-14'!E5</f>
        <v>306891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306891</v>
      </c>
      <c r="C5513" s="2" t="s">
        <v>594</v>
      </c>
      <c r="D5513" s="2" t="str">
        <f t="shared" si="85"/>
        <v>Error?</v>
      </c>
    </row>
    <row r="5514" spans="1:4" x14ac:dyDescent="0.2">
      <c r="A5514" s="5">
        <v>5453</v>
      </c>
      <c r="B5514" s="138">
        <f>'Revenues 9-14'!E14</f>
        <v>23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23</v>
      </c>
      <c r="C5518" s="2" t="s">
        <v>594</v>
      </c>
      <c r="D5518" s="2" t="str">
        <f t="shared" si="85"/>
        <v>Error?</v>
      </c>
    </row>
    <row r="5519" spans="1:4" x14ac:dyDescent="0.2">
      <c r="A5519" s="5">
        <v>5458</v>
      </c>
      <c r="B5519" s="138">
        <f>'Revenues 9-14'!E65</f>
        <v>4275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4275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311189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311189</v>
      </c>
      <c r="C5552" s="2" t="s">
        <v>594</v>
      </c>
      <c r="D5552" s="2" t="str">
        <f t="shared" si="85"/>
        <v>Error?</v>
      </c>
    </row>
    <row r="5553" spans="1:4" x14ac:dyDescent="0.2">
      <c r="A5553" s="5">
        <v>5492</v>
      </c>
      <c r="B5553" s="138">
        <f>'Revenues 9-14'!F5</f>
        <v>145902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145902</v>
      </c>
      <c r="C5557" s="2" t="s">
        <v>594</v>
      </c>
      <c r="D5557" s="2" t="str">
        <f t="shared" si="85"/>
        <v>Error?</v>
      </c>
    </row>
    <row r="5558" spans="1:4" x14ac:dyDescent="0.2">
      <c r="A5558" s="5">
        <v>5497</v>
      </c>
      <c r="B5558" s="138">
        <f>'Revenues 9-14'!F14</f>
        <v>11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15000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15011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273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10500</v>
      </c>
      <c r="D5586" s="2" t="str">
        <f t="shared" si="86"/>
        <v>Error?</v>
      </c>
    </row>
    <row r="5587" spans="1:4" x14ac:dyDescent="0.2">
      <c r="A5587" s="5">
        <v>5526</v>
      </c>
      <c r="B5587" s="138">
        <f>'Revenues 9-14'!F108</f>
        <v>10500</v>
      </c>
      <c r="C5587" s="2" t="s">
        <v>594</v>
      </c>
      <c r="D5587" s="2" t="str">
        <f t="shared" si="86"/>
        <v>Error?</v>
      </c>
    </row>
    <row r="5588" spans="1:4" x14ac:dyDescent="0.2">
      <c r="A5588" s="5">
        <v>5527</v>
      </c>
      <c r="B5588" s="138">
        <f>'Revenues 9-14'!F109</f>
        <v>171686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257292</v>
      </c>
      <c r="D5615" s="2" t="str">
        <f t="shared" si="86"/>
        <v>Error?</v>
      </c>
    </row>
    <row r="5616" spans="1:4" x14ac:dyDescent="0.2">
      <c r="A5616" s="10">
        <v>5555</v>
      </c>
      <c r="D5616" s="2" t="str">
        <f t="shared" si="86"/>
        <v>OK</v>
      </c>
    </row>
    <row r="5617" spans="1:4" x14ac:dyDescent="0.2">
      <c r="A5617" s="5">
        <v>5556</v>
      </c>
      <c r="B5617" s="138">
        <f>'Revenues 9-14'!F152</f>
        <v>89666</v>
      </c>
      <c r="D5617" s="2" t="str">
        <f t="shared" si="86"/>
        <v>Error?</v>
      </c>
    </row>
    <row r="5618" spans="1:4" x14ac:dyDescent="0.2">
      <c r="A5618" s="5">
        <v>5557</v>
      </c>
      <c r="B5618" s="138">
        <f>'Revenues 9-14'!F154</f>
        <v>346958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346958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346958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518644</v>
      </c>
      <c r="C5720" s="2" t="s">
        <v>594</v>
      </c>
      <c r="D5720" s="2" t="str">
        <f t="shared" si="88"/>
        <v>Error?</v>
      </c>
    </row>
    <row r="5721" spans="1:4" x14ac:dyDescent="0.2">
      <c r="A5721" s="5">
        <v>5660</v>
      </c>
      <c r="B5721" s="138">
        <f>'Revenues 9-14'!G5</f>
        <v>206869</v>
      </c>
      <c r="D5721" s="2" t="str">
        <f t="shared" si="88"/>
        <v>Error?</v>
      </c>
    </row>
    <row r="5722" spans="1:4" x14ac:dyDescent="0.2">
      <c r="A5722" s="5">
        <v>5661</v>
      </c>
      <c r="B5722" s="138">
        <f>'Revenues 9-14'!G7</f>
        <v>0</v>
      </c>
      <c r="D5722" s="2" t="str">
        <f t="shared" si="88"/>
        <v>Error?</v>
      </c>
    </row>
    <row r="5723" spans="1:4" x14ac:dyDescent="0.2">
      <c r="A5723" s="5">
        <v>5662</v>
      </c>
      <c r="B5723" s="138">
        <f>'Revenues 9-14'!G8</f>
        <v>206869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413738</v>
      </c>
      <c r="C5725" s="2" t="s">
        <v>594</v>
      </c>
      <c r="D5725" s="2" t="str">
        <f t="shared" si="88"/>
        <v>Error?</v>
      </c>
    </row>
    <row r="5726" spans="1:4" x14ac:dyDescent="0.2">
      <c r="A5726" s="5">
        <v>5665</v>
      </c>
      <c r="B5726" s="138">
        <f>'Revenues 9-14'!G14</f>
        <v>31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2531</v>
      </c>
      <c r="C5730" s="2" t="s">
        <v>594</v>
      </c>
      <c r="D5730" s="2" t="str">
        <f t="shared" si="88"/>
        <v>Error?</v>
      </c>
    </row>
    <row r="5731" spans="1:4" x14ac:dyDescent="0.2">
      <c r="A5731" s="5">
        <v>5670</v>
      </c>
      <c r="B5731" s="138">
        <f>'Revenues 9-14'!G65</f>
        <v>8777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8777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425046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36474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36474</v>
      </c>
      <c r="C5918" s="2" t="s">
        <v>594</v>
      </c>
      <c r="D5918" s="2" t="str">
        <f t="shared" si="91"/>
        <v>Error?</v>
      </c>
    </row>
    <row r="5919" spans="1:4" x14ac:dyDescent="0.2">
      <c r="A5919" s="5">
        <v>5858</v>
      </c>
      <c r="B5919" s="138">
        <f>'Revenues 9-14'!I14</f>
        <v>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v>
      </c>
      <c r="C5923" s="2" t="s">
        <v>594</v>
      </c>
      <c r="D5923" s="2" t="str">
        <f t="shared" si="91"/>
        <v>Error?</v>
      </c>
    </row>
    <row r="5924" spans="1:4" x14ac:dyDescent="0.2">
      <c r="A5924" s="5">
        <v>5863</v>
      </c>
      <c r="B5924" s="138">
        <f>'Revenues 9-14'!I65</f>
        <v>30330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30330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66807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36474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36474</v>
      </c>
      <c r="C5987" s="2" t="s">
        <v>594</v>
      </c>
      <c r="D5987" s="2" t="str">
        <f t="shared" si="92"/>
        <v>Error?</v>
      </c>
    </row>
    <row r="5988" spans="1:4" x14ac:dyDescent="0.2">
      <c r="A5988" s="5">
        <v>5927</v>
      </c>
      <c r="B5988" s="138">
        <f>'Revenues 9-14'!K14</f>
        <v>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v>
      </c>
      <c r="C5992" s="2" t="s">
        <v>594</v>
      </c>
      <c r="D5992" s="2" t="str">
        <f t="shared" si="92"/>
        <v>Error?</v>
      </c>
    </row>
    <row r="5993" spans="1:4" x14ac:dyDescent="0.2">
      <c r="A5993" s="5">
        <v>5932</v>
      </c>
      <c r="B5993" s="138">
        <f>'Revenues 9-14'!K65</f>
        <v>2766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2766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39243</v>
      </c>
      <c r="C6023" s="2" t="s">
        <v>594</v>
      </c>
      <c r="D6023" s="2" t="str">
        <f t="shared" si="93"/>
        <v>Error?</v>
      </c>
    </row>
    <row r="6024" spans="1:5" x14ac:dyDescent="0.2">
      <c r="A6024" s="5">
        <v>5963</v>
      </c>
      <c r="B6024" s="138">
        <f>'Revenues 9-14'!G109</f>
        <v>425046</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66807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39243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62796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1082.72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111092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111092</v>
      </c>
      <c r="D6215" s="2" t="str">
        <f t="shared" si="96"/>
        <v>Error?</v>
      </c>
      <c r="E6215" s="2" t="s">
        <v>199</v>
      </c>
    </row>
    <row r="6216" spans="1:5" x14ac:dyDescent="0.2">
      <c r="A6216">
        <v>6155</v>
      </c>
      <c r="B6216" s="138">
        <f>'Assets-Liab 5-6'!J41</f>
        <v>111092</v>
      </c>
      <c r="D6216" s="2" t="str">
        <f t="shared" si="96"/>
        <v>Error?</v>
      </c>
      <c r="E6216" s="2" t="s">
        <v>199</v>
      </c>
    </row>
    <row r="6217" spans="1:5" x14ac:dyDescent="0.2">
      <c r="A6217">
        <v>6156</v>
      </c>
      <c r="B6217" s="138">
        <f>'Assets-Liab 5-6'!J4</f>
        <v>111092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220381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220381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220381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233536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233536</v>
      </c>
      <c r="D6229" s="2" t="str">
        <f t="shared" si="96"/>
        <v>Error?</v>
      </c>
      <c r="E6229" s="2" t="s">
        <v>199</v>
      </c>
    </row>
    <row r="6230" spans="1:5" x14ac:dyDescent="0.2">
      <c r="A6230">
        <v>6169</v>
      </c>
      <c r="B6230" s="138">
        <f>'Acct Summary 7-8'!J20</f>
        <v>-13155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-13155</v>
      </c>
      <c r="D6263" s="2" t="str">
        <f t="shared" si="96"/>
        <v>Error?</v>
      </c>
      <c r="E6263" s="2" t="s">
        <v>199</v>
      </c>
    </row>
    <row r="6264" spans="1:5" x14ac:dyDescent="0.2">
      <c r="A6264">
        <v>6203</v>
      </c>
      <c r="B6264" s="138">
        <f>'Acct Summary 7-8'!J79</f>
        <v>124247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111092</v>
      </c>
      <c r="D6266" s="2" t="str">
        <f t="shared" si="96"/>
        <v>Error?</v>
      </c>
      <c r="E6266" s="2" t="s">
        <v>199</v>
      </c>
    </row>
    <row r="6267" spans="1:5" x14ac:dyDescent="0.2">
      <c r="A6267">
        <v>6206</v>
      </c>
      <c r="B6267" s="138">
        <f>'Acct Summary 7-8'!C82</f>
        <v>1094938</v>
      </c>
      <c r="D6267" s="2" t="str">
        <f t="shared" si="96"/>
        <v>Error?</v>
      </c>
      <c r="E6267" s="2" t="s">
        <v>199</v>
      </c>
    </row>
    <row r="6268" spans="1:5" x14ac:dyDescent="0.2">
      <c r="A6268">
        <v>6207</v>
      </c>
      <c r="B6268" s="138">
        <f>'Acct Summary 7-8'!D82</f>
        <v>-51727</v>
      </c>
      <c r="D6268" s="2" t="str">
        <f t="shared" si="96"/>
        <v>Error?</v>
      </c>
      <c r="E6268" s="2" t="s">
        <v>199</v>
      </c>
    </row>
    <row r="6269" spans="1:5" x14ac:dyDescent="0.2">
      <c r="A6269">
        <v>6208</v>
      </c>
      <c r="B6269" s="138">
        <f>'Acct Summary 7-8'!E82</f>
        <v>601</v>
      </c>
      <c r="D6269" s="2" t="str">
        <f t="shared" si="96"/>
        <v>Error?</v>
      </c>
      <c r="E6269" s="2" t="s">
        <v>199</v>
      </c>
    </row>
    <row r="6270" spans="1:5" x14ac:dyDescent="0.2">
      <c r="A6270">
        <v>6209</v>
      </c>
      <c r="B6270" s="138">
        <f>'Acct Summary 7-8'!F82</f>
        <v>67925</v>
      </c>
      <c r="D6270" s="2" t="str">
        <f t="shared" si="96"/>
        <v>Error?</v>
      </c>
      <c r="E6270" s="2" t="s">
        <v>199</v>
      </c>
    </row>
    <row r="6271" spans="1:5" x14ac:dyDescent="0.2">
      <c r="A6271">
        <v>6210</v>
      </c>
      <c r="B6271" s="138">
        <f>'Acct Summary 7-8'!G82</f>
        <v>4979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66807</v>
      </c>
      <c r="D6273" s="2" t="str">
        <f t="shared" si="97"/>
        <v>Error?</v>
      </c>
      <c r="E6273" s="2" t="s">
        <v>199</v>
      </c>
    </row>
    <row r="6274" spans="1:5" x14ac:dyDescent="0.2">
      <c r="A6274">
        <v>6213</v>
      </c>
      <c r="B6274" s="138">
        <f>'Acct Summary 7-8'!J82</f>
        <v>-13155</v>
      </c>
      <c r="D6274" s="2" t="str">
        <f t="shared" si="97"/>
        <v>Error?</v>
      </c>
      <c r="E6274" s="2" t="s">
        <v>199</v>
      </c>
    </row>
    <row r="6275" spans="1:5" x14ac:dyDescent="0.2">
      <c r="A6275">
        <v>6214</v>
      </c>
      <c r="B6275" s="138">
        <f>'Acct Summary 7-8'!K82</f>
        <v>39243</v>
      </c>
      <c r="D6275" s="2" t="str">
        <f t="shared" si="97"/>
        <v>Error?</v>
      </c>
      <c r="E6275" s="2" t="s">
        <v>199</v>
      </c>
    </row>
    <row r="6276" spans="1:5" x14ac:dyDescent="0.2">
      <c r="A6276">
        <v>6215</v>
      </c>
      <c r="B6276" s="138">
        <f>'Acct Summary 7-8'!C83</f>
        <v>0.18477066047017093</v>
      </c>
      <c r="D6276" s="2" t="str">
        <f t="shared" si="97"/>
        <v>Error?</v>
      </c>
      <c r="E6276" s="2" t="s">
        <v>199</v>
      </c>
    </row>
    <row r="6277" spans="1:5" x14ac:dyDescent="0.2">
      <c r="A6277">
        <v>6216</v>
      </c>
      <c r="B6277" s="138">
        <f>'Acct Summary 7-8'!D83</f>
        <v>-0.28755913566040148</v>
      </c>
      <c r="D6277" s="2" t="str">
        <f t="shared" si="97"/>
        <v>Error?</v>
      </c>
      <c r="E6277" s="2" t="s">
        <v>199</v>
      </c>
    </row>
    <row r="6278" spans="1:5" x14ac:dyDescent="0.2">
      <c r="A6278">
        <v>6217</v>
      </c>
      <c r="B6278" s="138">
        <f>'Acct Summary 7-8'!E83</f>
        <v>4.6344848858729179E-2</v>
      </c>
      <c r="D6278" s="2" t="str">
        <f t="shared" si="97"/>
        <v>Error?</v>
      </c>
      <c r="E6278" s="2" t="s">
        <v>199</v>
      </c>
    </row>
    <row r="6279" spans="1:5" x14ac:dyDescent="0.2">
      <c r="A6279">
        <v>6218</v>
      </c>
      <c r="B6279" s="138">
        <f>'Acct Summary 7-8'!F83</f>
        <v>0.85522008460918619</v>
      </c>
      <c r="D6279" s="2" t="str">
        <f t="shared" si="97"/>
        <v>Error?</v>
      </c>
      <c r="E6279" s="2" t="s">
        <v>199</v>
      </c>
    </row>
    <row r="6280" spans="1:5" x14ac:dyDescent="0.2">
      <c r="A6280">
        <v>6219</v>
      </c>
      <c r="B6280" s="138">
        <f>'Acct Summary 7-8'!G83</f>
        <v>7.8194936096566588E-3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3.0309918199017301E-2</v>
      </c>
      <c r="D6282" s="2" t="str">
        <f t="shared" si="97"/>
        <v>Error?</v>
      </c>
      <c r="E6282" s="2" t="s">
        <v>199</v>
      </c>
    </row>
    <row r="6283" spans="1:5" x14ac:dyDescent="0.2">
      <c r="A6283">
        <v>6222</v>
      </c>
      <c r="B6283" s="138">
        <f>'Acct Summary 7-8'!J83</f>
        <v>-0.11841536744320023</v>
      </c>
      <c r="D6283" s="2" t="str">
        <f t="shared" si="97"/>
        <v>Error?</v>
      </c>
      <c r="E6283" s="2" t="s">
        <v>199</v>
      </c>
    </row>
    <row r="6284" spans="1:5" x14ac:dyDescent="0.2">
      <c r="A6284">
        <v>6223</v>
      </c>
      <c r="B6284" s="138">
        <f>'Acct Summary 7-8'!K83</f>
        <v>0.1935488643929866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218845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218845</v>
      </c>
      <c r="D6301" s="2" t="str">
        <f t="shared" si="97"/>
        <v>Error?</v>
      </c>
      <c r="E6301" s="2" t="s">
        <v>199</v>
      </c>
    </row>
    <row r="6302" spans="1:5" x14ac:dyDescent="0.2">
      <c r="A6302">
        <v>6241</v>
      </c>
      <c r="B6302" s="138">
        <f>'Revenues 9-14'!J14</f>
        <v>17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1519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1519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50000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3750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220381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3743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233536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220381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47961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47961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21703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21703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113835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113835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20146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20146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29891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29891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233536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233536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233536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233536</v>
      </c>
      <c r="D7224" s="2" t="str">
        <f t="shared" si="111"/>
        <v>Error?</v>
      </c>
    </row>
    <row r="7225" spans="1:4" x14ac:dyDescent="0.2">
      <c r="A7225">
        <v>7164</v>
      </c>
      <c r="B7225" s="138">
        <f>'Expenditures 15-22'!K343</f>
        <v>-13155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478113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3750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18754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22504</v>
      </c>
      <c r="D7719" s="2" t="str">
        <f t="shared" si="126"/>
        <v>Error?</v>
      </c>
      <c r="E7719" s="2" t="s">
        <v>881</v>
      </c>
    </row>
    <row r="7720" spans="1:6" x14ac:dyDescent="0.2">
      <c r="A7720">
        <v>7659</v>
      </c>
      <c r="B7720" s="138">
        <f>'Rest Tax Levies-Tort Im 25'!H14</f>
        <v>29285</v>
      </c>
      <c r="D7720" s="2" t="str">
        <f t="shared" si="126"/>
        <v>Error?</v>
      </c>
      <c r="E7720" s="2" t="s">
        <v>881</v>
      </c>
    </row>
    <row r="7721" spans="1:6" x14ac:dyDescent="0.2">
      <c r="A7721">
        <v>7660</v>
      </c>
      <c r="B7721" s="138">
        <f>'Rest Tax Levies-Tort Im 25'!K14</f>
        <v>22504</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0</v>
      </c>
      <c r="D7797" s="2" t="str">
        <f t="shared" si="127"/>
        <v>Error?</v>
      </c>
      <c r="E7797" s="4" t="s">
        <v>2017</v>
      </c>
    </row>
    <row r="7798" spans="1:5" x14ac:dyDescent="0.2">
      <c r="A7798">
        <v>7737</v>
      </c>
      <c r="B7798" s="138">
        <f>'Contracts Paid in CY 29'!F141</f>
        <v>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Hoopeston Area CUSD 11</v>
      </c>
      <c r="B7" s="2404"/>
      <c r="C7" s="2404"/>
      <c r="D7" s="2441"/>
      <c r="E7" s="2442">
        <f>COVER!A13</f>
        <v>54092011026</v>
      </c>
      <c r="F7" s="2443"/>
      <c r="G7" s="2410" t="str">
        <f>COVER!T23</f>
        <v>065.018319</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RUSSELL LEIGH &amp; ASSOCIATES</v>
      </c>
      <c r="H9" s="2417"/>
      <c r="I9" s="2417"/>
      <c r="J9" s="2417"/>
      <c r="K9" s="2417"/>
      <c r="L9" s="2418"/>
    </row>
    <row r="10" spans="1:29" ht="13.5" customHeight="1" x14ac:dyDescent="0.2">
      <c r="A10" s="2400" t="str">
        <f>COVER!A38</f>
        <v>SUZZETTE HESSER</v>
      </c>
      <c r="B10" s="2401"/>
      <c r="C10" s="2401"/>
      <c r="D10" s="2401"/>
      <c r="E10" s="2401"/>
      <c r="F10" s="2402"/>
      <c r="G10" s="2416" t="str">
        <f>COVER!T17</f>
        <v>228 E MAIN ST</v>
      </c>
      <c r="H10" s="2429"/>
      <c r="I10" s="2429"/>
      <c r="J10" s="2429"/>
      <c r="K10" s="2429"/>
      <c r="L10" s="2430"/>
    </row>
    <row r="11" spans="1:29" ht="13.5" customHeight="1" x14ac:dyDescent="0.2">
      <c r="A11" s="1185" t="s">
        <v>1599</v>
      </c>
      <c r="B11" s="1186"/>
      <c r="C11" s="1187"/>
      <c r="D11" s="1192"/>
      <c r="E11" s="1187"/>
      <c r="F11" s="1191"/>
      <c r="G11" s="2416" t="str">
        <f>COVER!T19</f>
        <v>HOOPESTON</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admin@russleigh.com</v>
      </c>
      <c r="J13" s="2438"/>
      <c r="K13" s="2438"/>
      <c r="L13" s="2439"/>
    </row>
    <row r="14" spans="1:29" ht="13.5" customHeight="1" x14ac:dyDescent="0.2">
      <c r="A14" s="2416" t="str">
        <f>COVER!A19</f>
        <v>615 E ORANGE</v>
      </c>
      <c r="B14" s="2429"/>
      <c r="C14" s="2429"/>
      <c r="D14" s="2429"/>
      <c r="E14" s="2429"/>
      <c r="F14" s="2430"/>
      <c r="G14" s="1196" t="s">
        <v>1247</v>
      </c>
      <c r="H14" s="1194"/>
      <c r="I14" s="1194"/>
      <c r="J14" s="1194"/>
      <c r="K14" s="1194"/>
      <c r="L14" s="1195"/>
    </row>
    <row r="15" spans="1:29" ht="13.5" customHeight="1" x14ac:dyDescent="0.2">
      <c r="A15" s="2416" t="str">
        <f>COVER!A21</f>
        <v>HOOPESTON</v>
      </c>
      <c r="B15" s="2429"/>
      <c r="C15" s="2429"/>
      <c r="D15" s="2429"/>
      <c r="E15" s="2429"/>
      <c r="F15" s="2430"/>
      <c r="G15" s="2426" t="str">
        <f>COVER!T15</f>
        <v>RUSS LEIGH</v>
      </c>
      <c r="H15" s="2427"/>
      <c r="I15" s="2427"/>
      <c r="J15" s="2427"/>
      <c r="K15" s="2427"/>
      <c r="L15" s="2428"/>
    </row>
    <row r="16" spans="1:29" ht="12.2" customHeight="1" x14ac:dyDescent="0.2">
      <c r="A16" s="2406">
        <f>COVER!A25</f>
        <v>60942</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217-283-9336</v>
      </c>
      <c r="H18" s="2404"/>
      <c r="I18" s="2404"/>
      <c r="J18" s="2404"/>
      <c r="K18" s="2403" t="str">
        <f>COVER!X21</f>
        <v>217-283-9736</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Hoopeston Area CUSD 11</v>
      </c>
      <c r="B1" s="2440"/>
      <c r="C1" s="2440"/>
      <c r="D1" s="2440"/>
    </row>
    <row r="2" spans="1:11" s="1215" customFormat="1" ht="12.75" x14ac:dyDescent="0.2">
      <c r="A2" s="2445">
        <f>'Single Audit Cover'!E7</f>
        <v>54092011026</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Hoopeston Area CUSD 11</v>
      </c>
      <c r="B1" s="2448"/>
      <c r="C1" s="2448"/>
      <c r="D1" s="2448"/>
      <c r="E1" s="2448"/>
    </row>
    <row r="2" spans="1:5" x14ac:dyDescent="0.2">
      <c r="A2" s="2449">
        <f>'Single Audit Cover'!E7</f>
        <v>54092011026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1122036</v>
      </c>
    </row>
    <row r="11" spans="1:5" ht="18" customHeight="1" x14ac:dyDescent="0.2">
      <c r="A11" s="1261" t="s">
        <v>1302</v>
      </c>
      <c r="B11" s="1262"/>
      <c r="C11" s="1262"/>
    </row>
    <row r="12" spans="1:5" x14ac:dyDescent="0.2">
      <c r="A12" s="1261" t="s">
        <v>1301</v>
      </c>
      <c r="B12" s="1262" t="s">
        <v>1300</v>
      </c>
      <c r="C12" s="1262"/>
      <c r="D12" s="1264">
        <f>SUM('Revenues 9-14'!C112:D112,'Revenues 9-14'!F112:G112)</f>
        <v>46742</v>
      </c>
    </row>
    <row r="13" spans="1:5" x14ac:dyDescent="0.2">
      <c r="A13" s="1261" t="s">
        <v>1299</v>
      </c>
      <c r="B13" s="1262"/>
      <c r="C13" s="1262"/>
    </row>
    <row r="14" spans="1:5" x14ac:dyDescent="0.2">
      <c r="A14" s="1261" t="s">
        <v>1830</v>
      </c>
      <c r="B14" s="1262"/>
      <c r="C14" s="1262"/>
      <c r="D14" s="1264">
        <f>'ICR Computation 30'!E11</f>
        <v>62796</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-63776</v>
      </c>
    </row>
    <row r="19" spans="1:4" ht="13.5" thickBot="1" x14ac:dyDescent="0.25">
      <c r="A19" s="1265" t="s">
        <v>1297</v>
      </c>
      <c r="D19" s="1266">
        <f>SUM(D10:D17)</f>
        <v>1167798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1167798</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1167798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Hoopeston Area CUSD 11</v>
      </c>
      <c r="B1" s="2453"/>
      <c r="C1" s="2453"/>
      <c r="D1" s="2453"/>
      <c r="E1" s="2453"/>
      <c r="F1" s="2453"/>
    </row>
    <row r="2" spans="1:7" ht="13.5" customHeight="1" x14ac:dyDescent="0.2">
      <c r="A2" s="2454">
        <f>'Single Audit Cover'!E7</f>
        <v>54092011026</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2113</v>
      </c>
      <c r="B7" s="2452"/>
      <c r="C7" s="2452"/>
      <c r="D7" s="2452"/>
      <c r="E7" s="2452"/>
      <c r="F7" s="2452"/>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t="s">
        <v>2114</v>
      </c>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2115</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t="s">
        <v>2116</v>
      </c>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1833</v>
      </c>
      <c r="B32" s="2461"/>
      <c r="C32" s="2461"/>
      <c r="D32" s="2461"/>
      <c r="E32" s="2461"/>
      <c r="F32" s="2461"/>
    </row>
    <row r="33" spans="1:6" ht="13.5" customHeight="1" x14ac:dyDescent="0.2">
      <c r="A33" s="328" t="s">
        <v>1509</v>
      </c>
      <c r="B33" s="328"/>
      <c r="C33" s="1288">
        <v>62796</v>
      </c>
      <c r="D33" s="1928"/>
      <c r="E33" s="1286"/>
    </row>
    <row r="34" spans="1:6" ht="13.5" customHeight="1" x14ac:dyDescent="0.2">
      <c r="A34" s="328" t="s">
        <v>1946</v>
      </c>
      <c r="B34" s="328"/>
      <c r="C34" s="1289">
        <v>0</v>
      </c>
      <c r="D34" s="1928" t="s">
        <v>1671</v>
      </c>
      <c r="E34" s="2462">
        <f>+C33+C34</f>
        <v>62796</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2117</v>
      </c>
      <c r="D38" s="1928"/>
      <c r="E38" s="1286"/>
    </row>
    <row r="39" spans="1:6" ht="14.25" customHeight="1" x14ac:dyDescent="0.2">
      <c r="A39" s="328"/>
      <c r="B39" s="328" t="s">
        <v>1511</v>
      </c>
      <c r="C39" s="1292" t="s">
        <v>2117</v>
      </c>
      <c r="D39" s="1928"/>
      <c r="E39" s="1286"/>
    </row>
    <row r="40" spans="1:6" ht="14.25" customHeight="1" x14ac:dyDescent="0.2">
      <c r="A40" s="328"/>
      <c r="B40" s="328" t="s">
        <v>1512</v>
      </c>
      <c r="C40" s="1292" t="s">
        <v>2117</v>
      </c>
      <c r="D40" s="1928"/>
      <c r="E40" s="1286"/>
    </row>
    <row r="41" spans="1:6" ht="14.25" customHeight="1" x14ac:dyDescent="0.2">
      <c r="A41" s="328"/>
      <c r="B41" s="328" t="s">
        <v>1513</v>
      </c>
      <c r="C41" s="1292" t="s">
        <v>2117</v>
      </c>
      <c r="D41" s="1928"/>
      <c r="E41" s="1286"/>
    </row>
    <row r="42" spans="1:6" ht="14.25" customHeight="1" x14ac:dyDescent="0.2">
      <c r="A42" s="328" t="s">
        <v>1514</v>
      </c>
      <c r="B42" s="328"/>
      <c r="C42" s="1926" t="s">
        <v>2117</v>
      </c>
      <c r="D42" s="1928"/>
      <c r="E42" s="1286"/>
    </row>
    <row r="43" spans="1:6" ht="14.25" customHeight="1" x14ac:dyDescent="0.2">
      <c r="A43" s="328" t="s">
        <v>1515</v>
      </c>
      <c r="B43" s="328"/>
      <c r="C43" s="1293" t="s">
        <v>2117</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F21" sqref="F2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Hoopeston Area CUSD 11</v>
      </c>
      <c r="C1" s="2465"/>
      <c r="D1" s="2465"/>
      <c r="E1" s="2465"/>
      <c r="F1" s="2465"/>
      <c r="G1" s="2465"/>
      <c r="H1" s="2465"/>
      <c r="I1" s="2465"/>
      <c r="J1" s="2465"/>
      <c r="K1" s="2465"/>
      <c r="L1" s="2465"/>
      <c r="M1" s="2465"/>
    </row>
    <row r="2" spans="2:14" ht="15" x14ac:dyDescent="0.2">
      <c r="B2" s="2454">
        <f>'Single Audit Cover'!E7</f>
        <v>54092011026</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2137</v>
      </c>
      <c r="C11" s="1338" t="s">
        <v>2138</v>
      </c>
      <c r="D11" s="1339" t="s">
        <v>2139</v>
      </c>
      <c r="E11" s="1340"/>
      <c r="F11" s="1340">
        <v>15234</v>
      </c>
      <c r="G11" s="1340"/>
      <c r="H11" s="1340"/>
      <c r="I11" s="1340">
        <v>25511</v>
      </c>
      <c r="J11" s="1340"/>
      <c r="K11" s="1340"/>
      <c r="L11" s="1340">
        <f>+G11+I11+K11</f>
        <v>25511</v>
      </c>
      <c r="M11" s="1340">
        <v>40210</v>
      </c>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t="s">
        <v>2140</v>
      </c>
      <c r="C13" s="1341"/>
      <c r="D13" s="1342"/>
      <c r="E13" s="1343">
        <v>435853</v>
      </c>
      <c r="F13" s="1343">
        <v>466439</v>
      </c>
      <c r="G13" s="1343">
        <v>450428</v>
      </c>
      <c r="H13" s="1343"/>
      <c r="I13" s="1343">
        <v>513972</v>
      </c>
      <c r="J13" s="1343"/>
      <c r="K13" s="1343"/>
      <c r="L13" s="1340">
        <f t="shared" si="0"/>
        <v>964400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2141</v>
      </c>
      <c r="C15" s="1341"/>
      <c r="D15" s="1342"/>
      <c r="E15" s="1343"/>
      <c r="F15" s="1343"/>
      <c r="G15" s="1343"/>
      <c r="H15" s="1343"/>
      <c r="I15" s="1343"/>
      <c r="J15" s="1343"/>
      <c r="K15" s="1343"/>
      <c r="L15" s="1340">
        <f t="shared" si="0"/>
        <v>0</v>
      </c>
      <c r="M15" s="1343"/>
    </row>
    <row r="16" spans="2:14" ht="20.100000000000001" customHeight="1" x14ac:dyDescent="0.2">
      <c r="B16" s="1337" t="s">
        <v>2142</v>
      </c>
      <c r="C16" s="1341" t="s">
        <v>2143</v>
      </c>
      <c r="D16" s="1342"/>
      <c r="E16" s="1343"/>
      <c r="F16" s="1343">
        <v>46742</v>
      </c>
      <c r="G16" s="1343"/>
      <c r="H16" s="1343"/>
      <c r="I16" s="1343">
        <v>46742</v>
      </c>
      <c r="J16" s="1343"/>
      <c r="K16" s="1343"/>
      <c r="L16" s="1340">
        <f t="shared" si="0"/>
        <v>46742</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2144</v>
      </c>
      <c r="C18" s="1341"/>
      <c r="D18" s="1342"/>
      <c r="E18" s="1343"/>
      <c r="F18" s="1343">
        <v>46742</v>
      </c>
      <c r="G18" s="1343"/>
      <c r="H18" s="1343"/>
      <c r="I18" s="1343">
        <v>46742</v>
      </c>
      <c r="J18" s="1343"/>
      <c r="K18" s="1343"/>
      <c r="L18" s="1340">
        <f t="shared" si="0"/>
        <v>46742</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2145</v>
      </c>
      <c r="C20" s="1341"/>
      <c r="D20" s="1342"/>
      <c r="E20" s="1343">
        <v>435853</v>
      </c>
      <c r="F20" s="1343">
        <v>513181</v>
      </c>
      <c r="G20" s="1343">
        <v>450428</v>
      </c>
      <c r="H20" s="1343"/>
      <c r="I20" s="1343">
        <v>560719</v>
      </c>
      <c r="J20" s="1343"/>
      <c r="K20" s="1343"/>
      <c r="L20" s="1340">
        <f t="shared" si="0"/>
        <v>1011147</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M27" sqref="M2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Hoopeston Area CUSD 11</v>
      </c>
      <c r="C1" s="2465"/>
      <c r="D1" s="2465"/>
      <c r="E1" s="2465"/>
      <c r="F1" s="2465"/>
      <c r="G1" s="2465"/>
      <c r="H1" s="2465"/>
      <c r="I1" s="2465"/>
      <c r="J1" s="2465"/>
      <c r="K1" s="2465"/>
      <c r="L1" s="2465"/>
      <c r="M1" s="2465"/>
    </row>
    <row r="2" spans="2:14" ht="15" x14ac:dyDescent="0.2">
      <c r="B2" s="2454">
        <f>'Single Audit Cover'!E7</f>
        <v>54092011026</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2118</v>
      </c>
      <c r="C11" s="1338"/>
      <c r="D11" s="1339"/>
      <c r="E11" s="1340"/>
      <c r="F11" s="1340"/>
      <c r="G11" s="1340"/>
      <c r="H11" s="1340"/>
      <c r="I11" s="1340"/>
      <c r="J11" s="1340"/>
      <c r="K11" s="1340"/>
      <c r="L11" s="1340">
        <f>+G11+I11+K11</f>
        <v>0</v>
      </c>
      <c r="M11" s="1340"/>
    </row>
    <row r="12" spans="2:14" ht="20.100000000000001" customHeight="1" x14ac:dyDescent="0.2">
      <c r="B12" s="1337" t="s">
        <v>2119</v>
      </c>
      <c r="C12" s="1341"/>
      <c r="D12" s="1342"/>
      <c r="E12" s="1343"/>
      <c r="F12" s="1343"/>
      <c r="G12" s="1343"/>
      <c r="H12" s="1343"/>
      <c r="I12" s="1343"/>
      <c r="J12" s="1343"/>
      <c r="K12" s="1343"/>
      <c r="L12" s="1340">
        <f t="shared" ref="L12:L27" si="0">+G12+I12+K12</f>
        <v>0</v>
      </c>
      <c r="M12" s="1343"/>
    </row>
    <row r="13" spans="2:14" ht="20.100000000000001" customHeight="1" x14ac:dyDescent="0.2">
      <c r="B13" s="1337" t="s">
        <v>2120</v>
      </c>
      <c r="C13" s="1341">
        <v>10.555</v>
      </c>
      <c r="D13" s="1342" t="s">
        <v>2121</v>
      </c>
      <c r="E13" s="1343">
        <v>383289</v>
      </c>
      <c r="F13" s="1343">
        <v>81354</v>
      </c>
      <c r="G13" s="1343">
        <v>383289</v>
      </c>
      <c r="H13" s="1343"/>
      <c r="I13" s="1343">
        <v>81354</v>
      </c>
      <c r="J13" s="1343"/>
      <c r="K13" s="1343"/>
      <c r="L13" s="1340">
        <f t="shared" si="0"/>
        <v>464643</v>
      </c>
      <c r="M13" s="1343"/>
    </row>
    <row r="14" spans="2:14" ht="20.100000000000001" customHeight="1" x14ac:dyDescent="0.2">
      <c r="B14" s="1337" t="s">
        <v>2120</v>
      </c>
      <c r="C14" s="1341">
        <v>10.555</v>
      </c>
      <c r="D14" s="1342" t="s">
        <v>2122</v>
      </c>
      <c r="E14" s="1343"/>
      <c r="F14" s="1343">
        <v>384105</v>
      </c>
      <c r="G14" s="1343"/>
      <c r="H14" s="1343"/>
      <c r="I14" s="1343">
        <v>384105</v>
      </c>
      <c r="J14" s="1343"/>
      <c r="K14" s="1343"/>
      <c r="L14" s="1340">
        <f t="shared" si="0"/>
        <v>384105</v>
      </c>
      <c r="M14" s="1343"/>
    </row>
    <row r="15" spans="2:14" ht="20.100000000000001" customHeight="1" x14ac:dyDescent="0.2">
      <c r="B15" s="1337" t="s">
        <v>2123</v>
      </c>
      <c r="C15" s="1341">
        <v>10.555999999999999</v>
      </c>
      <c r="D15" s="1342" t="s">
        <v>2124</v>
      </c>
      <c r="E15" s="1343">
        <v>1501</v>
      </c>
      <c r="F15" s="1343">
        <v>173</v>
      </c>
      <c r="G15" s="1343">
        <v>1501</v>
      </c>
      <c r="H15" s="1343"/>
      <c r="I15" s="1343">
        <v>173</v>
      </c>
      <c r="J15" s="1343"/>
      <c r="K15" s="1343"/>
      <c r="L15" s="1340">
        <f t="shared" si="0"/>
        <v>1674</v>
      </c>
      <c r="M15" s="1343"/>
    </row>
    <row r="16" spans="2:14" ht="20.100000000000001" customHeight="1" x14ac:dyDescent="0.2">
      <c r="B16" s="1337" t="s">
        <v>2123</v>
      </c>
      <c r="C16" s="1341">
        <v>10.555999999999999</v>
      </c>
      <c r="D16" s="1342" t="s">
        <v>2125</v>
      </c>
      <c r="E16" s="1343"/>
      <c r="F16" s="1343">
        <v>1263</v>
      </c>
      <c r="G16" s="1343"/>
      <c r="H16" s="1343"/>
      <c r="I16" s="1343">
        <v>1263</v>
      </c>
      <c r="J16" s="1343"/>
      <c r="K16" s="1343"/>
      <c r="L16" s="1340">
        <f t="shared" si="0"/>
        <v>1263</v>
      </c>
      <c r="M16" s="1343"/>
    </row>
    <row r="17" spans="2:14" ht="20.100000000000001" customHeight="1" x14ac:dyDescent="0.2">
      <c r="B17" s="1337" t="s">
        <v>2126</v>
      </c>
      <c r="C17" s="1341">
        <v>10.553000000000001</v>
      </c>
      <c r="D17" s="1342" t="s">
        <v>2127</v>
      </c>
      <c r="E17" s="1343">
        <v>103704</v>
      </c>
      <c r="F17" s="1343">
        <v>18313</v>
      </c>
      <c r="G17" s="1343">
        <v>103701</v>
      </c>
      <c r="H17" s="1343"/>
      <c r="I17" s="1343">
        <v>18313</v>
      </c>
      <c r="J17" s="1343"/>
      <c r="K17" s="1343"/>
      <c r="L17" s="1340">
        <f t="shared" si="0"/>
        <v>122014</v>
      </c>
      <c r="M17" s="1343"/>
    </row>
    <row r="18" spans="2:14" ht="20.100000000000001" customHeight="1" x14ac:dyDescent="0.2">
      <c r="B18" s="1337" t="s">
        <v>2126</v>
      </c>
      <c r="C18" s="1341">
        <v>10.553000000000001</v>
      </c>
      <c r="D18" s="1342" t="s">
        <v>2128</v>
      </c>
      <c r="E18" s="1343"/>
      <c r="F18" s="1343">
        <v>89924</v>
      </c>
      <c r="G18" s="1343"/>
      <c r="H18" s="1343"/>
      <c r="I18" s="1343">
        <v>89924</v>
      </c>
      <c r="J18" s="1343"/>
      <c r="K18" s="1343"/>
      <c r="L18" s="1340">
        <f t="shared" si="0"/>
        <v>89924</v>
      </c>
      <c r="M18" s="1343"/>
    </row>
    <row r="19" spans="2:14" ht="20.100000000000001" customHeight="1" x14ac:dyDescent="0.2">
      <c r="B19" s="1337" t="s">
        <v>2129</v>
      </c>
      <c r="C19" s="1341">
        <v>10.555</v>
      </c>
      <c r="D19" s="1342" t="s">
        <v>2130</v>
      </c>
      <c r="E19" s="1343"/>
      <c r="F19" s="1343">
        <v>51745</v>
      </c>
      <c r="G19" s="1343"/>
      <c r="H19" s="1343"/>
      <c r="I19" s="1343">
        <v>51745</v>
      </c>
      <c r="J19" s="1343"/>
      <c r="K19" s="1343"/>
      <c r="L19" s="1340">
        <f t="shared" si="0"/>
        <v>51745</v>
      </c>
      <c r="M19" s="1343"/>
    </row>
    <row r="20" spans="2:14" ht="20.100000000000001" customHeight="1" x14ac:dyDescent="0.2">
      <c r="B20" s="1337" t="s">
        <v>2131</v>
      </c>
      <c r="C20" s="1341">
        <v>10.555</v>
      </c>
      <c r="D20" s="1342" t="s">
        <v>2130</v>
      </c>
      <c r="E20" s="1343"/>
      <c r="F20" s="1343">
        <v>11051</v>
      </c>
      <c r="G20" s="1343"/>
      <c r="H20" s="1343"/>
      <c r="I20" s="1343">
        <v>11051</v>
      </c>
      <c r="J20" s="1343"/>
      <c r="K20" s="1343"/>
      <c r="L20" s="1340">
        <f t="shared" si="0"/>
        <v>11051</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2132</v>
      </c>
      <c r="C22" s="1341"/>
      <c r="D22" s="1342"/>
      <c r="E22" s="1343">
        <v>487494</v>
      </c>
      <c r="F22" s="1343">
        <v>637928</v>
      </c>
      <c r="G22" s="1343">
        <v>487494</v>
      </c>
      <c r="H22" s="1343"/>
      <c r="I22" s="1343">
        <v>637928</v>
      </c>
      <c r="J22" s="1343"/>
      <c r="K22" s="1343"/>
      <c r="L22" s="1340">
        <f t="shared" si="0"/>
        <v>1125422</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t="s">
        <v>2133</v>
      </c>
      <c r="C24" s="1341"/>
      <c r="D24" s="1342"/>
      <c r="E24" s="1343"/>
      <c r="F24" s="1343"/>
      <c r="G24" s="1343"/>
      <c r="H24" s="1343"/>
      <c r="I24" s="1343"/>
      <c r="J24" s="1343"/>
      <c r="K24" s="1343"/>
      <c r="L24" s="1340">
        <f t="shared" si="0"/>
        <v>0</v>
      </c>
      <c r="M24" s="1343"/>
    </row>
    <row r="25" spans="2:14" ht="20.100000000000001" customHeight="1" x14ac:dyDescent="0.2">
      <c r="B25" s="1337" t="s">
        <v>2119</v>
      </c>
      <c r="C25" s="1341"/>
      <c r="D25" s="1342"/>
      <c r="E25" s="1343"/>
      <c r="F25" s="1343"/>
      <c r="G25" s="1343"/>
      <c r="H25" s="1343"/>
      <c r="I25" s="1343"/>
      <c r="J25" s="1343"/>
      <c r="K25" s="1343"/>
      <c r="L25" s="1340">
        <f t="shared" si="0"/>
        <v>0</v>
      </c>
      <c r="M25" s="1343"/>
    </row>
    <row r="26" spans="2:14" ht="20.100000000000001" customHeight="1" x14ac:dyDescent="0.2">
      <c r="B26" s="1337" t="s">
        <v>2134</v>
      </c>
      <c r="C26" s="1341">
        <v>84.01</v>
      </c>
      <c r="D26" s="1342" t="s">
        <v>2135</v>
      </c>
      <c r="E26" s="1343">
        <v>435853</v>
      </c>
      <c r="F26" s="1343">
        <v>38012</v>
      </c>
      <c r="G26" s="1343">
        <v>450428</v>
      </c>
      <c r="H26" s="1343"/>
      <c r="I26" s="1343">
        <v>23437</v>
      </c>
      <c r="J26" s="1343"/>
      <c r="K26" s="1343"/>
      <c r="L26" s="1340">
        <f t="shared" si="0"/>
        <v>473865</v>
      </c>
      <c r="M26" s="1343">
        <v>465420</v>
      </c>
    </row>
    <row r="27" spans="2:14" ht="20.100000000000001" customHeight="1" x14ac:dyDescent="0.2">
      <c r="B27" s="1337" t="s">
        <v>2134</v>
      </c>
      <c r="C27" s="1341">
        <v>84.01</v>
      </c>
      <c r="D27" s="1342" t="s">
        <v>2136</v>
      </c>
      <c r="E27" s="1343"/>
      <c r="F27" s="1343">
        <v>413193</v>
      </c>
      <c r="G27" s="1343"/>
      <c r="H27" s="1343"/>
      <c r="I27" s="1343">
        <v>465024</v>
      </c>
      <c r="J27" s="1343"/>
      <c r="K27" s="1343"/>
      <c r="L27" s="1340">
        <f t="shared" si="0"/>
        <v>465024</v>
      </c>
      <c r="M27" s="1343">
        <v>492874</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0" sqref="I2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Hoopeston Area CUSD 11</v>
      </c>
      <c r="C1" s="2465"/>
      <c r="D1" s="2465"/>
      <c r="E1" s="2465"/>
      <c r="F1" s="2465"/>
      <c r="G1" s="2465"/>
      <c r="H1" s="2465"/>
      <c r="I1" s="2465"/>
      <c r="J1" s="2465"/>
      <c r="K1" s="2465"/>
      <c r="L1" s="2465"/>
      <c r="M1" s="2465"/>
    </row>
    <row r="2" spans="2:14" ht="15" x14ac:dyDescent="0.2">
      <c r="B2" s="2454">
        <f>'Single Audit Cover'!E7</f>
        <v>54092011026</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2146</v>
      </c>
      <c r="C11" s="1338"/>
      <c r="D11" s="1339"/>
      <c r="E11" s="1340"/>
      <c r="F11" s="1340"/>
      <c r="G11" s="1340"/>
      <c r="H11" s="1340"/>
      <c r="I11" s="1340"/>
      <c r="J11" s="1340"/>
      <c r="K11" s="1340"/>
      <c r="L11" s="1340">
        <f>+G11+I11+K11</f>
        <v>0</v>
      </c>
      <c r="M11" s="1340"/>
    </row>
    <row r="12" spans="2:14" ht="20.100000000000001" customHeight="1" x14ac:dyDescent="0.2">
      <c r="B12" s="1337" t="s">
        <v>2147</v>
      </c>
      <c r="C12" s="1341"/>
      <c r="D12" s="1342"/>
      <c r="E12" s="1343"/>
      <c r="F12" s="1343"/>
      <c r="G12" s="1343"/>
      <c r="H12" s="1343"/>
      <c r="I12" s="1343"/>
      <c r="J12" s="1343"/>
      <c r="K12" s="1343"/>
      <c r="L12" s="1340">
        <f t="shared" ref="L12:L27" si="0">+G12+I12+K12</f>
        <v>0</v>
      </c>
      <c r="M12" s="1343"/>
    </row>
    <row r="13" spans="2:14" ht="20.100000000000001" customHeight="1" x14ac:dyDescent="0.2">
      <c r="B13" s="1337" t="s">
        <v>2148</v>
      </c>
      <c r="C13" s="1341">
        <v>93.778000000000006</v>
      </c>
      <c r="D13" s="1342">
        <v>184900</v>
      </c>
      <c r="E13" s="1343"/>
      <c r="F13" s="1343">
        <v>16689</v>
      </c>
      <c r="G13" s="1343"/>
      <c r="H13" s="1343"/>
      <c r="I13" s="1343">
        <v>16689</v>
      </c>
      <c r="J13" s="1343"/>
      <c r="K13" s="1343"/>
      <c r="L13" s="1340">
        <f t="shared" si="0"/>
        <v>16689</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2149</v>
      </c>
      <c r="C15" s="1341"/>
      <c r="D15" s="1342"/>
      <c r="E15" s="1343"/>
      <c r="F15" s="1343">
        <v>16689</v>
      </c>
      <c r="G15" s="1343"/>
      <c r="H15" s="1343"/>
      <c r="I15" s="1343">
        <v>16689</v>
      </c>
      <c r="J15" s="1343"/>
      <c r="K15" s="1343"/>
      <c r="L15" s="1340">
        <f t="shared" si="0"/>
        <v>16689</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t="s">
        <v>2150</v>
      </c>
      <c r="C19" s="1341"/>
      <c r="D19" s="1342"/>
      <c r="E19" s="1343">
        <v>923347</v>
      </c>
      <c r="F19" s="1343">
        <v>1167798</v>
      </c>
      <c r="G19" s="1343">
        <v>937922</v>
      </c>
      <c r="H19" s="1343"/>
      <c r="I19" s="1343">
        <v>1215336</v>
      </c>
      <c r="J19" s="1343"/>
      <c r="K19" s="1343"/>
      <c r="L19" s="1340">
        <f t="shared" si="0"/>
        <v>2153258</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G52" sqref="G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Hoopeston Area CUSD 11</v>
      </c>
      <c r="C1" s="2473"/>
      <c r="D1" s="2473"/>
      <c r="E1" s="2473"/>
      <c r="F1" s="2473"/>
      <c r="G1" s="2473"/>
      <c r="H1" s="2473"/>
      <c r="I1" s="2473"/>
      <c r="J1" s="1422"/>
    </row>
    <row r="2" spans="2:10" s="317" customFormat="1" ht="12.75" customHeight="1" x14ac:dyDescent="0.2">
      <c r="B2" s="2474">
        <f>'Single Audit Cover'!E7</f>
        <v>54092011026</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t="s">
        <v>2151</v>
      </c>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2114</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2114</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2114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2114</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2114</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t="s">
        <v>2152</v>
      </c>
      <c r="E29" s="2479"/>
      <c r="F29" s="2479"/>
      <c r="G29" s="2479"/>
      <c r="H29" s="2479"/>
      <c r="I29" s="2479"/>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2114</v>
      </c>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0" t="s">
        <v>1852</v>
      </c>
      <c r="D37" s="2481"/>
      <c r="E37" s="2481"/>
      <c r="F37" s="2482"/>
      <c r="G37" s="2480" t="s">
        <v>1674</v>
      </c>
      <c r="H37" s="2481"/>
      <c r="I37" s="2482"/>
    </row>
    <row r="38" spans="2:9" ht="16.5" customHeight="1" x14ac:dyDescent="0.2">
      <c r="B38" s="1444">
        <v>10.555</v>
      </c>
      <c r="C38" s="2468" t="s">
        <v>2153</v>
      </c>
      <c r="D38" s="2469"/>
      <c r="E38" s="2469"/>
      <c r="F38" s="2470"/>
      <c r="G38" s="2483">
        <v>510615</v>
      </c>
      <c r="H38" s="2484"/>
      <c r="I38" s="2485"/>
    </row>
    <row r="39" spans="2:9" ht="16.5" customHeight="1" x14ac:dyDescent="0.2">
      <c r="B39" s="1444">
        <v>84.01</v>
      </c>
      <c r="C39" s="2468" t="s">
        <v>2154</v>
      </c>
      <c r="D39" s="2469"/>
      <c r="E39" s="2469"/>
      <c r="F39" s="2470"/>
      <c r="G39" s="2471">
        <v>450428</v>
      </c>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961043</v>
      </c>
      <c r="H43" s="2489"/>
      <c r="I43" s="2489"/>
    </row>
    <row r="44" spans="2:9" ht="12.75" customHeight="1" x14ac:dyDescent="0.2"/>
    <row r="45" spans="2:9" ht="12.75" customHeight="1" x14ac:dyDescent="0.2">
      <c r="B45" s="1435" t="s">
        <v>1949</v>
      </c>
      <c r="D45" s="2490">
        <v>1215336</v>
      </c>
      <c r="E45" s="2491"/>
    </row>
    <row r="46" spans="2:9" ht="5.25" customHeight="1" x14ac:dyDescent="0.2">
      <c r="B46" s="1445"/>
      <c r="D46" s="1446"/>
      <c r="E46" s="1447"/>
    </row>
    <row r="47" spans="2:9" ht="12.75" customHeight="1" x14ac:dyDescent="0.2">
      <c r="B47" s="1300" t="s">
        <v>1676</v>
      </c>
      <c r="C47" s="1300"/>
      <c r="D47" s="1448">
        <f>+G43/D45</f>
        <v>0.79076321280699324</v>
      </c>
      <c r="E47" s="1449"/>
      <c r="F47" s="1450"/>
      <c r="I47" s="1451"/>
    </row>
    <row r="48" spans="2:9" ht="9.9499999999999993" customHeight="1" x14ac:dyDescent="0.2"/>
    <row r="49" spans="1:9" x14ac:dyDescent="0.2">
      <c r="B49" s="1368" t="s">
        <v>1335</v>
      </c>
      <c r="C49" s="1282"/>
      <c r="D49" s="1282"/>
      <c r="E49" s="2492">
        <v>750000</v>
      </c>
      <c r="F49" s="2492"/>
      <c r="G49" s="2492"/>
      <c r="H49" s="322"/>
    </row>
    <row r="51" spans="1:9" ht="13.5" customHeight="1" x14ac:dyDescent="0.2">
      <c r="B51" s="1368" t="s">
        <v>1334</v>
      </c>
      <c r="C51" s="1282"/>
      <c r="E51" s="1438"/>
      <c r="F51" s="1300" t="s">
        <v>940</v>
      </c>
      <c r="G51" s="1438" t="s">
        <v>2114</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Hoopeston Area CUSD 11</v>
      </c>
      <c r="C1" s="2472"/>
      <c r="D1" s="2472"/>
      <c r="E1" s="2472"/>
      <c r="F1" s="2472"/>
      <c r="G1" s="2472"/>
      <c r="H1" s="2472"/>
      <c r="I1" s="2472"/>
      <c r="J1" s="2472"/>
      <c r="K1" s="2472"/>
      <c r="L1" s="1374"/>
      <c r="M1" s="1374"/>
    </row>
    <row r="2" spans="1:13" ht="12" customHeight="1" x14ac:dyDescent="0.2">
      <c r="B2" s="2474">
        <f>'Single Audit Cover'!E7</f>
        <v>54092011026</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1950</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t="s">
        <v>2116</v>
      </c>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1847</v>
      </c>
      <c r="C38" s="1420"/>
    </row>
    <row r="39" spans="1:13" ht="9.6" customHeight="1" x14ac:dyDescent="0.2">
      <c r="B39" s="1300" t="s">
        <v>1348</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Hoopeston Area CUSD 11</v>
      </c>
      <c r="C1" s="2499"/>
      <c r="D1" s="2499"/>
      <c r="E1" s="2499"/>
      <c r="F1" s="2499"/>
      <c r="G1" s="2499"/>
      <c r="H1" s="2499"/>
      <c r="I1" s="2499"/>
      <c r="J1" s="2499"/>
      <c r="K1" s="2499"/>
      <c r="L1" s="1465"/>
    </row>
    <row r="2" spans="1:12" ht="12.75" customHeight="1" x14ac:dyDescent="0.2">
      <c r="B2" s="2500">
        <f>'Single Audit Cover'!E7</f>
        <v>54092011026</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1950</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t="s">
        <v>2116</v>
      </c>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Hoopeston Area CUSD 11</v>
      </c>
      <c r="C1" s="2472"/>
      <c r="D1" s="2472"/>
      <c r="E1" s="1491"/>
    </row>
    <row r="2" spans="2:5" s="1282" customFormat="1" ht="12.75" customHeight="1" x14ac:dyDescent="0.2">
      <c r="B2" s="2474">
        <f>'Single Audit Cover'!E7</f>
        <v>54092011026</v>
      </c>
      <c r="C2" s="2474"/>
      <c r="D2" s="2474"/>
      <c r="E2" s="1492"/>
    </row>
    <row r="3" spans="2:5" ht="12.75" customHeight="1" x14ac:dyDescent="0.2">
      <c r="B3" s="2495" t="s">
        <v>1867</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1868</v>
      </c>
      <c r="C5" s="328"/>
      <c r="D5" s="328"/>
      <c r="E5" s="328"/>
    </row>
    <row r="6" spans="2:5" s="1282" customFormat="1" ht="13.5" customHeight="1" x14ac:dyDescent="0.2">
      <c r="B6" s="1495" t="s">
        <v>1382</v>
      </c>
      <c r="C6" s="1495" t="s">
        <v>1381</v>
      </c>
      <c r="D6" s="1495" t="s">
        <v>1869</v>
      </c>
    </row>
    <row r="7" spans="2:5" ht="13.5" customHeight="1" x14ac:dyDescent="0.2">
      <c r="B7" s="1496" t="s">
        <v>2116</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1870</v>
      </c>
    </row>
    <row r="46" spans="2:5" ht="12.2" customHeight="1" x14ac:dyDescent="0.2">
      <c r="B46" s="1505" t="s">
        <v>1871</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openxmlformats.org/package/2006/metadata/core-properties"/>
    <ds:schemaRef ds:uri="d21dc803-237d-4c68-8692-8d731fd29118"/>
    <ds:schemaRef ds:uri="http://purl.org/dc/terms/"/>
    <ds:schemaRef ds:uri="http://schemas.microsoft.com/office/infopath/2007/PartnerControls"/>
    <ds:schemaRef ds:uri="http://schemas.microsoft.com/office/2006/documentManagement/types"/>
    <ds:schemaRef ds:uri="http://purl.org/dc/elements/1.1/"/>
    <ds:schemaRef ds:uri="http://schemas.microsoft.com/sharepoint/v3"/>
    <ds:schemaRef ds:uri="http://schemas.microsoft.com/office/2006/metadata/properties"/>
    <ds:schemaRef ds:uri="4d435f69-8686-490b-bd6d-b153bf22ab50"/>
    <ds:schemaRef ds:uri="6ce3111e-7420-4802-b50a-75d4e9a0b980"/>
    <ds:schemaRef ds:uri="http://purl.org/dc/dcmityp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(2)</vt:lpstr>
      <vt:lpstr> SEFA (3)</vt:lpstr>
      <vt:lpstr> SEFA</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2018-11-07T21:16:00Z</cp:lastPrinted>
  <dcterms:created xsi:type="dcterms:W3CDTF">2003-10-29T19:06:34Z</dcterms:created>
  <dcterms:modified xsi:type="dcterms:W3CDTF">2018-11-20T18:50:49Z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