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5320" windowHeight="6450" tabRatio="86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8" i="7" l="1"/>
  <c r="C39" i="3" l="1"/>
  <c r="H30" i="29"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0" l="1"/>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c r="B6387" i="106"/>
  <c r="D6387" i="106" s="1"/>
  <c r="B6388" i="106"/>
  <c r="D6388" i="106" s="1"/>
  <c r="B6389" i="106"/>
  <c r="D6389" i="106" s="1"/>
  <c r="B6390" i="106"/>
  <c r="D6390" i="106"/>
  <c r="B6391" i="106"/>
  <c r="D6391" i="106" s="1"/>
  <c r="B6392" i="106"/>
  <c r="D6392" i="106" s="1"/>
  <c r="B6393" i="106"/>
  <c r="D6393" i="106" s="1"/>
  <c r="B6394" i="106"/>
  <c r="D6394" i="106"/>
  <c r="B6395" i="106"/>
  <c r="D6395" i="106" s="1"/>
  <c r="B6398" i="106"/>
  <c r="D6398" i="106" s="1"/>
  <c r="B6399" i="106"/>
  <c r="D6399" i="106" s="1"/>
  <c r="B6401" i="106"/>
  <c r="D6401" i="106"/>
  <c r="B6402" i="106"/>
  <c r="D6402" i="106" s="1"/>
  <c r="B6403" i="106"/>
  <c r="D6403" i="106" s="1"/>
  <c r="B6404" i="106"/>
  <c r="D6404" i="106" s="1"/>
  <c r="B6405" i="106"/>
  <c r="D6405" i="106"/>
  <c r="B6406" i="106"/>
  <c r="D6406" i="106" s="1"/>
  <c r="B6407" i="106"/>
  <c r="D6407" i="106" s="1"/>
  <c r="B6408" i="106"/>
  <c r="D6408" i="106" s="1"/>
  <c r="B6410" i="106"/>
  <c r="D6410" i="106"/>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c r="B6620" i="106"/>
  <c r="D6620" i="106" s="1"/>
  <c r="B6621" i="106"/>
  <c r="D6621" i="106"/>
  <c r="B6622" i="106"/>
  <c r="D6622" i="106" s="1"/>
  <c r="B6623" i="106"/>
  <c r="D6623" i="106"/>
  <c r="B6624" i="106"/>
  <c r="D6624" i="106" s="1"/>
  <c r="B6625" i="106"/>
  <c r="D6625" i="106" s="1"/>
  <c r="B6626" i="106"/>
  <c r="D6626" i="106" s="1"/>
  <c r="B6627" i="106"/>
  <c r="D6627" i="106"/>
  <c r="B6628" i="106"/>
  <c r="D6628" i="106" s="1"/>
  <c r="B6629" i="106"/>
  <c r="D6629" i="106"/>
  <c r="B6630" i="106"/>
  <c r="D6630" i="106" s="1"/>
  <c r="B6631" i="106"/>
  <c r="D6631" i="106"/>
  <c r="B6632" i="106"/>
  <c r="D6632" i="106" s="1"/>
  <c r="B6633" i="106"/>
  <c r="D6633" i="106" s="1"/>
  <c r="B6634" i="106"/>
  <c r="D6634" i="106" s="1"/>
  <c r="B6635" i="106"/>
  <c r="D6635" i="106"/>
  <c r="B6636" i="106"/>
  <c r="D6636" i="106" s="1"/>
  <c r="B6637" i="106"/>
  <c r="D6637" i="106"/>
  <c r="B6638" i="106"/>
  <c r="D6638" i="106" s="1"/>
  <c r="B6639" i="106"/>
  <c r="D6639" i="106"/>
  <c r="B6640" i="106"/>
  <c r="D6640" i="106" s="1"/>
  <c r="B6641" i="106"/>
  <c r="D6641" i="106" s="1"/>
  <c r="B6642" i="106"/>
  <c r="D6642" i="106" s="1"/>
  <c r="B6643" i="106"/>
  <c r="D6643" i="106"/>
  <c r="B6644" i="106"/>
  <c r="D6644" i="106" s="1"/>
  <c r="B6645" i="106"/>
  <c r="D6645" i="106"/>
  <c r="B6646" i="106"/>
  <c r="D6646" i="106" s="1"/>
  <c r="B6647" i="106"/>
  <c r="D6647" i="106"/>
  <c r="B6648" i="106"/>
  <c r="D6648" i="106" s="1"/>
  <c r="B6649" i="106"/>
  <c r="D6649" i="106" s="1"/>
  <c r="B6650" i="106"/>
  <c r="D6650" i="106" s="1"/>
  <c r="B6651" i="106"/>
  <c r="D6651" i="106"/>
  <c r="B6652" i="106"/>
  <c r="D6652" i="106" s="1"/>
  <c r="B6653" i="106"/>
  <c r="D6653" i="106"/>
  <c r="B6654" i="106"/>
  <c r="D6654" i="106" s="1"/>
  <c r="B6655" i="106"/>
  <c r="D6655" i="106"/>
  <c r="B6656" i="106"/>
  <c r="D6656" i="106" s="1"/>
  <c r="B6657" i="106"/>
  <c r="D6657" i="106" s="1"/>
  <c r="B6658" i="106"/>
  <c r="D6658" i="106" s="1"/>
  <c r="B6659" i="106"/>
  <c r="D6659" i="106"/>
  <c r="B6660" i="106"/>
  <c r="D6660" i="106" s="1"/>
  <c r="B6661" i="106"/>
  <c r="D6661" i="106"/>
  <c r="B6662" i="106"/>
  <c r="D6662" i="106" s="1"/>
  <c r="B6663" i="106"/>
  <c r="D6663" i="106"/>
  <c r="B6664" i="106"/>
  <c r="D6664" i="106" s="1"/>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C109" i="5"/>
  <c r="B5121" i="106" s="1"/>
  <c r="D5121"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28" i="34"/>
  <c r="F127" i="34"/>
  <c r="B5752" i="106"/>
  <c r="D5752" i="106" s="1"/>
  <c r="B5599" i="106"/>
  <c r="D5599" i="106" s="1"/>
  <c r="H173" i="5"/>
  <c r="B5906" i="106" s="1"/>
  <c r="D5906" i="106" s="1"/>
  <c r="C172" i="5"/>
  <c r="B5214" i="106" s="1"/>
  <c r="D5214" i="106" s="1"/>
  <c r="H109" i="5"/>
  <c r="B6025" i="106" s="1"/>
  <c r="D6025" i="106" s="1"/>
  <c r="F106" i="34"/>
  <c r="H6" i="4"/>
  <c r="B2656" i="106" s="1"/>
  <c r="D2656" i="106" s="1"/>
  <c r="B1746" i="106"/>
  <c r="D1746" i="106" s="1"/>
  <c r="D17" i="7"/>
  <c r="B4104" i="106" s="1"/>
  <c r="D4104" i="106" s="1"/>
  <c r="D12" i="7"/>
  <c r="B1769" i="106" s="1"/>
  <c r="D1769" i="106" s="1"/>
  <c r="D11" i="7"/>
  <c r="B1768" i="106" s="1"/>
  <c r="D1768" i="106" s="1"/>
  <c r="D15" i="7"/>
  <c r="B1772" i="106" s="1"/>
  <c r="D1772" i="106" s="1"/>
  <c r="D7" i="7" l="1"/>
  <c r="B1763" i="106" s="1"/>
  <c r="D1763" i="106" s="1"/>
  <c r="F130" i="34"/>
  <c r="K28" i="118"/>
  <c r="O27" i="118" s="1"/>
  <c r="O29" i="118" s="1"/>
  <c r="J274" i="5"/>
  <c r="B7054" i="106" s="1"/>
  <c r="D7054" i="106" s="1"/>
  <c r="I173" i="5"/>
  <c r="B4216" i="106" s="1"/>
  <c r="D4216" i="106" s="1"/>
  <c r="L367" i="29"/>
  <c r="B5847" i="106"/>
  <c r="D5847" i="106" s="1"/>
  <c r="F131" i="34"/>
  <c r="G109" i="5"/>
  <c r="B6024" i="106" s="1"/>
  <c r="D6024" i="106" s="1"/>
  <c r="C342" i="29"/>
  <c r="B7216" i="106" s="1"/>
  <c r="D7216" i="106" s="1"/>
  <c r="D109" i="5"/>
  <c r="B5356" i="106" s="1"/>
  <c r="D5356" i="106" s="1"/>
  <c r="K274" i="5"/>
  <c r="E109" i="5"/>
  <c r="E4" i="4" s="1"/>
  <c r="B2630" i="106" s="1"/>
  <c r="D2630" i="106" s="1"/>
  <c r="I24" i="12"/>
  <c r="B1223" i="106"/>
  <c r="D1223" i="106" s="1"/>
  <c r="K24" i="12"/>
  <c r="B3647" i="106"/>
  <c r="D3647" i="106" s="1"/>
  <c r="B3621" i="106"/>
  <c r="D3621" i="106" s="1"/>
  <c r="C367" i="29"/>
  <c r="B3622" i="106" s="1"/>
  <c r="D3622" i="106" s="1"/>
  <c r="K285" i="29"/>
  <c r="L342" i="29"/>
  <c r="F19" i="7"/>
  <c r="B1807" i="106" s="1"/>
  <c r="D1807" i="106" s="1"/>
  <c r="D54" i="36"/>
  <c r="L13" i="11"/>
  <c r="B2060" i="106" s="1"/>
  <c r="D2060" i="106" s="1"/>
  <c r="L15" i="11"/>
  <c r="B3459" i="106" s="1"/>
  <c r="D3459" i="106" s="1"/>
  <c r="N22" i="3"/>
  <c r="B283" i="106" s="1"/>
  <c r="D283" i="106" s="1"/>
  <c r="K350" i="29"/>
  <c r="B3649" i="106"/>
  <c r="D3649" i="106" s="1"/>
  <c r="G367" i="29"/>
  <c r="H4" i="4"/>
  <c r="B2655" i="106" s="1"/>
  <c r="D2655" i="106" s="1"/>
  <c r="B1410" i="106"/>
  <c r="D1410" i="106" s="1"/>
  <c r="G4" i="4"/>
  <c r="B2603" i="106" s="1"/>
  <c r="D2603" i="106" s="1"/>
  <c r="K184" i="29"/>
  <c r="F13" i="4" s="1"/>
  <c r="B2596" i="106" s="1"/>
  <c r="D2596" i="106" s="1"/>
  <c r="F111" i="34"/>
  <c r="B1329" i="106"/>
  <c r="D1329" i="106" s="1"/>
  <c r="F61" i="34"/>
  <c r="C173" i="5"/>
  <c r="B5223" i="106" s="1"/>
  <c r="D5223" i="106" s="1"/>
  <c r="B5096" i="106"/>
  <c r="D509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H8"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E41" i="3"/>
  <c r="J19" i="145"/>
  <c r="L151" i="29"/>
  <c r="C273" i="5"/>
  <c r="J24" i="12"/>
  <c r="B7730" i="106"/>
  <c r="D7730" i="106" s="1"/>
  <c r="J7" i="4"/>
  <c r="D274" i="5"/>
  <c r="B3447" i="106"/>
  <c r="D3447" i="106" s="1"/>
  <c r="B7270" i="106"/>
  <c r="D19" i="7" l="1"/>
  <c r="B1775" i="106" s="1"/>
  <c r="D1775" i="106" s="1"/>
  <c r="B2657" i="106"/>
  <c r="D2657" i="106" s="1"/>
  <c r="D7254" i="106"/>
  <c r="J16" i="4"/>
  <c r="B6226" i="106" s="1"/>
  <c r="D6226" i="106" s="1"/>
  <c r="D7250" i="106"/>
  <c r="C114" i="29"/>
  <c r="B757" i="106" s="1"/>
  <c r="D757" i="106" s="1"/>
  <c r="F73" i="34"/>
  <c r="G15" i="4"/>
  <c r="B6032" i="106" s="1"/>
  <c r="D6032" i="106" s="1"/>
  <c r="B7733" i="106"/>
  <c r="D7733" i="106" s="1"/>
  <c r="K26" i="12"/>
  <c r="B7743" i="106" s="1"/>
  <c r="D7743" i="106" s="1"/>
  <c r="F275" i="5"/>
  <c r="B1996" i="106"/>
  <c r="D1996" i="106" s="1"/>
  <c r="I26" i="12"/>
  <c r="B7741" i="106" s="1"/>
  <c r="D7741" i="106" s="1"/>
  <c r="B5914" i="106"/>
  <c r="D5914" i="106" s="1"/>
  <c r="H275" i="5"/>
  <c r="B3628" i="106"/>
  <c r="D3628" i="106" s="1"/>
  <c r="D7253" i="106"/>
  <c r="D4" i="4"/>
  <c r="B2564" i="106" s="1"/>
  <c r="D2564" i="106" s="1"/>
  <c r="L16" i="11"/>
  <c r="B2061" i="106" s="1"/>
  <c r="D2061" i="106" s="1"/>
  <c r="N23" i="3"/>
  <c r="B284" i="106" s="1"/>
  <c r="D284" i="106" s="1"/>
  <c r="H367" i="29"/>
  <c r="B3660" i="106" s="1"/>
  <c r="D3660" i="106" s="1"/>
  <c r="B3670" i="106"/>
  <c r="D3670" i="106" s="1"/>
  <c r="K352" i="29"/>
  <c r="B1381" i="106"/>
  <c r="D1381"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8" i="4" l="1"/>
  <c r="J17" i="4"/>
  <c r="K13" i="4"/>
  <c r="B3572" i="106" s="1"/>
  <c r="D3572" i="106" s="1"/>
  <c r="B3672" i="106"/>
  <c r="D3672" i="106" s="1"/>
  <c r="K367" i="29"/>
  <c r="B3678" i="106" s="1"/>
  <c r="D3678"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368" i="29" l="1"/>
  <c r="B3681" i="106" s="1"/>
  <c r="D3681"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2574" i="106"/>
  <c r="D2574" i="106" s="1"/>
  <c r="F8" i="146"/>
  <c r="F179" i="34" l="1"/>
  <c r="F79" i="34"/>
  <c r="B6214" i="106"/>
  <c r="D6214" i="106" s="1"/>
  <c r="J41" i="3"/>
  <c r="B3588" i="106"/>
  <c r="D3588" i="106" s="1"/>
  <c r="K81" i="4"/>
  <c r="K38" i="3" s="1"/>
  <c r="F78" i="4"/>
  <c r="B2601" i="106"/>
  <c r="D2601" i="106" s="1"/>
  <c r="B3320" i="106"/>
  <c r="D3320" i="106" s="1"/>
  <c r="I81" i="4"/>
  <c r="I39" i="3" s="1"/>
  <c r="K17" i="118"/>
  <c r="B3300" i="106"/>
  <c r="D3300" i="106" s="1"/>
  <c r="H81" i="4"/>
  <c r="H38"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D75" i="36" l="1"/>
  <c r="B2535" i="106"/>
  <c r="D2535" i="106" s="1"/>
  <c r="H41" i="3"/>
  <c r="B123" i="106"/>
  <c r="D123" i="106" s="1"/>
  <c r="D41" i="3"/>
  <c r="B3566" i="106"/>
  <c r="D3566" i="106" s="1"/>
  <c r="K41" i="3"/>
  <c r="D51" i="36"/>
  <c r="B6216" i="106"/>
  <c r="D6216" i="106" s="1"/>
  <c r="B2912" i="106"/>
  <c r="D2912" i="106" s="1"/>
  <c r="I41" i="3"/>
  <c r="B3278" i="106"/>
  <c r="D3278" i="106" s="1"/>
  <c r="E81" i="4"/>
  <c r="B3233" i="106"/>
  <c r="D3233" i="106" s="1"/>
  <c r="C81" i="4"/>
  <c r="A7263" i="106"/>
  <c r="D7262" i="106"/>
  <c r="B1700" i="106"/>
  <c r="D1700" i="106" s="1"/>
  <c r="H82" i="4"/>
  <c r="D62" i="36"/>
  <c r="J20" i="118"/>
  <c r="O16" i="118"/>
  <c r="K20"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D45" i="36"/>
  <c r="B124" i="106"/>
  <c r="D124" i="106" s="1"/>
  <c r="B170" i="106"/>
  <c r="D170" i="106" s="1"/>
  <c r="F41" i="3"/>
  <c r="D76" i="36"/>
  <c r="B3568" i="106"/>
  <c r="D3568" i="106" s="1"/>
  <c r="D52" i="36"/>
  <c r="B2913" i="106"/>
  <c r="D2913" i="106" s="1"/>
  <c r="D50" i="3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<sst xmlns="http://schemas.openxmlformats.org/spreadsheetml/2006/main" count="5038" uniqueCount="2110">
  <si>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</si>
  <si>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</si>
  <si>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</si>
  <si>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</si>
  <si>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</si>
  <si>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</si>
  <si>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</si>
  <si>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</si>
  <si>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</si>
  <si>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</si>
  <si>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</si>
  <si>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</si>
  <si>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</si>
  <si>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</si>
  <si>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</si>
  <si>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</si>
  <si>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</si>
  <si>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</si>
  <si>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</si>
  <si>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</si>
  <si>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</si>
  <si>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</si>
  <si>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</si>
  <si>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</si>
  <si>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</si>
  <si>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</si>
  <si>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</si>
  <si>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</si>
  <si>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</si>
  <si>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</si>
  <si>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</si>
  <si>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</si>
  <si>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</si>
  <si>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</si>
  <si>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</si>
  <si>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</si>
  <si>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</si>
  <si>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</si>
  <si>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</si>
  <si>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</si>
  <si>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</si>
  <si>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</si>
  <si>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</si>
  <si>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</si>
  <si>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</si>
  <si>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</si>
  <si>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</si>
  <si>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</si>
  <si>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</si>
  <si>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</si>
  <si>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</si>
  <si>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</si>
  <si>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</si>
  <si>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</si>
  <si>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</si>
  <si>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</si>
  <si>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</si>
  <si>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</si>
  <si>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</si>
  <si>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</si>
  <si>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</si>
  <si>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</si>
  <si>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</si>
  <si>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</si>
  <si>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</si>
  <si>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</si>
  <si>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</si>
  <si>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</si>
  <si>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</si>
  <si>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</si>
  <si>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</si>
  <si>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</si>
  <si>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</si>
  <si>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</si>
  <si>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</si>
  <si>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</si>
  <si>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</si>
  <si>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</si>
  <si>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</si>
  <si>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</si>
  <si>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</si>
  <si>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</si>
  <si>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</si>
  <si>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</si>
  <si>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</si>
  <si>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</si>
  <si>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</si>
  <si>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</si>
  <si>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</si>
  <si>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</si>
  <si>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</si>
  <si>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</si>
  <si>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</si>
  <si>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</si>
  <si>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</si>
  <si>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</si>
  <si>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</si>
  <si>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</si>
  <si>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</si>
  <si>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</si>
  <si>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</si>
  <si>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</si>
  <si>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</si>
  <si>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</si>
  <si>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</si>
  <si>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</si>
  <si>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</si>
  <si>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</si>
  <si>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</si>
  <si>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</si>
  <si>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</si>
  <si>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</si>
  <si>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</si>
  <si>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</si>
  <si>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</si>
  <si>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</si>
  <si>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</si>
  <si>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</si>
  <si>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</si>
  <si>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</si>
  <si>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</si>
  <si>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</si>
  <si>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</si>
  <si>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</si>
  <si>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</si>
  <si>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</si>
  <si>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</si>
  <si>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</si>
  <si>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</si>
  <si>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</si>
  <si>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</si>
  <si>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</si>
  <si>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</si>
  <si>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</si>
  <si>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</si>
  <si>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</si>
  <si>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</si>
  <si>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</si>
  <si>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</si>
  <si>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</si>
  <si>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</si>
  <si>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</si>
  <si>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</si>
  <si>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</si>
  <si>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</si>
  <si>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</si>
  <si>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</si>
  <si>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</si>
  <si>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</si>
  <si>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</si>
  <si>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</si>
  <si>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</si>
  <si>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</si>
  <si>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</si>
  <si>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</si>
  <si>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</si>
  <si>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</si>
  <si>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</si>
  <si>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</si>
  <si>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</si>
  <si>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</si>
  <si>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</si>
  <si>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</si>
  <si>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</si>
  <si>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</si>
  <si>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</si>
  <si>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</si>
  <si>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</si>
  <si>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</si>
  <si>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</si>
  <si>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</si>
  <si>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</si>
  <si>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</si>
  <si>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</si>
  <si>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</si>
  <si>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</si>
  <si>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</si>
  <si>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</si>
  <si>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</si>
  <si>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</si>
  <si>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</si>
  <si>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</si>
  <si>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</si>
  <si>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</si>
  <si>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</si>
  <si>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</si>
  <si>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</si>
  <si>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</si>
  <si>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</si>
  <si>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</si>
  <si>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</si>
  <si>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</si>
  <si>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</si>
  <si>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</si>
  <si>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</si>
  <si>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</si>
  <si>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</si>
  <si>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</si>
  <si>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</si>
  <si>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</si>
  <si>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</si>
  <si>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</si>
  <si>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</si>
  <si>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</si>
  <si>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</si>
  <si>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</si>
  <si>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</si>
  <si>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</si>
  <si>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</si>
  <si>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</si>
  <si>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</si>
  <si>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</si>
  <si>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</si>
  <si>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</si>
  <si>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</si>
  <si>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</si>
  <si>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</si>
  <si>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</si>
  <si>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</si>
  <si>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</si>
  <si>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</si>
  <si>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</si>
  <si>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</si>
  <si>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</si>
  <si>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</si>
  <si>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</si>
  <si>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</si>
  <si>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</si>
  <si>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</si>
  <si>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</si>
  <si>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</si>
  <si>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</si>
  <si>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</si>
  <si>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</si>
  <si>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</si>
  <si>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</si>
  <si>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</si>
  <si>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</si>
  <si>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</si>
  <si>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</si>
  <si>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</si>
  <si>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</si>
  <si>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</si>
  <si>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</si>
  <si>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</si>
  <si>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</si>
  <si>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</si>
  <si>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</si>
  <si>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</si>
  <si>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</si>
  <si>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</si>
  <si>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</si>
  <si>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</si>
  <si>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</si>
  <si>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</si>
  <si>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</si>
  <si>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</si>
  <si>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</si>
  <si>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</si>
  <si>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</si>
  <si>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</si>
  <si>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</si>
  <si>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</si>
  <si>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</si>
  <si>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</si>
  <si>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</si>
  <si>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</si>
  <si>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</si>
  <si>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</si>
  <si>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</si>
  <si>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</si>
  <si>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</si>
  <si>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</si>
  <si>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</si>
  <si>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</si>
  <si>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</si>
  <si>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</si>
  <si>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</si>
  <si>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</si>
  <si>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</si>
  <si>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</si>
  <si>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</si>
  <si>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</si>
  <si>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</si>
  <si>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</si>
  <si>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</si>
  <si>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</si>
  <si>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</si>
  <si>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</si>
  <si>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</si>
  <si>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</si>
  <si>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</si>
  <si>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</si>
  <si>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</si>
  <si>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</si>
  <si>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</si>
  <si>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</si>
  <si>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</si>
  <si>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</si>
  <si>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</si>
  <si>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</si>
  <si>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</si>
  <si>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</si>
  <si>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</si>
  <si>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</si>
  <si>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</si>
  <si>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</si>
  <si>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</si>
  <si>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</si>
  <si>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</si>
  <si>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</si>
  <si>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</si>
  <si>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</si>
  <si>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</si>
  <si>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</si>
  <si>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</si>
  <si>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</si>
  <si>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</si>
  <si>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</si>
  <si>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</si>
  <si>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</si>
  <si>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</si>
  <si>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</si>
  <si>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</si>
  <si>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</si>
  <si>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</si>
  <si>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</si>
  <si>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</si>
  <si>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</si>
  <si>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</si>
  <si>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</si>
  <si>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</si>
  <si>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</si>
  <si>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</si>
  <si>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</si>
  <si>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</si>
  <si>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</si>
  <si>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</si>
  <si>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</si>
  <si>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</si>
  <si>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</si>
  <si>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</si>
  <si>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</si>
  <si>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</si>
  <si>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</si>
  <si>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</si>
  <si>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</si>
  <si>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</si>
  <si>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</si>
  <si>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</si>
  <si>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</si>
  <si>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</si>
  <si>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</si>
  <si>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</si>
  <si>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</si>
  <si>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</si>
  <si>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</si>
  <si>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</si>
  <si>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</si>
  <si>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</si>
  <si>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</si>
  <si>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</si>
  <si>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</si>
  <si>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</si>
  <si>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</si>
  <si>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</si>
  <si>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</si>
  <si>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</si>
  <si>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</si>
  <si>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</si>
  <si>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</si>
  <si>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</si>
  <si>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</si>
  <si>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</si>
  <si>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</si>
  <si>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</si>
  <si>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</si>
  <si>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</si>
  <si>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</si>
  <si>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</si>
  <si>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</si>
  <si>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</si>
  <si>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</si>
  <si>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</si>
  <si>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</si>
  <si>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</si>
  <si>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</si>
  <si>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</si>
  <si>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</si>
  <si>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</si>
  <si>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</si>
  <si>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</si>
  <si>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</si>
  <si>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</si>
  <si>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</si>
  <si>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</si>
  <si>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</si>
  <si>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</si>
  <si>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</si>
  <si>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</si>
  <si>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</si>
  <si>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</si>
  <si>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</si>
  <si>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</si>
  <si>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</si>
  <si>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</si>
  <si>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</si>
  <si>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</si>
  <si>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</si>
  <si>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</si>
  <si>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</si>
  <si>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</si>
  <si>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</si>
  <si>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</si>
  <si>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</si>
  <si>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</si>
  <si>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</si>
  <si>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</si>
  <si>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</si>
  <si>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</si>
  <si>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</si>
  <si>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</si>
  <si>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</si>
  <si>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</si>
  <si>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</si>
  <si>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</si>
  <si>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</si>
  <si>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</si>
  <si>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</si>
  <si>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</si>
  <si>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</si>
  <si>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</si>
  <si>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</si>
  <si>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</si>
  <si>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</si>
  <si>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</si>
  <si>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</si>
  <si>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</si>
  <si>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</si>
  <si>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</si>
  <si>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</si>
  <si>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</si>
  <si>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</si>
  <si>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</si>
  <si>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</si>
  <si>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</si>
  <si>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</si>
  <si>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</si>
  <si>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</si>
  <si>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</si>
  <si>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</si>
  <si>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</si>
  <si>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</si>
  <si>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</si>
  <si>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</si>
  <si>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</si>
  <si>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</si>
  <si>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</si>
  <si>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</si>
  <si>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</si>
  <si>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</si>
  <si>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</si>
  <si>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</si>
  <si>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</si>
  <si>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</si>
  <si>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</si>
  <si>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</si>
  <si>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</si>
  <si>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</si>
  <si>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</si>
  <si>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</si>
  <si>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</si>
  <si>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</si>
  <si>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</si>
  <si>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</si>
  <si>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</si>
  <si>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</si>
  <si>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</si>
  <si>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</si>
  <si>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</si>
  <si>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</si>
  <si>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</si>
  <si>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</si>
  <si>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</si>
  <si>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</si>
  <si>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</si>
  <si>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</si>
  <si>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</si>
  <si>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</si>
  <si>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</si>
  <si>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</si>
  <si>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</si>
  <si>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</si>
  <si>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</si>
  <si>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</si>
  <si>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</si>
  <si>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</si>
  <si>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</si>
  <si>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</si>
  <si>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</si>
  <si>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</si>
  <si>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</si>
  <si>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</si>
  <si>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</si>
  <si>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</si>
  <si>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</si>
  <si>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</si>
  <si>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</si>
  <si>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</si>
  <si>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</si>
  <si>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</si>
  <si>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</si>
  <si>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</si>
  <si>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</si>
  <si>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</si>
  <si>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</si>
  <si>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</si>
  <si>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</si>
  <si>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</si>
  <si>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</si>
  <si>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</si>
  <si>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</si>
  <si>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</si>
  <si>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</si>
  <si>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</si>
  <si>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</si>
  <si>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</si>
  <si>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</si>
  <si>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</si>
  <si>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</si>
  <si>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</si>
  <si>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</si>
  <si>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</si>
  <si>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</si>
  <si>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</si>
  <si>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</si>
  <si>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</si>
  <si>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</si>
  <si>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</si>
  <si>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</si>
  <si>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</si>
  <si>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</si>
  <si>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</si>
  <si>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</si>
  <si>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</si>
  <si>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</si>
  <si>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</si>
  <si>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</si>
  <si>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</si>
  <si>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</si>
  <si>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</si>
  <si>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</si>
  <si>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</si>
  <si>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</si>
  <si>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</si>
  <si>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</si>
  <si>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</si>
  <si>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</si>
  <si>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</si>
  <si>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</si>
  <si>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</si>
  <si>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</si>
  <si>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</si>
  <si>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</si>
  <si>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</si>
  <si>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</si>
  <si>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</si>
  <si>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</si>
  <si>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</si>
  <si>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</si>
  <si>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</si>
  <si>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</si>
  <si>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</si>
  <si>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</si>
  <si>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</si>
  <si>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</si>
  <si>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</si>
  <si>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</si>
  <si>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</si>
  <si>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</si>
  <si>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</si>
  <si>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</si>
  <si>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</si>
  <si>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</si>
  <si>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</si>
  <si>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</si>
  <si>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</si>
  <si>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</si>
  <si>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</si>
  <si>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</si>
  <si>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</si>
  <si>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</si>
  <si>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</si>
  <si>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</si>
  <si>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</si>
  <si>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</si>
  <si>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</si>
  <si>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</si>
  <si>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</si>
  <si>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</si>
  <si>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</si>
  <si>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</si>
  <si>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</si>
  <si>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</si>
  <si>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</si>
  <si>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</si>
  <si>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</si>
  <si>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</si>
  <si>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</si>
  <si>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</si>
  <si>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</si>
  <si>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</si>
  <si>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</si>
  <si>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</si>
  <si>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</si>
  <si>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</si>
  <si>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</si>
  <si>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</si>
  <si>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</si>
  <si>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</si>
  <si>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</si>
  <si>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</si>
  <si>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</si>
  <si>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</si>
  <si>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</si>
  <si>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</si>
  <si>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</si>
  <si>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</si>
  <si>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</si>
  <si>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</si>
  <si>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</si>
  <si>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</si>
  <si>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</si>
  <si>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</si>
  <si>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</si>
  <si>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</si>
  <si>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</si>
  <si>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</si>
  <si>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</si>
  <si>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</si>
  <si>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</si>
  <si>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</si>
  <si>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</si>
  <si>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</si>
  <si>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</si>
  <si>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</si>
  <si>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</si>
  <si>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</si>
  <si>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</si>
  <si>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</si>
  <si>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</si>
  <si>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</si>
  <si>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</si>
  <si>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</si>
  <si>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</si>
  <si>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</si>
  <si>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</si>
  <si>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</si>
  <si>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</si>
  <si>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</si>
  <si>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</si>
  <si>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</si>
  <si>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</si>
  <si>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</si>
  <si>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</si>
  <si>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</si>
  <si>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</si>
  <si>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</si>
  <si>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</si>
  <si>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</si>
  <si>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</si>
  <si>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</si>
  <si>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</si>
  <si>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</si>
  <si>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</si>
  <si>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</si>
  <si>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</si>
  <si>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</si>
  <si>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</si>
  <si>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</si>
  <si>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</si>
  <si>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</si>
  <si>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</si>
  <si>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</si>
  <si>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</si>
  <si>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</si>
  <si>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</si>
  <si>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</si>
  <si>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</si>
  <si>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</si>
  <si>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</si>
  <si>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</si>
  <si>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</si>
  <si>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</si>
  <si>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</si>
  <si>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</si>
  <si>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</si>
  <si>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</si>
  <si>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</si>
  <si>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</si>
  <si>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</si>
  <si>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</si>
  <si>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</si>
  <si>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</si>
  <si>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</si>
  <si>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</si>
  <si>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</si>
  <si>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</si>
  <si>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</si>
  <si>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</si>
  <si>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</si>
  <si>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</si>
  <si>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</si>
  <si>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</si>
  <si>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</si>
  <si>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</si>
  <si>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</si>
  <si>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</si>
  <si>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</si>
  <si>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</si>
  <si>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</si>
  <si>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</si>
  <si>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</si>
  <si>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</si>
  <si>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</si>
  <si>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</si>
  <si>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</si>
  <si>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</si>
  <si>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</si>
  <si>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</si>
  <si>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</si>
  <si>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</si>
  <si>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</si>
  <si>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</si>
  <si>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</si>
  <si>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</si>
  <si>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</si>
  <si>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</si>
  <si>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</si>
  <si>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</si>
  <si>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</si>
  <si>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</si>
  <si>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</si>
  <si>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</si>
  <si>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</si>
  <si>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</si>
  <si>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</si>
  <si>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</si>
  <si>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</si>
  <si>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</si>
  <si>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</si>
  <si>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</si>
  <si>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</si>
  <si>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</si>
  <si>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</si>
  <si>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</si>
  <si>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</si>
  <si>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</si>
  <si>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</si>
  <si>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</si>
  <si>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</si>
  <si>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</si>
  <si>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</si>
  <si>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</si>
  <si>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</si>
  <si>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</si>
  <si>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</si>
  <si>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</si>
  <si>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</si>
  <si>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</si>
  <si>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</si>
  <si>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</si>
  <si>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</si>
  <si>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</si>
  <si>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</si>
  <si>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</si>
  <si>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</si>
  <si>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</si>
  <si>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</si>
  <si>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</si>
  <si>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</si>
  <si>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</si>
  <si>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</si>
  <si>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</si>
  <si>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</si>
  <si>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</si>
  <si>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</si>
  <si>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</si>
  <si>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</si>
  <si>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</si>
  <si>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</si>
  <si>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</si>
  <si>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</si>
  <si>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</si>
  <si>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</si>
  <si>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</si>
  <si>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</si>
  <si>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</si>
  <si>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</si>
  <si>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</si>
  <si>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</si>
  <si>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</si>
  <si>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</si>
  <si>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</si>
  <si>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</si>
  <si>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</si>
  <si>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</si>
  <si>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</si>
  <si>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</si>
  <si>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</si>
  <si>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</si>
  <si>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</si>
  <si>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</si>
  <si>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</si>
  <si>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</si>
  <si>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</si>
  <si>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</si>
  <si>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</si>
  <si>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</si>
  <si>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</si>
  <si>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</si>
  <si>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</si>
  <si>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</si>
  <si>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</si>
  <si>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</si>
  <si>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</si>
  <si>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</si>
  <si>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</si>
  <si>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</si>
  <si>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</si>
  <si>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</si>
  <si>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</si>
  <si>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</si>
  <si>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</si>
  <si>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</si>
  <si>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</si>
  <si>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</si>
  <si>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</si>
  <si>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</si>
  <si>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</si>
  <si>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</si>
  <si>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</si>
  <si>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</si>
  <si>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</si>
  <si>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</si>
  <si>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</si>
  <si>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</si>
  <si>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</si>
  <si>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</si>
  <si>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</si>
  <si>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</si>
  <si>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</si>
  <si>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</si>
  <si>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</si>
  <si>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</si>
  <si>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</si>
  <si>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</si>
  <si>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</si>
  <si>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</si>
  <si>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</si>
  <si>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</si>
  <si>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</si>
  <si>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</si>
  <si>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</si>
  <si>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</si>
  <si>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</si>
  <si>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</si>
  <si>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</si>
  <si>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</si>
  <si>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</si>
  <si>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</si>
  <si>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</si>
  <si>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</si>
  <si>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</si>
  <si>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</si>
  <si>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</si>
  <si>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</si>
  <si>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</si>
  <si>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</si>
  <si>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</si>
  <si>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</si>
  <si>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</si>
  <si>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</si>
  <si>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</si>
  <si>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</si>
  <si>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</si>
  <si>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</si>
  <si>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</si>
  <si>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</si>
  <si>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</si>
  <si>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</si>
  <si>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</si>
  <si>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</si>
  <si>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</si>
  <si>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</si>
  <si>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</si>
  <si>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</si>
  <si>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</si>
  <si>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</si>
  <si>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</si>
  <si>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</si>
  <si>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</si>
  <si>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</si>
  <si>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</si>
  <si>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</si>
  <si>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</si>
  <si>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</si>
  <si>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</si>
  <si>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</si>
  <si>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</si>
  <si>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</si>
  <si>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</si>
  <si>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</si>
  <si>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</si>
  <si>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</si>
  <si>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</si>
  <si>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</si>
  <si>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</si>
  <si>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</si>
  <si>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</si>
  <si>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</si>
  <si>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</si>
  <si>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</si>
  <si>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</si>
  <si>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</si>
  <si>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</si>
  <si>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</si>
  <si>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</si>
  <si>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</si>
  <si>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</si>
  <si>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</si>
  <si>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</si>
  <si>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</si>
  <si>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</si>
  <si>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</si>
  <si>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</si>
  <si>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</si>
  <si>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</si>
  <si>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</si>
  <si>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</si>
  <si>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</si>
  <si>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</si>
  <si>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</si>
  <si>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</si>
  <si>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</si>
  <si>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</si>
  <si>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</si>
  <si>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</si>
  <si>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</si>
  <si>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</si>
  <si>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</si>
  <si>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</si>
  <si>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</si>
  <si>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</si>
  <si>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</si>
  <si>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</si>
  <si>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</si>
  <si>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</si>
  <si>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</si>
  <si>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</si>
  <si>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</si>
  <si>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</si>
  <si>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</si>
  <si>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</si>
  <si>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</si>
  <si>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</si>
  <si>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</si>
  <si>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</si>
  <si>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</si>
  <si>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</si>
  <si>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</si>
  <si>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</si>
  <si>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</si>
  <si>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</si>
  <si>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</si>
  <si>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</si>
  <si>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</si>
  <si>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</si>
  <si>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</si>
  <si>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</si>
  <si>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</si>
  <si>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</si>
  <si>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</si>
  <si>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</si>
  <si>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</si>
  <si>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</si>
  <si>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</si>
  <si>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</si>
  <si>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</si>
  <si>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</si>
  <si>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</si>
  <si>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</si>
  <si>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</si>
  <si>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</si>
  <si>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</si>
  <si>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</si>
  <si>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</si>
  <si>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</si>
  <si>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</si>
  <si>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</si>
  <si>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</si>
  <si>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</si>
  <si>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</si>
  <si>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</si>
  <si>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</si>
  <si>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</si>
  <si>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</si>
  <si>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</si>
  <si>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</si>
  <si>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</si>
  <si>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</si>
  <si>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</si>
  <si>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</si>
  <si>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</si>
  <si>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</si>
  <si>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</si>
  <si>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</si>
  <si>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</si>
  <si>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</si>
  <si>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</si>
  <si>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</si>
  <si>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</si>
  <si>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</si>
  <si>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</si>
  <si>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</si>
  <si>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</si>
  <si>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</si>
  <si>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</si>
  <si>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</si>
  <si>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</si>
  <si>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</si>
  <si>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</si>
  <si>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</si>
  <si>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</si>
  <si>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</si>
  <si>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</si>
  <si>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</si>
  <si>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</si>
  <si>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</si>
  <si>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</si>
  <si>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</si>
  <si>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</si>
  <si>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</si>
  <si>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</si>
  <si>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</si>
  <si>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</si>
  <si>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</si>
  <si>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</si>
  <si>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</si>
  <si>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</si>
  <si>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</si>
  <si>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</si>
  <si>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</si>
  <si>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</si>
  <si>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</si>
  <si>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</si>
  <si>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</si>
  <si>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</si>
  <si>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</si>
  <si>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</si>
  <si>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</si>
  <si>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</si>
  <si>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</si>
  <si>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</si>
  <si>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</si>
  <si>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</si>
  <si>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</si>
  <si>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</si>
  <si>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</si>
  <si>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</si>
  <si>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</si>
  <si>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</si>
  <si>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</si>
  <si>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</si>
  <si>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</si>
  <si>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</si>
  <si>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</si>
  <si>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</si>
  <si>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</si>
  <si>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</si>
  <si>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</si>
  <si>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</si>
  <si>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</si>
  <si>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</si>
  <si>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</si>
  <si>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</si>
  <si>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</si>
  <si>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</si>
  <si>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</si>
  <si>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</si>
  <si>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</si>
  <si>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</si>
  <si>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</si>
  <si>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</si>
  <si>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</si>
  <si>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</si>
  <si>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</si>
  <si>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</si>
  <si>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</si>
  <si>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</si>
  <si>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</si>
  <si>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</si>
  <si>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</si>
  <si>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</si>
  <si>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</si>
  <si>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</si>
  <si>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</si>
  <si>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</si>
  <si>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</si>
  <si>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</si>
  <si>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</si>
  <si>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</si>
  <si>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</si>
  <si>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</si>
  <si>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</si>
  <si>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</si>
  <si>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</si>
  <si>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</si>
  <si>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</si>
  <si>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</si>
  <si>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</si>
  <si>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</si>
  <si>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</si>
  <si>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</si>
  <si>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</si>
  <si>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</si>
  <si>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</si>
  <si>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</si>
  <si>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</si>
  <si>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</si>
  <si>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</si>
  <si>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</si>
  <si>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</si>
  <si>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</si>
  <si>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</si>
  <si>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</si>
  <si>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</si>
  <si>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</si>
  <si>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</si>
  <si>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</si>
  <si>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</si>
  <si>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</si>
  <si>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</si>
  <si>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</si>
  <si>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</si>
  <si>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</si>
  <si>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</si>
  <si>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</si>
  <si>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</si>
  <si>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</si>
  <si>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</si>
  <si>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</si>
  <si>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</si>
  <si>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</si>
  <si>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</si>
  <si>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</si>
  <si>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</si>
  <si>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</si>
  <si>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</si>
  <si>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</si>
  <si>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</si>
  <si>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</si>
  <si>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</si>
  <si>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</si>
  <si>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</si>
  <si>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</si>
  <si>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</si>
  <si>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</si>
  <si>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</si>
  <si>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</si>
  <si>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</si>
  <si>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</si>
  <si>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</si>
  <si>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</si>
  <si>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</si>
  <si>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</si>
  <si>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</si>
  <si>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</si>
  <si>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</si>
  <si>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</si>
  <si>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</si>
  <si>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</si>
  <si>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</si>
  <si>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</si>
  <si>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</si>
  <si>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</si>
  <si>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</si>
  <si>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</si>
  <si>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</si>
  <si>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</si>
  <si>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</si>
  <si>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</si>
  <si>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</si>
  <si>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</si>
  <si>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</si>
  <si>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</si>
  <si>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</si>
  <si>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</si>
  <si>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</si>
  <si>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</si>
  <si>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</si>
  <si>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</si>
  <si>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</si>
  <si>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</si>
  <si>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</si>
  <si>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</si>
  <si>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</si>
  <si>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</si>
  <si>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</si>
  <si>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</si>
  <si>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</si>
  <si>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</si>
  <si>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</si>
  <si>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</si>
  <si>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</si>
  <si>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</si>
  <si>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</si>
  <si>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</si>
  <si>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</si>
  <si>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</si>
  <si>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</si>
  <si>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</si>
  <si>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</si>
  <si>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</si>
  <si>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</si>
  <si>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</si>
  <si>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</si>
  <si>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</si>
  <si>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</si>
  <si>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</si>
  <si>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</si>
  <si>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</si>
  <si>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</si>
  <si>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</si>
  <si>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</si>
  <si>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</si>
  <si>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</si>
  <si>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</si>
  <si>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</si>
  <si>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</si>
  <si>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</si>
  <si>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</si>
  <si>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</si>
  <si>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</si>
  <si>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</si>
  <si>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</si>
  <si>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</si>
  <si>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</si>
  <si>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</si>
  <si>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</si>
  <si>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</si>
  <si>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</si>
  <si>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</si>
  <si>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</si>
  <si>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</si>
  <si>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</si>
  <si>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</si>
  <si>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</si>
  <si>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</si>
  <si>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</si>
  <si>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</si>
  <si>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</si>
  <si>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</si>
  <si>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</si>
  <si>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</si>
  <si>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</si>
  <si>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</si>
  <si>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</si>
  <si>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</si>
  <si>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</si>
  <si>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</si>
  <si>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</si>
  <si>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</si>
  <si>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</si>
  <si>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</si>
  <si>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</si>
  <si>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</si>
  <si>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</si>
  <si>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</si>
  <si>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</si>
  <si>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</si>
  <si>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</si>
  <si>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</si>
  <si>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</si>
  <si>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</si>
  <si>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</si>
  <si>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</si>
  <si>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</si>
  <si>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</si>
  <si>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</si>
  <si>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</si>
  <si>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</si>
  <si>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</si>
  <si>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</si>
  <si>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</si>
  <si>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</si>
  <si>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</si>
  <si>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</si>
  <si>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</si>
  <si>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</si>
  <si>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</si>
  <si>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</si>
  <si>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</si>
  <si>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</si>
  <si>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</si>
  <si>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</si>
  <si>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</si>
  <si>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</si>
  <si>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</si>
  <si>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</si>
  <si>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</si>
  <si>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</si>
  <si>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</si>
  <si>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</si>
  <si>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</si>
  <si>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</si>
  <si>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</si>
  <si>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</si>
  <si>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</si>
  <si>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</si>
  <si>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</si>
  <si>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</si>
  <si>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</si>
  <si>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</si>
  <si>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</si>
  <si>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</si>
  <si>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</si>
  <si>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</si>
  <si>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</si>
  <si>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</si>
  <si>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</si>
  <si>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</si>
  <si>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</si>
  <si>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</si>
  <si>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</si>
  <si>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</si>
  <si>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</si>
  <si>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</si>
  <si>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</si>
  <si>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</si>
  <si>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</si>
  <si>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</si>
  <si>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</si>
  <si>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</si>
  <si>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</si>
  <si>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</si>
  <si>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</si>
  <si>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</si>
  <si>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</si>
  <si>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</si>
  <si>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</si>
  <si>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</si>
  <si>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</si>
  <si>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</si>
  <si>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</si>
  <si>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</si>
  <si>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</si>
  <si>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</si>
  <si>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</si>
  <si>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</si>
  <si>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</si>
  <si>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</si>
  <si>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</si>
  <si>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</si>
  <si>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</si>
  <si>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</si>
  <si>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</si>
  <si>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</si>
  <si>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</si>
  <si>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</si>
  <si>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</si>
  <si>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</si>
  <si>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</si>
  <si>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</si>
  <si>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</si>
  <si>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</si>
  <si>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</si>
  <si>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</si>
  <si>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</si>
  <si>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</si>
  <si>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</si>
  <si>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</si>
  <si>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</si>
  <si>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</si>
  <si>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</si>
  <si>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</si>
  <si>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</si>
  <si>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</si>
  <si>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</si>
  <si>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</si>
  <si>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</si>
  <si>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</si>
  <si>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</si>
  <si>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</si>
  <si>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</si>
  <si>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</si>
  <si>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</si>
  <si>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</si>
  <si>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</si>
  <si>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</si>
  <si>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</si>
  <si>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</si>
  <si>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</si>
  <si>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</si>
  <si>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</si>
  <si>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</si>
  <si>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</si>
  <si>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</si>
  <si>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</si>
  <si>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</si>
  <si>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</si>
  <si>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</si>
  <si>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</si>
  <si>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</si>
  <si>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</si>
  <si>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</si>
  <si>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</si>
  <si>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</si>
  <si>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</si>
  <si>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</si>
  <si>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</si>
  <si>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</si>
  <si>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</si>
  <si>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</si>
  <si>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</si>
  <si>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</si>
  <si>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</si>
  <si>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</si>
  <si>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</si>
  <si>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</si>
  <si>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</si>
  <si>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</si>
  <si>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</si>
  <si>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</si>
  <si>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</si>
  <si>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</si>
  <si>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</si>
  <si>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</si>
  <si>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</si>
  <si>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</si>
  <si>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</si>
  <si>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</si>
  <si>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</si>
  <si>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</si>
  <si>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</si>
  <si>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</si>
  <si>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</si>
  <si>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</si>
  <si>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</si>
  <si>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</si>
  <si>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</si>
  <si>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</si>
  <si>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</si>
  <si>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</si>
  <si>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</si>
  <si>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</si>
  <si>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</si>
  <si>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</si>
  <si>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</si>
  <si>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</si>
  <si>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</si>
  <si>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</si>
  <si>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</si>
  <si>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</si>
  <si>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</si>
  <si>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</si>
  <si>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</si>
  <si>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</si>
  <si>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</si>
  <si>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</si>
  <si>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</si>
  <si>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</si>
  <si>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</si>
  <si>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</si>
  <si>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</si>
  <si>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</si>
  <si>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</si>
  <si>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</si>
  <si>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</si>
  <si>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</si>
  <si>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</si>
  <si>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</si>
  <si>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</si>
  <si>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</si>
  <si>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</si>
  <si>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</si>
  <si>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</si>
  <si>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</si>
  <si>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</si>
  <si>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</si>
  <si>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</si>
  <si>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</si>
  <si>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</si>
  <si>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</si>
  <si>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</si>
  <si>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</si>
  <si>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</si>
  <si>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</si>
  <si>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</si>
  <si>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</si>
  <si>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</si>
  <si>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</si>
  <si>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</si>
  <si>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</si>
  <si>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</si>
  <si>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</si>
  <si>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</si>
  <si>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</si>
  <si>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</si>
  <si>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</si>
  <si>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</si>
  <si>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</si>
  <si>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</si>
  <si>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</si>
  <si>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</si>
  <si>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</si>
  <si>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</si>
  <si>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</si>
  <si>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</si>
  <si>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</si>
  <si>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</si>
  <si>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</si>
  <si>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</si>
  <si>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</si>
  <si>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</si>
  <si>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</si>
  <si>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</si>
  <si>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</si>
  <si>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</si>
  <si>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</si>
  <si>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</si>
  <si>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</si>
  <si>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</si>
  <si>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</si>
  <si>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</si>
  <si>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</si>
  <si>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</si>
  <si>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</si>
  <si>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</si>
  <si>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</si>
  <si>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</si>
  <si>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</si>
  <si>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</si>
  <si>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</si>
  <si>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</si>
  <si>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</si>
  <si>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</si>
  <si>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</si>
  <si>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</si>
  <si>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</si>
  <si>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</si>
  <si>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</si>
  <si>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</si>
  <si>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</si>
  <si>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</si>
  <si>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</si>
  <si>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</si>
  <si>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</si>
  <si>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</si>
  <si>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</si>
  <si>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</si>
  <si>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</si>
  <si>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</si>
  <si>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</si>
  <si>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</si>
  <si>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</si>
  <si>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</si>
  <si>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</si>
  <si>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</si>
  <si>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</si>
  <si>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</si>
  <si>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</si>
  <si>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</si>
  <si>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</si>
  <si>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</si>
  <si>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</si>
  <si>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</si>
  <si>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</si>
  <si>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</si>
  <si>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</si>
  <si>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</si>
  <si>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</si>
  <si>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</si>
  <si>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</si>
  <si>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</si>
  <si>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</si>
  <si>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</si>
  <si>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</si>
  <si>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</si>
  <si>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</si>
  <si>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</si>
  <si>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</si>
  <si>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</si>
  <si>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</si>
  <si>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</si>
  <si>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</si>
  <si>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</si>
  <si>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</si>
  <si>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</si>
  <si>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</si>
  <si>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</si>
  <si>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</si>
  <si>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</si>
  <si>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</si>
  <si>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</si>
  <si>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</si>
  <si>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</si>
  <si>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</si>
  <si>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</si>
  <si>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</si>
  <si>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</si>
  <si>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</si>
  <si>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</si>
  <si>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</si>
  <si>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</si>
  <si>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</si>
  <si>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</si>
  <si>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</si>
  <si>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</si>
  <si>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</si>
  <si>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</si>
  <si>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</si>
  <si>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</si>
  <si>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</si>
  <si>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</si>
  <si>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</si>
  <si>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</si>
  <si>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</si>
  <si>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</si>
  <si>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</si>
  <si>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</si>
  <si>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</si>
  <si>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</si>
  <si>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</si>
  <si>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</si>
  <si>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</si>
  <si>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</si>
  <si>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</si>
  <si>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</si>
  <si>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</si>
  <si>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</si>
  <si>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</si>
  <si>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</si>
  <si>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</si>
  <si>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</si>
  <si>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</si>
  <si>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</si>
  <si>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</si>
  <si>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</si>
  <si>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</si>
  <si>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</si>
  <si>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</si>
  <si>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</si>
  <si>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</si>
  <si>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</si>
  <si>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</si>
  <si>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</si>
  <si>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</si>
  <si>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</si>
  <si>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</si>
  <si>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</si>
  <si>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</si>
  <si>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</si>
  <si>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</si>
  <si>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</si>
  <si>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</si>
  <si>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</si>
  <si>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</si>
  <si>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</si>
  <si>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</si>
  <si>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</si>
  <si>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</si>
  <si>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</si>
  <si>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</si>
  <si>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</si>
  <si>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</si>
  <si>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</si>
  <si>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</si>
  <si>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</si>
  <si>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</si>
  <si>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</si>
  <si>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</si>
  <si>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</si>
  <si>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</si>
  <si>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</si>
  <si>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</si>
  <si>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</si>
  <si>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</si>
  <si>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</si>
  <si>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</si>
  <si>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</si>
  <si>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</si>
  <si>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</si>
  <si>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</si>
  <si>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</si>
  <si>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</si>
  <si>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</si>
  <si>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</si>
  <si>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</si>
  <si>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</si>
  <si>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</si>
  <si>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</si>
  <si>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</si>
  <si>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</si>
  <si>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</si>
  <si>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</si>
  <si>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</si>
  <si>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</si>
  <si>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</si>
  <si>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</si>
  <si>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</si>
  <si>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</si>
  <si>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</si>
  <si>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</si>
  <si>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</si>
  <si>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</si>
  <si>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</si>
  <si>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</si>
  <si>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</si>
  <si>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</si>
  <si>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</si>
  <si>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</si>
  <si>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</si>
  <si>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</si>
  <si>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</si>
  <si>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</si>
  <si>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</si>
  <si>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</si>
  <si>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</si>
  <si>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</si>
  <si>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</si>
  <si>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</si>
  <si>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</si>
  <si>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</si>
  <si>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</si>
  <si>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</si>
  <si>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</si>
  <si>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</si>
  <si>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</si>
  <si>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</si>
  <si>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</si>
  <si>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</si>
  <si>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</si>
  <si>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</si>
  <si>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</si>
  <si>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</si>
  <si>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</si>
  <si>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</si>
  <si>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</si>
  <si>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</si>
  <si>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</si>
  <si>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</si>
  <si>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</si>
  <si>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</si>
  <si>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</si>
  <si>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</si>
  <si>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</si>
  <si>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</si>
  <si>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</si>
  <si>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</si>
  <si>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</si>
  <si>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</si>
  <si>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</si>
  <si>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</si>
  <si>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</si>
  <si>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</si>
  <si>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</si>
  <si>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</si>
  <si>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</si>
  <si>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</si>
  <si>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</si>
  <si>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</si>
  <si>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</si>
  <si>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</si>
  <si>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</si>
  <si>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</si>
  <si>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</si>
  <si>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</si>
  <si>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</si>
  <si>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</si>
  <si>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</si>
  <si>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</si>
  <si>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</si>
  <si>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</si>
  <si>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</si>
  <si>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</si>
  <si>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</si>
  <si>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</si>
  <si>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</si>
  <si>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</si>
  <si>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</si>
  <si>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</si>
  <si>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</si>
  <si>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</si>
  <si>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</si>
  <si>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</si>
  <si>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</si>
  <si>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</si>
  <si>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</si>
  <si>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</si>
  <si>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</si>
  <si>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</si>
  <si>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</si>
  <si>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</si>
  <si>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</si>
  <si>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</si>
  <si>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</si>
  <si>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</si>
  <si>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</si>
  <si>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</si>
  <si>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</si>
  <si>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</si>
  <si>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</si>
  <si>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</si>
  <si>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</si>
  <si>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</si>
  <si>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</si>
  <si>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</si>
  <si>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</si>
  <si>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</si>
  <si>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</si>
  <si>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</si>
  <si>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</si>
  <si>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</si>
  <si>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</si>
  <si>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</si>
  <si>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</si>
  <si>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</si>
  <si>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</si>
  <si>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</si>
  <si>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</si>
  <si>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</si>
  <si>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</si>
  <si>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</si>
  <si>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</si>
  <si>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</si>
  <si>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</si>
  <si>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</si>
  <si>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</si>
  <si>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</si>
  <si>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</si>
  <si>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</si>
  <si>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</si>
  <si>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</si>
  <si>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</si>
  <si>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</si>
  <si>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</si>
  <si>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</si>
  <si>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</si>
  <si>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</si>
  <si>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</si>
  <si>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</si>
  <si>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</si>
  <si>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</si>
  <si>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</si>
  <si>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</si>
  <si>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</si>
  <si>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</si>
  <si>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</si>
  <si>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</si>
  <si>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</si>
  <si>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</si>
  <si>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</si>
  <si>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</si>
  <si>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</si>
  <si>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</si>
  <si>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</si>
  <si>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</si>
  <si>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</si>
  <si>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</si>
  <si>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</si>
  <si>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</si>
  <si>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</si>
  <si>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</si>
  <si>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</si>
  <si>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</si>
  <si>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</si>
  <si>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</si>
  <si>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</si>
  <si>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</si>
  <si>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</si>
  <si>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</si>
  <si>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</si>
  <si>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</si>
  <si>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</si>
  <si>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</si>
  <si>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</si>
  <si>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</si>
  <si>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</si>
  <si>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</si>
  <si>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</si>
  <si>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</si>
  <si>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</si>
  <si>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</si>
  <si>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</si>
  <si>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</si>
  <si>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</si>
  <si>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</si>
  <si>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</si>
  <si>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</si>
  <si>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</si>
  <si>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</si>
  <si>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</si>
  <si>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</si>
  <si>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</si>
  <si>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</si>
  <si>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</si>
  <si>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</si>
  <si>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</si>
  <si>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</si>
  <si>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</si>
  <si>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</si>
  <si>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</si>
  <si>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</si>
  <si>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</si>
  <si>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</si>
  <si>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</si>
  <si>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</si>
  <si>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</si>
  <si>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</si>
  <si>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</si>
  <si>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</si>
  <si>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</si>
  <si>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</si>
  <si>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</si>
  <si>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</si>
  <si>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</si>
  <si>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</si>
  <si>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</si>
  <si>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</si>
  <si>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</si>
  <si>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</si>
  <si>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</si>
  <si>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</si>
  <si>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</si>
  <si>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</si>
  <si>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</si>
  <si>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</si>
  <si>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</si>
  <si>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</si>
  <si>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</si>
  <si>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</si>
  <si>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</si>
  <si>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</si>
  <si>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</si>
  <si>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</si>
  <si>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</si>
  <si>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</si>
  <si>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</si>
  <si>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</si>
  <si>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</si>
  <si>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</si>
  <si>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</si>
  <si>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</si>
  <si>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</si>
  <si>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</si>
  <si>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</si>
  <si>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</si>
  <si>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</si>
  <si>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</si>
  <si>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</si>
  <si>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</si>
  <si>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</si>
  <si>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</si>
  <si>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</si>
  <si>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</si>
  <si>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</si>
  <si>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</si>
  <si>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</si>
  <si>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</si>
  <si>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</si>
  <si>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</si>
  <si>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</si>
  <si>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</si>
  <si>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</si>
  <si>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</si>
  <si>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</si>
  <si>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</si>
  <si>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</si>
  <si>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</si>
  <si>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</si>
  <si>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</si>
  <si>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</si>
  <si>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</si>
  <si>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</si>
  <si>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</si>
  <si>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</si>
  <si>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</si>
  <si>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</si>
  <si>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</si>
  <si>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</si>
  <si>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</si>
  <si>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</si>
  <si>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</si>
  <si>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</si>
  <si>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</si>
  <si>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</si>
  <si>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</si>
  <si>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</si>
  <si>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</si>
  <si>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</si>
  <si>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</si>
  <si>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</si>
  <si>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</si>
  <si>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</si>
  <si>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</si>
  <si>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</si>
  <si>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</si>
  <si>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</si>
  <si>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</si>
  <si>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</si>
  <si>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</si>
  <si>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</si>
  <si>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</si>
  <si>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</si>
  <si>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</si>
  <si>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</si>
  <si>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</si>
  <si>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</si>
  <si>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</si>
  <si>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</si>
  <si>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</si>
  <si>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</si>
  <si>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</si>
  <si>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</si>
  <si>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</si>
  <si>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</si>
  <si>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</si>
  <si>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</si>
  <si>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</si>
  <si>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</si>
  <si>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</si>
  <si>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</si>
  <si>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</si>
  <si>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</si>
  <si>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</si>
  <si>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</si>
  <si>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</si>
  <si>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</si>
  <si>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</si>
  <si>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</si>
  <si>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</si>
  <si>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</si>
  <si>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</si>
  <si>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</si>
  <si>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</si>
  <si>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</si>
  <si>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</si>
  <si>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</si>
  <si>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</si>
  <si>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</si>
  <si>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</si>
  <si>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</si>
  <si>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</si>
  <si>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</si>
  <si>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</si>
  <si>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</si>
  <si>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</si>
  <si>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</si>
  <si>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</si>
  <si>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</si>
  <si>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</si>
  <si>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</si>
  <si>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</si>
  <si>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</si>
  <si>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</si>
  <si>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</si>
  <si>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</si>
  <si>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</si>
  <si>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</si>
  <si>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</si>
  <si>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</si>
  <si>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</si>
  <si>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</si>
  <si>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</si>
  <si>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</si>
  <si>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</si>
  <si>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</si>
  <si>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Potomac Cusd 10</t>
  </si>
  <si>
    <t>Vermilion</t>
  </si>
  <si>
    <t>7915 U.S. 136</t>
  </si>
  <si>
    <t>Potomac, Illinois</t>
  </si>
  <si>
    <t>maynardl@potomac.k12.il.us</t>
  </si>
  <si>
    <t>Larry Maynard</t>
  </si>
  <si>
    <t>217-987-6155</t>
  </si>
  <si>
    <t>Daughhetee and Parks Management Consulting PC</t>
  </si>
  <si>
    <t>Phyllis Parks</t>
  </si>
  <si>
    <t>2200 Kickapoo Drive Ste A</t>
  </si>
  <si>
    <t>IL</t>
  </si>
  <si>
    <t>Danville</t>
  </si>
  <si>
    <t>217-431-2727</t>
  </si>
  <si>
    <t>217-431-3273</t>
  </si>
  <si>
    <t>065-019320</t>
  </si>
  <si>
    <t>10-1620 this is for milk</t>
  </si>
  <si>
    <t>10-1790 this is for purchasing the weekly reader</t>
  </si>
  <si>
    <t>10-4400-300 this is for the Drug Free Schools expenses</t>
  </si>
  <si>
    <t>20-1999 this was an insurance reimbursement</t>
  </si>
  <si>
    <t>30-5400-600 service charge on bonds</t>
  </si>
  <si>
    <t>X</t>
  </si>
  <si>
    <t>2016 Working Cash Bond</t>
  </si>
  <si>
    <t>2013 Life Safety Bond</t>
  </si>
  <si>
    <t>2011 Working Cash Bond</t>
  </si>
  <si>
    <t>2006 Life Safety Bond</t>
  </si>
  <si>
    <t>2-5-106</t>
  </si>
  <si>
    <t>none</t>
  </si>
  <si>
    <t>Vermilion Association for Special Education</t>
  </si>
  <si>
    <t>Vermilion Vocational Education Delivery System</t>
  </si>
  <si>
    <t>Potomac Armstrong Sports Cooperative</t>
  </si>
  <si>
    <t>N/A</t>
  </si>
  <si>
    <t>Daughhetee &amp; Parks Management Consulting,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</si>
</sst>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762000</xdr:colOff>
          <xdr:row>6</xdr:row>
          <xdr:rowOff>85725</xdr:rowOff>
        </xdr:from>
        <xdr:to>
          <xdr:col>3</xdr:col>
          <xdr:colOff>228600</xdr:colOff>
          <xdr:row>22</xdr:row>
          <xdr:rowOff>76200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E24" sqref="AE2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54092010026</v>
      </c>
      <c r="B13" s="2004"/>
      <c r="C13" s="2004"/>
      <c r="D13" s="2004"/>
      <c r="E13" s="2004"/>
      <c r="F13" s="2004"/>
      <c r="G13" s="2004"/>
      <c r="H13" s="2005"/>
      <c r="I13" s="31"/>
      <c r="J13" s="30"/>
      <c r="K13" s="28"/>
      <c r="L13" s="30"/>
      <c r="M13" s="30"/>
      <c r="N13" s="30"/>
      <c r="O13" s="30"/>
      <c r="P13" s="30"/>
      <c r="Q13" s="30"/>
      <c r="R13" s="30"/>
      <c r="S13" s="30"/>
      <c r="T13" s="2008" t="s">
        <v>2085</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2079</v>
      </c>
      <c r="B15" s="2006"/>
      <c r="C15" s="2006"/>
      <c r="D15" s="2006"/>
      <c r="E15" s="2006"/>
      <c r="F15" s="2006"/>
      <c r="G15" s="2006"/>
      <c r="H15" s="2007"/>
      <c r="T15" s="1969" t="s">
        <v>2086</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2078</v>
      </c>
      <c r="B17" s="2031"/>
      <c r="C17" s="2031"/>
      <c r="D17" s="2031"/>
      <c r="E17" s="2031"/>
      <c r="F17" s="2031"/>
      <c r="G17" s="2031"/>
      <c r="H17" s="2032"/>
      <c r="T17" s="2018" t="s">
        <v>2087</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2080</v>
      </c>
      <c r="B19" s="2002"/>
      <c r="C19" s="2002"/>
      <c r="D19" s="2002"/>
      <c r="E19" s="2002"/>
      <c r="F19" s="2002"/>
      <c r="G19" s="2002"/>
      <c r="H19" s="2000"/>
      <c r="I19" s="30"/>
      <c r="J19" s="99"/>
      <c r="K19" s="40"/>
      <c r="L19" s="38"/>
      <c r="M19" s="112" t="s">
        <v>333</v>
      </c>
      <c r="P19" s="27"/>
      <c r="Q19" s="27"/>
      <c r="R19" s="27"/>
      <c r="S19" s="31"/>
      <c r="T19" s="2001" t="s">
        <v>2089</v>
      </c>
      <c r="U19" s="1999"/>
      <c r="V19" s="1999"/>
      <c r="W19" s="2000"/>
      <c r="X19" s="2016" t="s">
        <v>2088</v>
      </c>
      <c r="Y19" s="2017"/>
      <c r="Z19" s="2014">
        <v>61832</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2081</v>
      </c>
      <c r="B21" s="1999"/>
      <c r="C21" s="1999"/>
      <c r="D21" s="1999"/>
      <c r="E21" s="1999"/>
      <c r="F21" s="1999"/>
      <c r="G21" s="1999"/>
      <c r="H21" s="2000"/>
      <c r="I21" s="2024" t="s">
        <v>699</v>
      </c>
      <c r="J21" s="1987"/>
      <c r="K21" s="1987"/>
      <c r="L21" s="1987"/>
      <c r="M21" s="1987"/>
      <c r="N21" s="1987"/>
      <c r="O21" s="1987"/>
      <c r="P21" s="1987"/>
      <c r="Q21" s="1987"/>
      <c r="R21" s="1987"/>
      <c r="S21" s="1988"/>
      <c r="T21" s="1966" t="s">
        <v>2090</v>
      </c>
      <c r="U21" s="1967"/>
      <c r="V21" s="1967"/>
      <c r="W21" s="1967"/>
      <c r="X21" s="1980" t="s">
        <v>2091</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2082</v>
      </c>
      <c r="B23" s="2022"/>
      <c r="C23" s="2022"/>
      <c r="D23" s="2022"/>
      <c r="E23" s="2022"/>
      <c r="F23" s="2022"/>
      <c r="G23" s="2022"/>
      <c r="H23" s="2023"/>
      <c r="T23" s="1961" t="s">
        <v>2092</v>
      </c>
      <c r="U23" s="1962"/>
      <c r="V23" s="1962"/>
      <c r="W23" s="1962"/>
      <c r="X23" s="1977">
        <v>43373</v>
      </c>
      <c r="Y23" s="1978"/>
      <c r="Z23" s="1978"/>
      <c r="AA23" s="1979"/>
    </row>
    <row r="24" spans="1:27" ht="14.1" customHeight="1" x14ac:dyDescent="0.2">
      <c r="A24" s="88" t="s">
        <v>698</v>
      </c>
      <c r="B24" s="49"/>
      <c r="C24" s="49"/>
      <c r="D24" s="49"/>
      <c r="E24" s="49"/>
      <c r="F24" s="49"/>
      <c r="G24" s="49"/>
      <c r="H24" s="61"/>
      <c r="J24" s="2063" t="str">
        <f>IF(B5="x",IF(AUDITCHECK!D29="AFR form Incomplete.","",IF(AUDITCHECK!D29="Deficit reduction plan is required.","School District must complete a deficit reduction plan in the 2018-2019 Budget",)),"")</f>
        <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61865</v>
      </c>
      <c r="B25" s="1999"/>
      <c r="C25" s="1999"/>
      <c r="D25" s="1999"/>
      <c r="E25" s="1999"/>
      <c r="F25" s="1999"/>
      <c r="G25" s="1999"/>
      <c r="H25" s="2000"/>
      <c r="I25" s="113"/>
      <c r="J25" s="2065"/>
      <c r="K25" s="2065"/>
      <c r="L25" s="2065"/>
      <c r="M25" s="2065"/>
      <c r="N25" s="2065"/>
      <c r="O25" s="2065"/>
      <c r="P25" s="2065"/>
      <c r="Q25" s="2065"/>
      <c r="R25" s="2065"/>
      <c r="S25" s="2066"/>
      <c r="T25" s="1958"/>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2083</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2082</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2084</v>
      </c>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0" sqref="E1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541466</v>
      </c>
      <c r="C4" s="1546"/>
      <c r="D4" s="1774">
        <f>B4-C4</f>
        <v>541466</v>
      </c>
      <c r="E4" s="1546">
        <v>573818</v>
      </c>
      <c r="F4" s="1774">
        <f>E4-C4</f>
        <v>573818</v>
      </c>
    </row>
    <row r="5" spans="1:6" ht="13.7" customHeight="1" x14ac:dyDescent="0.2">
      <c r="A5" s="716" t="s">
        <v>925</v>
      </c>
      <c r="B5" s="1772">
        <f>'Revenues 9-14'!D5</f>
        <v>100271</v>
      </c>
      <c r="C5" s="585"/>
      <c r="D5" s="1775">
        <f t="shared" ref="D5:D18" si="0">B5-C5</f>
        <v>100271</v>
      </c>
      <c r="E5" s="585">
        <v>106263</v>
      </c>
      <c r="F5" s="1775">
        <f>E5-C5</f>
        <v>106263</v>
      </c>
    </row>
    <row r="6" spans="1:6" ht="13.7" customHeight="1" x14ac:dyDescent="0.2">
      <c r="A6" s="716" t="s">
        <v>431</v>
      </c>
      <c r="B6" s="1772">
        <f>'Revenues 9-14'!E5</f>
        <v>124775</v>
      </c>
      <c r="C6" s="585"/>
      <c r="D6" s="1775">
        <f t="shared" si="0"/>
        <v>124775</v>
      </c>
      <c r="E6" s="585">
        <v>125883</v>
      </c>
      <c r="F6" s="1775">
        <f t="shared" ref="F6:F18" si="1">E6-C6</f>
        <v>125883</v>
      </c>
    </row>
    <row r="7" spans="1:6" ht="13.7" customHeight="1" x14ac:dyDescent="0.2">
      <c r="A7" s="716" t="s">
        <v>157</v>
      </c>
      <c r="B7" s="1772">
        <f>'Revenues 9-14'!F5</f>
        <v>40109</v>
      </c>
      <c r="C7" s="585"/>
      <c r="D7" s="1775">
        <f t="shared" si="0"/>
        <v>40109</v>
      </c>
      <c r="E7" s="585">
        <v>42505</v>
      </c>
      <c r="F7" s="1775">
        <f t="shared" si="1"/>
        <v>42505</v>
      </c>
    </row>
    <row r="8" spans="1:6" ht="13.7" customHeight="1" x14ac:dyDescent="0.2">
      <c r="A8" s="716" t="s">
        <v>1241</v>
      </c>
      <c r="B8" s="1772">
        <f>'Revenues 9-14'!G5</f>
        <v>51583</v>
      </c>
      <c r="C8" s="585"/>
      <c r="D8" s="1775">
        <f t="shared" si="0"/>
        <v>51583</v>
      </c>
      <c r="E8" s="585">
        <f>26002+32666</f>
        <v>58668</v>
      </c>
      <c r="F8" s="1775">
        <f t="shared" si="1"/>
        <v>58668</v>
      </c>
    </row>
    <row r="9" spans="1:6" ht="13.7" customHeight="1" x14ac:dyDescent="0.2">
      <c r="A9" s="716" t="s">
        <v>428</v>
      </c>
      <c r="B9" s="1772">
        <f>'Revenues 9-14'!H5</f>
        <v>10027</v>
      </c>
      <c r="C9" s="585"/>
      <c r="D9" s="1775">
        <f t="shared" si="0"/>
        <v>10027</v>
      </c>
      <c r="E9" s="585">
        <v>10626</v>
      </c>
      <c r="F9" s="1775">
        <f t="shared" si="1"/>
        <v>10626</v>
      </c>
    </row>
    <row r="10" spans="1:6" ht="13.7" customHeight="1" x14ac:dyDescent="0.2">
      <c r="A10" s="716" t="s">
        <v>427</v>
      </c>
      <c r="B10" s="1772">
        <f>'Revenues 9-14'!I5</f>
        <v>10027</v>
      </c>
      <c r="C10" s="585"/>
      <c r="D10" s="1775">
        <f t="shared" si="0"/>
        <v>10027</v>
      </c>
      <c r="E10" s="585">
        <v>10626</v>
      </c>
      <c r="F10" s="1775">
        <f t="shared" si="1"/>
        <v>10626</v>
      </c>
    </row>
    <row r="11" spans="1:6" x14ac:dyDescent="0.2">
      <c r="A11" s="716" t="s">
        <v>429</v>
      </c>
      <c r="B11" s="1772">
        <f>'Revenues 9-14'!J5</f>
        <v>99195</v>
      </c>
      <c r="C11" s="585"/>
      <c r="D11" s="1775">
        <f t="shared" si="0"/>
        <v>99195</v>
      </c>
      <c r="E11" s="585">
        <v>100000</v>
      </c>
      <c r="F11" s="1775">
        <f t="shared" si="1"/>
        <v>100000</v>
      </c>
    </row>
    <row r="12" spans="1:6" ht="13.7" customHeight="1" x14ac:dyDescent="0.2">
      <c r="A12" s="716" t="s">
        <v>159</v>
      </c>
      <c r="B12" s="1772">
        <f>'Revenues 9-14'!K5</f>
        <v>10027</v>
      </c>
      <c r="C12" s="585"/>
      <c r="D12" s="1775">
        <f t="shared" si="0"/>
        <v>10027</v>
      </c>
      <c r="E12" s="585">
        <v>10626</v>
      </c>
      <c r="F12" s="1775">
        <f t="shared" si="1"/>
        <v>10626</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8022</v>
      </c>
      <c r="C14" s="585"/>
      <c r="D14" s="1775">
        <f t="shared" si="0"/>
        <v>8022</v>
      </c>
      <c r="E14" s="585">
        <v>8501</v>
      </c>
      <c r="F14" s="1775">
        <f t="shared" si="1"/>
        <v>8501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995502</v>
      </c>
      <c r="C19" s="1773">
        <f>SUM(C4:C18)</f>
        <v>0</v>
      </c>
      <c r="D19" s="1773">
        <f>SUM(D4:D18)</f>
        <v>995502</v>
      </c>
      <c r="E19" s="1773">
        <f>SUM(E4:E18)</f>
        <v>1047516</v>
      </c>
      <c r="F19" s="1773">
        <f>SUM(F4:F18)</f>
        <v>1047516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9" t="s">
        <v>2038</v>
      </c>
      <c r="D2" s="724" t="s">
        <v>2045</v>
      </c>
      <c r="E2" s="724" t="s">
        <v>2046</v>
      </c>
      <c r="F2" s="1909"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2099</v>
      </c>
      <c r="B31" s="734" t="s">
        <v>2103</v>
      </c>
      <c r="C31" s="735">
        <v>265000</v>
      </c>
      <c r="D31" s="736">
        <v>1</v>
      </c>
      <c r="E31" s="735">
        <v>225000</v>
      </c>
      <c r="F31" s="735"/>
      <c r="G31" s="735"/>
      <c r="H31" s="735">
        <v>55000</v>
      </c>
      <c r="I31" s="1778">
        <f>((E31+F31)-H31)+G31</f>
        <v>170000</v>
      </c>
      <c r="J31" s="735">
        <v>170000</v>
      </c>
      <c r="K31" s="737"/>
    </row>
    <row r="32" spans="1:11" ht="12" customHeight="1" x14ac:dyDescent="0.2">
      <c r="A32" s="733" t="s">
        <v>2100</v>
      </c>
      <c r="B32" s="734">
        <v>41395</v>
      </c>
      <c r="C32" s="735">
        <v>40000</v>
      </c>
      <c r="D32" s="736">
        <v>4</v>
      </c>
      <c r="E32" s="735">
        <v>40000</v>
      </c>
      <c r="F32" s="735"/>
      <c r="G32" s="735"/>
      <c r="H32" s="735"/>
      <c r="I32" s="1778">
        <f>((E32+F32)-H32)+G32</f>
        <v>40000</v>
      </c>
      <c r="J32" s="735">
        <v>40000</v>
      </c>
      <c r="K32" s="737"/>
    </row>
    <row r="33" spans="1:11" ht="12" customHeight="1" x14ac:dyDescent="0.2">
      <c r="A33" s="733" t="s">
        <v>2101</v>
      </c>
      <c r="B33" s="734">
        <v>40238</v>
      </c>
      <c r="C33" s="735">
        <v>200000</v>
      </c>
      <c r="D33" s="736">
        <v>1</v>
      </c>
      <c r="E33" s="735">
        <v>150000</v>
      </c>
      <c r="F33" s="735"/>
      <c r="G33" s="735"/>
      <c r="H33" s="735">
        <v>10000</v>
      </c>
      <c r="I33" s="1778">
        <f t="shared" ref="I33:I48" si="1">((E33+F33)-H33)+G33</f>
        <v>140000</v>
      </c>
      <c r="J33" s="735">
        <v>140000</v>
      </c>
      <c r="K33" s="737"/>
    </row>
    <row r="34" spans="1:11" ht="12" customHeight="1" x14ac:dyDescent="0.2">
      <c r="A34" s="733" t="s">
        <v>2102</v>
      </c>
      <c r="B34" s="734">
        <v>38991</v>
      </c>
      <c r="C34" s="735">
        <v>400000</v>
      </c>
      <c r="D34" s="736">
        <v>4</v>
      </c>
      <c r="E34" s="735">
        <v>200000</v>
      </c>
      <c r="F34" s="735"/>
      <c r="G34" s="735"/>
      <c r="H34" s="735">
        <v>35000</v>
      </c>
      <c r="I34" s="1778">
        <f t="shared" si="1"/>
        <v>165000</v>
      </c>
      <c r="J34" s="735">
        <v>165000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905000</v>
      </c>
      <c r="D49" s="746"/>
      <c r="E49" s="1778">
        <f t="shared" ref="E49:J49" si="2">SUM(E31:E48)</f>
        <v>615000</v>
      </c>
      <c r="F49" s="1778">
        <f t="shared" si="2"/>
        <v>0</v>
      </c>
      <c r="G49" s="1778">
        <f t="shared" si="2"/>
        <v>0</v>
      </c>
      <c r="H49" s="1778">
        <f t="shared" si="2"/>
        <v>100000</v>
      </c>
      <c r="I49" s="1778">
        <f t="shared" si="2"/>
        <v>515000</v>
      </c>
      <c r="J49" s="1778">
        <f t="shared" si="2"/>
        <v>515000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1" colorId="8" zoomScale="110" zoomScaleNormal="110" workbookViewId="0">
      <selection activeCell="D30" sqref="D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0</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0</v>
      </c>
      <c r="I23" s="1780">
        <f>SUM(I14:I16,I21,I22)</f>
        <v>0</v>
      </c>
      <c r="J23" s="1780">
        <f>SUM(J14:J16,J21,J22)</f>
        <v>0</v>
      </c>
      <c r="K23" s="1780">
        <f>SUM(K14:K16,K21,K22)</f>
        <v>0</v>
      </c>
    </row>
    <row r="24" spans="1:11" ht="14.25" thickTop="1" thickBot="1" x14ac:dyDescent="0.25">
      <c r="A24" s="2252" t="s">
        <v>2026</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N31" sqref="N3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6010</v>
      </c>
      <c r="D5" s="842"/>
      <c r="E5" s="842"/>
      <c r="F5" s="1782">
        <f>(C5+D5)-E5</f>
        <v>6010</v>
      </c>
      <c r="G5" s="838"/>
      <c r="H5" s="843"/>
      <c r="I5" s="843"/>
      <c r="J5" s="843"/>
      <c r="K5" s="794"/>
      <c r="L5" s="1791">
        <f>F5-K5</f>
        <v>6010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521835</v>
      </c>
      <c r="D8" s="845"/>
      <c r="E8" s="845"/>
      <c r="F8" s="1782">
        <f>(C8+D8)-E8</f>
        <v>521835</v>
      </c>
      <c r="G8" s="844">
        <v>50</v>
      </c>
      <c r="H8" s="766">
        <v>199280</v>
      </c>
      <c r="I8" s="766">
        <v>17916</v>
      </c>
      <c r="J8" s="766"/>
      <c r="K8" s="1791">
        <f>(H8+I8)-J8</f>
        <v>217196</v>
      </c>
      <c r="L8" s="1791">
        <f>F8-K8</f>
        <v>304639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735960</v>
      </c>
      <c r="D10" s="847"/>
      <c r="E10" s="847"/>
      <c r="F10" s="1786">
        <f>(C10+D10)-E10</f>
        <v>735960</v>
      </c>
      <c r="G10" s="844">
        <v>20</v>
      </c>
      <c r="H10" s="848">
        <v>397910</v>
      </c>
      <c r="I10" s="848">
        <v>36288</v>
      </c>
      <c r="J10" s="848"/>
      <c r="K10" s="1791">
        <f>(H10+I10)-J10</f>
        <v>434198</v>
      </c>
      <c r="L10" s="1791">
        <f>F10-K10</f>
        <v>301762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4286</v>
      </c>
      <c r="D12" s="845"/>
      <c r="E12" s="845"/>
      <c r="F12" s="1782">
        <f>(C12+D12)-E12</f>
        <v>4286</v>
      </c>
      <c r="G12" s="844">
        <v>10</v>
      </c>
      <c r="H12" s="766">
        <v>4286</v>
      </c>
      <c r="I12" s="766"/>
      <c r="J12" s="766"/>
      <c r="K12" s="1791">
        <f>(H12+I12)-J12</f>
        <v>4286</v>
      </c>
      <c r="L12" s="1791">
        <f>F12-K12</f>
        <v>0</v>
      </c>
    </row>
    <row r="13" spans="1:14" ht="14.25" thickTop="1" thickBot="1" x14ac:dyDescent="0.25">
      <c r="A13" s="849" t="s">
        <v>1184</v>
      </c>
      <c r="B13" s="841">
        <v>252</v>
      </c>
      <c r="C13" s="845">
        <v>105325</v>
      </c>
      <c r="D13" s="845"/>
      <c r="E13" s="845"/>
      <c r="F13" s="1782">
        <f>(C13+D13)-E13</f>
        <v>105325</v>
      </c>
      <c r="G13" s="844">
        <v>5</v>
      </c>
      <c r="H13" s="766">
        <v>94793</v>
      </c>
      <c r="I13" s="766">
        <v>10532</v>
      </c>
      <c r="J13" s="766"/>
      <c r="K13" s="1791">
        <f>(H13+I13)-J13</f>
        <v>105325</v>
      </c>
      <c r="L13" s="1791">
        <f>F13-K13</f>
        <v>0</v>
      </c>
    </row>
    <row r="14" spans="1:14" ht="14.25" thickTop="1" thickBot="1" x14ac:dyDescent="0.25">
      <c r="A14" s="849" t="s">
        <v>1185</v>
      </c>
      <c r="B14" s="841">
        <v>253</v>
      </c>
      <c r="C14" s="766">
        <v>64602</v>
      </c>
      <c r="D14" s="766">
        <v>12004</v>
      </c>
      <c r="E14" s="766"/>
      <c r="F14" s="1782">
        <f>(C14+D14)-E14</f>
        <v>76606</v>
      </c>
      <c r="G14" s="844">
        <v>3</v>
      </c>
      <c r="H14" s="766">
        <v>43784</v>
      </c>
      <c r="I14" s="766">
        <v>5214</v>
      </c>
      <c r="J14" s="766"/>
      <c r="K14" s="1791">
        <f>(H14+I14)-J14</f>
        <v>48998</v>
      </c>
      <c r="L14" s="1791">
        <f>F14-K14</f>
        <v>27608</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1438018</v>
      </c>
      <c r="D16" s="1782">
        <f>SUM(D3,D5:D6,D8:D10,D12:D15)</f>
        <v>12004</v>
      </c>
      <c r="E16" s="1782">
        <f>SUM(E3,E5:E6,E8:E10,E12:E15)</f>
        <v>0</v>
      </c>
      <c r="F16" s="1782">
        <f>SUM(F3,F5:F6,F8:F10,F12:F15)</f>
        <v>1450022</v>
      </c>
      <c r="G16" s="844"/>
      <c r="H16" s="1782">
        <f>SUM(H3,H6,H8:H10,H12:H14,)</f>
        <v>740053</v>
      </c>
      <c r="I16" s="1782">
        <f>SUM(I3,I6,I8:I10,I12:I14,)</f>
        <v>69950</v>
      </c>
      <c r="J16" s="1782">
        <f>SUM(J3,J6,J8:J10,J12:J14,)</f>
        <v>0</v>
      </c>
      <c r="K16" s="1782">
        <f>(H16+I16)-J16</f>
        <v>810003</v>
      </c>
      <c r="L16" s="1782">
        <f>F16-K16</f>
        <v>640019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69950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80" zoomScaleNormal="80" workbookViewId="0">
      <pane ySplit="5" topLeftCell="A6" activePane="bottomLeft" state="frozen"/>
      <selection activeCell="A47" sqref="A47"/>
      <selection pane="bottomLeft" activeCell="D164" sqref="D16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1616247</v>
      </c>
      <c r="G8" s="866"/>
    </row>
    <row r="9" spans="1:7" x14ac:dyDescent="0.2">
      <c r="A9" s="870" t="s">
        <v>480</v>
      </c>
      <c r="B9" s="871" t="s">
        <v>1989</v>
      </c>
      <c r="C9" s="872"/>
      <c r="D9" s="870" t="s">
        <v>522</v>
      </c>
      <c r="E9" s="869"/>
      <c r="F9" s="1935">
        <f>'Expenditures 15-22'!K151</f>
        <v>68935</v>
      </c>
      <c r="G9" s="873"/>
    </row>
    <row r="10" spans="1:7" x14ac:dyDescent="0.2">
      <c r="A10" s="870" t="s">
        <v>520</v>
      </c>
      <c r="B10" s="871" t="s">
        <v>1990</v>
      </c>
      <c r="C10" s="872"/>
      <c r="D10" s="870" t="s">
        <v>522</v>
      </c>
      <c r="E10" s="869"/>
      <c r="F10" s="1935">
        <f>'Expenditures 15-22'!K174</f>
        <v>127689</v>
      </c>
      <c r="G10" s="873"/>
    </row>
    <row r="11" spans="1:7" x14ac:dyDescent="0.2">
      <c r="A11" s="870" t="s">
        <v>481</v>
      </c>
      <c r="B11" s="871" t="s">
        <v>1991</v>
      </c>
      <c r="C11" s="872"/>
      <c r="D11" s="870" t="s">
        <v>522</v>
      </c>
      <c r="E11" s="869"/>
      <c r="F11" s="1935">
        <f>'Expenditures 15-22'!K210</f>
        <v>86550</v>
      </c>
      <c r="G11" s="873"/>
    </row>
    <row r="12" spans="1:7" x14ac:dyDescent="0.2">
      <c r="A12" s="870" t="s">
        <v>482</v>
      </c>
      <c r="B12" s="871" t="s">
        <v>1992</v>
      </c>
      <c r="C12" s="872"/>
      <c r="D12" s="870" t="s">
        <v>522</v>
      </c>
      <c r="E12" s="869"/>
      <c r="F12" s="1935">
        <f>'Expenditures 15-22'!K295</f>
        <v>43946</v>
      </c>
      <c r="G12" s="873"/>
    </row>
    <row r="13" spans="1:7" x14ac:dyDescent="0.2">
      <c r="A13" s="870" t="s">
        <v>108</v>
      </c>
      <c r="B13" s="871" t="s">
        <v>1993</v>
      </c>
      <c r="C13" s="872"/>
      <c r="D13" s="870" t="s">
        <v>522</v>
      </c>
      <c r="E13" s="869"/>
      <c r="F13" s="1935">
        <f>'Expenditures 15-22'!K342</f>
        <v>113184</v>
      </c>
      <c r="G13" s="874"/>
    </row>
    <row r="14" spans="1:7" ht="12" customHeight="1" thickBot="1" x14ac:dyDescent="0.25">
      <c r="A14" s="1792"/>
      <c r="B14" s="1793"/>
      <c r="C14" s="1794"/>
      <c r="D14" s="1795" t="s">
        <v>522</v>
      </c>
      <c r="E14" s="1796" t="s">
        <v>1015</v>
      </c>
      <c r="F14" s="1797">
        <f>SUM(F8:F13)</f>
        <v>2056551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13868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21272</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16211</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499760</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12004</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100000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1893</v>
      </c>
      <c r="G67" s="866"/>
    </row>
    <row r="68" spans="1:8" x14ac:dyDescent="0.2">
      <c r="A68" s="870" t="s">
        <v>482</v>
      </c>
      <c r="B68" s="870" t="s">
        <v>1555</v>
      </c>
      <c r="C68" s="887" t="str">
        <f>'Expenditures 15-22'!B218</f>
        <v>1225</v>
      </c>
      <c r="D68" s="893" t="str">
        <f>'Expenditures 15-22'!A218</f>
        <v>Special Education Programs - Pre-K</v>
      </c>
      <c r="E68" s="869"/>
      <c r="F68" s="1939">
        <f>'Expenditures 15-22'!K218</f>
        <v>176</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665184</v>
      </c>
      <c r="G76" s="866"/>
    </row>
    <row r="77" spans="1:8" s="894" customFormat="1" ht="12" customHeight="1" thickTop="1" thickBot="1" x14ac:dyDescent="0.25">
      <c r="A77" s="1801"/>
      <c r="B77" s="1798"/>
      <c r="C77" s="1794"/>
      <c r="D77" s="1799" t="s">
        <v>2012</v>
      </c>
      <c r="E77" s="1796"/>
      <c r="F77" s="1802">
        <f>(F14-F76)</f>
        <v>1391367</v>
      </c>
      <c r="G77" s="870"/>
    </row>
    <row r="78" spans="1:8" s="894" customFormat="1" ht="12" customHeight="1" thickTop="1" x14ac:dyDescent="0.2">
      <c r="A78" s="1803"/>
      <c r="B78" s="1798"/>
      <c r="C78" s="1794"/>
      <c r="D78" s="1799" t="s">
        <v>2059</v>
      </c>
      <c r="E78" s="1796"/>
      <c r="F78" s="899">
        <v>135.22</v>
      </c>
      <c r="G78" s="900"/>
      <c r="H78" s="870"/>
    </row>
    <row r="79" spans="1:8" s="894" customFormat="1" ht="12" customHeight="1" thickBot="1" x14ac:dyDescent="0.25">
      <c r="A79" s="1804"/>
      <c r="B79" s="1798"/>
      <c r="C79" s="1794"/>
      <c r="D79" s="1799" t="s">
        <v>2013</v>
      </c>
      <c r="E79" s="1796" t="s">
        <v>1015</v>
      </c>
      <c r="F79" s="1805">
        <f>IF(F78&gt;0,F77/F78," Complete Line 78")</f>
        <v>10289.653897352462</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24069</v>
      </c>
      <c r="G94" s="913"/>
    </row>
    <row r="95" spans="1:7" x14ac:dyDescent="0.2">
      <c r="A95" s="909" t="s">
        <v>142</v>
      </c>
      <c r="B95" s="909" t="s">
        <v>177</v>
      </c>
      <c r="C95" s="911">
        <v>1700</v>
      </c>
      <c r="D95" s="919" t="str">
        <f>'Revenues 9-14'!A82</f>
        <v>Total District/School Activity Income</v>
      </c>
      <c r="E95" s="907"/>
      <c r="F95" s="1811">
        <f>SUM('Revenues 9-14'!C82,'Revenues 9-14'!D82)</f>
        <v>3999</v>
      </c>
      <c r="G95" s="913"/>
    </row>
    <row r="96" spans="1:7" x14ac:dyDescent="0.2">
      <c r="A96" s="909" t="s">
        <v>479</v>
      </c>
      <c r="B96" s="909" t="s">
        <v>178</v>
      </c>
      <c r="C96" s="911">
        <f>'Revenues 9-14'!B84</f>
        <v>1811</v>
      </c>
      <c r="D96" s="912" t="str">
        <f>'Revenues 9-14'!A84</f>
        <v>Rentals - Regular Textbooks</v>
      </c>
      <c r="E96" s="907"/>
      <c r="F96" s="1811">
        <f>'Revenues 9-14'!C84</f>
        <v>3200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90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43893</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20918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655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64120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52063</v>
      </c>
      <c r="G129" s="931"/>
    </row>
    <row r="130" spans="1:7" x14ac:dyDescent="0.2">
      <c r="A130" s="928" t="s">
        <v>689</v>
      </c>
      <c r="B130" s="928" t="s">
        <v>804</v>
      </c>
      <c r="C130" s="933">
        <v>4300</v>
      </c>
      <c r="D130" s="934" t="str">
        <f>'Revenues 9-14'!A211</f>
        <v>Total Title I</v>
      </c>
      <c r="E130" s="907"/>
      <c r="F130" s="1811">
        <f>SUM('Revenues 9-14'!C211,'Revenues 9-14'!D211,'Revenues 9-14'!F211,'Revenues 9-14'!G211)</f>
        <v>30185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191</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2293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245676</v>
      </c>
    </row>
    <row r="179" spans="1:7" ht="12" customHeight="1" x14ac:dyDescent="0.2">
      <c r="A179" s="1792"/>
      <c r="B179" s="1806"/>
      <c r="C179" s="1807"/>
      <c r="D179" s="1808" t="s">
        <v>2015</v>
      </c>
      <c r="E179" s="1809"/>
      <c r="F179" s="1811">
        <f>'PCTC-OEPP 27-28'!F77-F178</f>
        <v>1145691</v>
      </c>
    </row>
    <row r="180" spans="1:7" ht="12" customHeight="1" x14ac:dyDescent="0.2">
      <c r="A180" s="1792"/>
      <c r="B180" s="1806"/>
      <c r="C180" s="1807"/>
      <c r="D180" s="1808" t="s">
        <v>1924</v>
      </c>
      <c r="E180" s="1809"/>
      <c r="F180" s="1811">
        <f>'Cap Outlay Deprec 26'!I18</f>
        <v>69950</v>
      </c>
    </row>
    <row r="181" spans="1:7" ht="12" customHeight="1" x14ac:dyDescent="0.2">
      <c r="A181" s="1792"/>
      <c r="B181" s="1806"/>
      <c r="C181" s="1807"/>
      <c r="D181" s="1808" t="s">
        <v>2016</v>
      </c>
      <c r="E181" s="1809"/>
      <c r="F181" s="1811">
        <f>F179+F180</f>
        <v>1215641</v>
      </c>
    </row>
    <row r="182" spans="1:7" ht="12" customHeight="1" x14ac:dyDescent="0.2">
      <c r="A182" s="1792"/>
      <c r="B182" s="1812"/>
      <c r="C182" s="1807"/>
      <c r="D182" s="1808" t="str">
        <f>D78</f>
        <v>9 Month ADA from District Average Daily Attendance/Prior General State Aid Inquiry 2017-2018</v>
      </c>
      <c r="E182" s="1809"/>
      <c r="F182" s="1813">
        <f>'PCTC-OEPP 27-28'!F78</f>
        <v>135.22</v>
      </c>
      <c r="G182" s="931"/>
    </row>
    <row r="183" spans="1:7" ht="12" customHeight="1" thickBot="1" x14ac:dyDescent="0.25">
      <c r="A183" s="1792"/>
      <c r="B183" s="1812"/>
      <c r="C183" s="1807"/>
      <c r="D183" s="1808" t="s">
        <v>2017</v>
      </c>
      <c r="E183" s="1809" t="s">
        <v>1626</v>
      </c>
      <c r="F183" s="1814">
        <f>F181/F182</f>
        <v>8990.0976186954595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8" sqref="A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2108</v>
      </c>
      <c r="B17" s="1956"/>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M32" sqref="M3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4" t="s">
        <v>1945</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744745</v>
      </c>
      <c r="F19" s="1822"/>
      <c r="G19" s="1824">
        <f>'Expenditures 15-22'!K33-SUM('Expenditures 15-22'!G33,'Expenditures 15-22'!I33)+'Expenditures 15-22'!D229</f>
        <v>744745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20468</v>
      </c>
      <c r="F21" s="1825"/>
      <c r="G21" s="1828">
        <f>'Expenditures 15-22'!K42-SUM('Expenditures 15-22'!G42,'Expenditures 15-22'!I42)+'Expenditures 15-22'!K120-SUM('Expenditures 15-22'!G120,'Expenditures 15-22'!I120)+'Expenditures 15-22'!K180-SUM('Expenditures 15-22'!G180,'Expenditures 15-22'!I180)+'Expenditures 15-22'!D238</f>
        <v>20468</v>
      </c>
      <c r="H21" s="988"/>
      <c r="I21" s="162"/>
    </row>
    <row r="22" spans="1:9" s="669" customFormat="1" ht="12" customHeight="1" x14ac:dyDescent="0.2">
      <c r="A22" s="995" t="s">
        <v>585</v>
      </c>
      <c r="B22" s="996"/>
      <c r="C22" s="994">
        <v>2200</v>
      </c>
      <c r="D22" s="1825"/>
      <c r="E22" s="1827">
        <f>'Expenditures 15-22'!K47-SUM('Expenditures 15-22'!G47,'Expenditures 15-22'!I47)+'Expenditures 15-22'!D243</f>
        <v>4067</v>
      </c>
      <c r="F22" s="1825"/>
      <c r="G22" s="1828">
        <f>'Expenditures 15-22'!K47-SUM('Expenditures 15-22'!G47,'Expenditures 15-22'!I47)+'Expenditures 15-22'!D243</f>
        <v>4067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219658</v>
      </c>
      <c r="F23" s="1825"/>
      <c r="G23" s="1827">
        <f>'Expenditures 15-22'!K53-SUM('Expenditures 15-22'!G53,'Expenditures 15-22'!I53)+'Expenditures 15-22'!D257+'Expenditures 15-22'!K330-SUM('Expenditures 15-22'!G330,'Expenditures 15-22'!I330)</f>
        <v>219658</v>
      </c>
      <c r="H23" s="988"/>
      <c r="I23" s="162"/>
    </row>
    <row r="24" spans="1:9" s="669" customFormat="1" ht="12" customHeight="1" x14ac:dyDescent="0.2">
      <c r="A24" s="995" t="s">
        <v>587</v>
      </c>
      <c r="B24" s="996"/>
      <c r="C24" s="994">
        <v>2400</v>
      </c>
      <c r="D24" s="1825"/>
      <c r="E24" s="1827">
        <f>'Expenditures 15-22'!K57-SUM('Expenditures 15-22'!G57,'Expenditures 15-22'!I57)+'Expenditures 15-22'!D261</f>
        <v>72194</v>
      </c>
      <c r="F24" s="1825"/>
      <c r="G24" s="1828">
        <f>'Expenditures 15-22'!K57-SUM('Expenditures 15-22'!G57,'Expenditures 15-22'!I57)+'Expenditures 15-22'!D261</f>
        <v>72194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4074</v>
      </c>
      <c r="E26" s="1827">
        <f>'Expenditures 15-22'!K122-SUM('Expenditures 15-22'!G122,'Expenditures 15-22'!I122)+E7</f>
        <v>0</v>
      </c>
      <c r="F26" s="1827">
        <f>'Expenditures 15-22'!K59-SUM('Expenditures 15-22'!G59,'Expenditures 15-22'!I59)+'Expenditures 15-22'!D263-E7</f>
        <v>4074</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49919</v>
      </c>
      <c r="E27" s="1827">
        <f>E8</f>
        <v>0</v>
      </c>
      <c r="F27" s="1827">
        <f>'Expenditures 15-22'!K60-SUM('Expenditures 15-22'!G60,'Expenditures 15-22'!I60)+'Expenditures 15-22'!D264-E8</f>
        <v>49919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89753</v>
      </c>
      <c r="F28" s="1829">
        <f>'Expenditures 15-22'!K61-SUM('Expenditures 15-22'!G61,'Expenditures 15-22'!I61)+'Expenditures 15-22'!K124-SUM('Expenditures 15-22'!G124,'Expenditures 15-22'!I124)+'Expenditures 15-22'!D266-E9</f>
        <v>89753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89683</v>
      </c>
      <c r="F29" s="1825"/>
      <c r="G29" s="1828">
        <f>'Expenditures 15-22'!K62-SUM('Expenditures 15-22'!G62,'Expenditures 15-22'!I62)+'Expenditures 15-22'!K125-SUM('Expenditures 15-22'!G125,'Expenditures 15-22'!I125)+'Expenditures 15-22'!K182-SUM('Expenditures 15-22'!G182,'Expenditures 15-22'!I182)+'Expenditures 15-22'!D267</f>
        <v>89683</v>
      </c>
      <c r="H29" s="986"/>
    </row>
    <row r="30" spans="1:9" ht="12" customHeight="1" x14ac:dyDescent="0.2">
      <c r="A30" s="995" t="s">
        <v>102</v>
      </c>
      <c r="B30" s="998"/>
      <c r="C30" s="994">
        <v>2560</v>
      </c>
      <c r="D30" s="1825"/>
      <c r="E30" s="1827">
        <f>'Expenditures 15-22'!K63-SUM('Expenditures 15-22'!G63,'Expenditures 15-22'!I63)+'Expenditures 15-22'!D268-E10</f>
        <v>122537</v>
      </c>
      <c r="F30" s="1825"/>
      <c r="G30" s="1827">
        <f>'Expenditures 15-22'!K63-SUM('Expenditures 15-22'!G63,'Expenditures 15-22'!I63)+'Expenditures 15-22'!D268-E10</f>
        <v>122537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53993</v>
      </c>
      <c r="E41" s="1829">
        <f>SUM(E19:E40)</f>
        <v>1363105</v>
      </c>
      <c r="F41" s="1829">
        <f>SUM(F19:F39)</f>
        <v>143746</v>
      </c>
      <c r="G41" s="1829">
        <f>SUM(G19:G40)</f>
        <v>1273352</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53993</v>
      </c>
      <c r="F43" s="1830" t="s">
        <v>495</v>
      </c>
      <c r="G43" s="1831">
        <f>F41</f>
        <v>143746</v>
      </c>
    </row>
    <row r="44" spans="1:7" ht="12" customHeight="1" x14ac:dyDescent="0.2">
      <c r="A44" s="988"/>
      <c r="B44" s="162"/>
      <c r="C44" s="1002"/>
      <c r="D44" s="1830" t="s">
        <v>494</v>
      </c>
      <c r="E44" s="1831">
        <f>E41</f>
        <v>1363105</v>
      </c>
      <c r="F44" s="1830" t="s">
        <v>494</v>
      </c>
      <c r="G44" s="1831">
        <f>G41</f>
        <v>1273352</v>
      </c>
    </row>
    <row r="45" spans="1:7" ht="12" customHeight="1" x14ac:dyDescent="0.2">
      <c r="A45" s="988"/>
      <c r="B45" s="162"/>
      <c r="C45" s="162"/>
      <c r="D45" s="1832" t="s">
        <v>1063</v>
      </c>
      <c r="E45" s="1833">
        <f>(E43/E44)</f>
        <v>3.9610301480810357E-2</v>
      </c>
      <c r="F45" s="1832" t="s">
        <v>1063</v>
      </c>
      <c r="G45" s="1833">
        <f>(G43/G44)</f>
        <v>0.11288787389504237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0" t="s">
        <v>1446</v>
      </c>
      <c r="B1" s="2310"/>
      <c r="C1" s="2310"/>
      <c r="D1" s="2310"/>
      <c r="E1" s="2310"/>
      <c r="F1" s="2310"/>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1" t="s">
        <v>1627</v>
      </c>
      <c r="B5" s="2312"/>
      <c r="C5" s="2313"/>
      <c r="D5" s="2313"/>
      <c r="E5" s="2313"/>
      <c r="F5" s="2313"/>
    </row>
    <row r="6" spans="1:10" ht="12" customHeight="1" x14ac:dyDescent="0.25">
      <c r="A6" s="1875"/>
      <c r="B6" s="1876"/>
      <c r="C6" s="2314" t="str">
        <f>COVER!A17</f>
        <v>Potomac Cusd 10</v>
      </c>
      <c r="D6" s="2314"/>
      <c r="E6" s="2314"/>
      <c r="F6" s="1877"/>
    </row>
    <row r="7" spans="1:10" ht="11.25" customHeight="1" thickBot="1" x14ac:dyDescent="0.3">
      <c r="A7" s="1875"/>
      <c r="B7" s="1876"/>
      <c r="C7" s="2315">
        <f>COVER!A13</f>
        <v>54092010026</v>
      </c>
      <c r="D7" s="2315"/>
      <c r="E7" s="2315"/>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t="s">
        <v>2077</v>
      </c>
      <c r="D27" s="1890" t="s">
        <v>2077</v>
      </c>
      <c r="E27" s="1893" t="s">
        <v>2104</v>
      </c>
      <c r="F27" s="1892" t="s">
        <v>2105</v>
      </c>
      <c r="H27" s="1903">
        <f t="shared" si="0"/>
        <v>5</v>
      </c>
      <c r="I27" s="1903">
        <f t="shared" si="1"/>
        <v>5</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2104</v>
      </c>
      <c r="F30" s="1892" t="s">
        <v>2106</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t="s">
        <v>2104</v>
      </c>
      <c r="F32" s="1892" t="s">
        <v>2107</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8"/>
      <c r="B39" s="1898"/>
      <c r="C39" s="1898"/>
      <c r="D39" s="1898"/>
      <c r="E39" s="1898"/>
      <c r="F39" s="1898"/>
    </row>
    <row r="40" spans="1:11" s="1895" customFormat="1" ht="12" customHeight="1" x14ac:dyDescent="0.25">
      <c r="A40" s="1899" t="s">
        <v>1458</v>
      </c>
      <c r="B40" s="1900"/>
      <c r="C40" s="2324"/>
      <c r="D40" s="2324"/>
      <c r="E40" s="2324"/>
      <c r="F40" s="2325"/>
      <c r="H40" s="1904"/>
      <c r="I40" s="1904"/>
      <c r="J40" s="1904"/>
      <c r="K40" s="1904"/>
    </row>
    <row r="41" spans="1:11" s="1895" customFormat="1" ht="12" customHeight="1" x14ac:dyDescent="0.25">
      <c r="A41" s="2326"/>
      <c r="B41" s="2327"/>
      <c r="C41" s="2327"/>
      <c r="D41" s="2327"/>
      <c r="E41" s="2327"/>
      <c r="F41" s="2328"/>
      <c r="H41" s="1904"/>
      <c r="I41" s="1904"/>
      <c r="J41" s="1904"/>
      <c r="K41" s="1904"/>
    </row>
    <row r="42" spans="1:11" s="1895" customFormat="1" ht="12" customHeight="1" x14ac:dyDescent="0.25">
      <c r="A42" s="2326"/>
      <c r="B42" s="2327"/>
      <c r="C42" s="2327"/>
      <c r="D42" s="2327"/>
      <c r="E42" s="2327"/>
      <c r="F42" s="2328"/>
      <c r="H42" s="1904"/>
      <c r="I42" s="1904"/>
      <c r="J42" s="1904"/>
      <c r="K42" s="1904"/>
    </row>
    <row r="43" spans="1:11" s="1895" customFormat="1" ht="15" x14ac:dyDescent="0.25">
      <c r="A43" s="2318"/>
      <c r="B43" s="2319"/>
      <c r="C43" s="2319"/>
      <c r="D43" s="2319"/>
      <c r="E43" s="2319"/>
      <c r="F43" s="2320"/>
      <c r="H43" s="1904"/>
      <c r="I43" s="1904"/>
      <c r="J43" s="1904"/>
      <c r="K43" s="1904"/>
    </row>
    <row r="44" spans="1:11" s="1895" customFormat="1" ht="12" hidden="1" customHeight="1" x14ac:dyDescent="0.25">
      <c r="A44" s="2318"/>
      <c r="B44" s="2319"/>
      <c r="C44" s="2319"/>
      <c r="D44" s="2319"/>
      <c r="E44" s="2319"/>
      <c r="F44" s="232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D1"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Potomac Cusd 10</v>
      </c>
      <c r="J6" s="2335"/>
      <c r="Q6" s="1686"/>
    </row>
    <row r="7" spans="1:17" x14ac:dyDescent="0.2">
      <c r="A7" s="2336" t="s">
        <v>924</v>
      </c>
      <c r="B7" s="2337"/>
      <c r="C7" s="2337"/>
      <c r="D7" s="2337"/>
      <c r="E7" s="2338"/>
      <c r="F7" s="1018"/>
      <c r="G7" s="1010"/>
      <c r="H7" s="1017" t="s">
        <v>390</v>
      </c>
      <c r="I7" s="2339">
        <f>COVER!A13</f>
        <v>54092010026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61152</v>
      </c>
      <c r="F12" s="1040"/>
      <c r="G12" s="1834">
        <f t="shared" ref="G12:G18" si="0">SUM(E12:F12)</f>
        <v>61152</v>
      </c>
      <c r="H12" s="1041">
        <v>54000</v>
      </c>
      <c r="I12" s="1040"/>
      <c r="J12" s="1834">
        <f t="shared" ref="J12:J18" si="1">SUM(H12:I12)</f>
        <v>54000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61152</v>
      </c>
      <c r="F19" s="1836">
        <f t="shared" si="2"/>
        <v>0</v>
      </c>
      <c r="G19" s="1836">
        <f t="shared" si="2"/>
        <v>61152</v>
      </c>
      <c r="H19" s="1836">
        <f t="shared" si="2"/>
        <v>54000</v>
      </c>
      <c r="I19" s="1836">
        <f t="shared" si="2"/>
        <v>0</v>
      </c>
      <c r="J19" s="1836">
        <f t="shared" si="2"/>
        <v>54000</v>
      </c>
    </row>
    <row r="20" spans="1:10" ht="13.5" thickTop="1" x14ac:dyDescent="0.2">
      <c r="A20" s="1036">
        <v>9</v>
      </c>
      <c r="B20" s="2346" t="s">
        <v>1703</v>
      </c>
      <c r="C20" s="2346"/>
      <c r="D20" s="2347"/>
      <c r="E20" s="1047"/>
      <c r="F20" s="1047"/>
      <c r="G20" s="1047"/>
      <c r="H20" s="1047"/>
      <c r="I20" s="1047"/>
      <c r="J20" s="1837">
        <f>IF(AND(G19&gt;0,J19&gt;0),(((J19-G19)/G19)),"Enter Budget Data")</f>
        <v>-0.11695447409733124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G33" sqref="G3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2093</v>
      </c>
    </row>
    <row r="6" spans="1:2" x14ac:dyDescent="0.2">
      <c r="A6" s="1069">
        <v>2</v>
      </c>
      <c r="B6" s="329" t="s">
        <v>2094</v>
      </c>
    </row>
    <row r="7" spans="1:2" x14ac:dyDescent="0.2">
      <c r="A7" s="1069">
        <v>3</v>
      </c>
      <c r="B7" s="329" t="s">
        <v>2095</v>
      </c>
    </row>
    <row r="8" spans="1:2" x14ac:dyDescent="0.2">
      <c r="A8" s="1069">
        <v>4</v>
      </c>
      <c r="B8" s="329" t="s">
        <v>2096</v>
      </c>
    </row>
    <row r="9" spans="1:2" x14ac:dyDescent="0.2">
      <c r="A9" s="1070">
        <v>5</v>
      </c>
      <c r="B9" s="329" t="s">
        <v>2097</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Potomac Cusd 10</v>
      </c>
    </row>
    <row r="65" spans="2:2" x14ac:dyDescent="0.2">
      <c r="B65" s="1071">
        <f>COVER!A13</f>
        <v>54092010026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9" sqref="B2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pdfxml.1" dvAspect="DVASPECT_ICON" shapeId="35841" r:id="rId4">
          <objectPr defaultSize="0" autoPict="0" r:id="rId5">
            <anchor moveWithCells="1">
              <from>
                <xdr:col>1</xdr:col>
                <xdr:colOff>762000</xdr:colOff>
                <xdr:row>6</xdr:row>
                <xdr:rowOff>85725</xdr:rowOff>
              </from>
              <to>
                <xdr:col>3</xdr:col>
                <xdr:colOff>228600</xdr:colOff>
                <xdr:row>22</xdr:row>
                <xdr:rowOff>76200</xdr:rowOff>
              </to>
            </anchor>
          </objectPr>
        </oleObject>
      </mc:Choice>
      <mc:Fallback>
        <oleObject progId="AcroExch.pdfxml.1"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1850767</v>
      </c>
      <c r="C8" s="1838">
        <f>'Acct Summary 7-8'!D8</f>
        <v>109212</v>
      </c>
      <c r="D8" s="1838">
        <f>'Acct Summary 7-8'!F8</f>
        <v>105084</v>
      </c>
      <c r="E8" s="1838">
        <f>'Acct Summary 7-8'!I8</f>
        <v>11024</v>
      </c>
      <c r="F8" s="1838">
        <f>SUM(B8:E8)</f>
        <v>2076087</v>
      </c>
    </row>
    <row r="9" spans="1:8" s="1080" customFormat="1" ht="14.25" customHeight="1" thickBot="1" x14ac:dyDescent="0.25">
      <c r="A9" s="1079" t="s">
        <v>1436</v>
      </c>
      <c r="B9" s="1839">
        <f>'Acct Summary 7-8'!C17</f>
        <v>1616247</v>
      </c>
      <c r="C9" s="1839">
        <f>'Acct Summary 7-8'!D17</f>
        <v>68935</v>
      </c>
      <c r="D9" s="1839">
        <f>'Acct Summary 7-8'!F17</f>
        <v>86550</v>
      </c>
      <c r="E9" s="1838"/>
      <c r="F9" s="1838">
        <f>SUM(B9:E9)</f>
        <v>1771732</v>
      </c>
    </row>
    <row r="10" spans="1:8" s="1080" customFormat="1" ht="14.25" thickTop="1" thickBot="1" x14ac:dyDescent="0.25">
      <c r="A10" s="1081" t="s">
        <v>1437</v>
      </c>
      <c r="B10" s="1840">
        <f>(B8-B9)</f>
        <v>234520</v>
      </c>
      <c r="C10" s="1840">
        <f>(C8-C9)</f>
        <v>40277</v>
      </c>
      <c r="D10" s="1840">
        <f>(D8-D9)</f>
        <v>18534</v>
      </c>
      <c r="E10" s="1839">
        <f>(E8-E9)</f>
        <v>11024</v>
      </c>
      <c r="F10" s="1841">
        <f>SUM(F8-F9)</f>
        <v>304355</v>
      </c>
    </row>
    <row r="11" spans="1:8" s="1080" customFormat="1" ht="14.25" thickTop="1" thickBot="1" x14ac:dyDescent="0.25">
      <c r="A11" s="1082" t="s">
        <v>1785</v>
      </c>
      <c r="B11" s="1842">
        <f>'Acct Summary 7-8'!C81</f>
        <v>1024088</v>
      </c>
      <c r="C11" s="1842">
        <f>'Acct Summary 7-8'!D81</f>
        <v>59204</v>
      </c>
      <c r="D11" s="1842">
        <f>'Acct Summary 7-8'!F81</f>
        <v>169204</v>
      </c>
      <c r="E11" s="1842">
        <f>'Acct Summary 7-8'!I81</f>
        <v>402922</v>
      </c>
      <c r="F11" s="1843">
        <f>SUM(B11:E11)</f>
        <v>1655418</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1"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54092010026</v>
      </c>
    </row>
    <row r="3" spans="1:2" x14ac:dyDescent="0.2">
      <c r="A3" t="s">
        <v>1013</v>
      </c>
      <c r="B3" s="138" t="str">
        <f>COVER!A15</f>
        <v>Vermilion</v>
      </c>
    </row>
    <row r="4" spans="1:2" x14ac:dyDescent="0.2">
      <c r="A4" t="s">
        <v>1064</v>
      </c>
      <c r="B4" s="138" t="str">
        <f>COVER!A17</f>
        <v>Potomac Cusd 10</v>
      </c>
    </row>
    <row r="5" spans="1:2" x14ac:dyDescent="0.2">
      <c r="A5" t="s">
        <v>728</v>
      </c>
      <c r="B5" s="138" t="str">
        <f>COVER!A38</f>
        <v>Larry Maynard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065-019320</v>
      </c>
    </row>
    <row r="16" spans="1:2" x14ac:dyDescent="0.2">
      <c r="A16" t="s">
        <v>442</v>
      </c>
      <c r="B16" s="138" t="str">
        <f>COVER!T13</f>
        <v>Daughhetee and Parks Management Consulting PC</v>
      </c>
    </row>
    <row r="17" spans="1:2" x14ac:dyDescent="0.2">
      <c r="A17" t="s">
        <v>939</v>
      </c>
      <c r="B17" s="138" t="str">
        <f>COVER!T15</f>
        <v>Phyllis Parks</v>
      </c>
    </row>
    <row r="18" spans="1:2" x14ac:dyDescent="0.2">
      <c r="A18" t="s">
        <v>1212</v>
      </c>
      <c r="B18" s="138" t="str">
        <f>COVER!T17</f>
        <v>2200 Kickapoo Drive Ste A</v>
      </c>
    </row>
    <row r="19" spans="1:2" x14ac:dyDescent="0.2">
      <c r="A19" t="s">
        <v>941</v>
      </c>
      <c r="B19" s="138">
        <f>COVER!T25</f>
        <v>0</v>
      </c>
    </row>
    <row r="20" spans="1:2" x14ac:dyDescent="0.2">
      <c r="A20" t="s">
        <v>942</v>
      </c>
      <c r="B20" s="138" t="str">
        <f>COVER!T19</f>
        <v>Danville</v>
      </c>
    </row>
    <row r="21" spans="1:2" x14ac:dyDescent="0.2">
      <c r="A21" t="s">
        <v>500</v>
      </c>
      <c r="B21" s="138" t="str">
        <f>COVER!X19</f>
        <v>IL</v>
      </c>
    </row>
    <row r="22" spans="1:2" x14ac:dyDescent="0.2">
      <c r="A22" t="s">
        <v>943</v>
      </c>
      <c r="B22" s="138">
        <f>COVER!Z19</f>
        <v>61832</v>
      </c>
    </row>
    <row r="23" spans="1:2" x14ac:dyDescent="0.2">
      <c r="A23" t="s">
        <v>1214</v>
      </c>
      <c r="B23" s="138" t="str">
        <f>COVER!T21</f>
        <v>217-431-2727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1024088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1018665</v>
      </c>
      <c r="D92" s="2" t="str">
        <f t="shared" si="0"/>
        <v>Error?</v>
      </c>
    </row>
    <row r="93" spans="1:4" x14ac:dyDescent="0.2">
      <c r="A93" s="5">
        <v>32</v>
      </c>
      <c r="B93" s="138">
        <f>'Assets-Liab 5-6'!C41</f>
        <v>1024088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59204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59204</v>
      </c>
      <c r="D123" s="2" t="str">
        <f t="shared" si="0"/>
        <v>Error?</v>
      </c>
    </row>
    <row r="124" spans="1:4" x14ac:dyDescent="0.2">
      <c r="A124" s="5">
        <v>63</v>
      </c>
      <c r="B124" s="138">
        <f>'Assets-Liab 5-6'!D41</f>
        <v>59204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169204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169204</v>
      </c>
      <c r="D170" s="2" t="str">
        <f t="shared" si="1"/>
        <v>Error?</v>
      </c>
    </row>
    <row r="171" spans="1:4" x14ac:dyDescent="0.2">
      <c r="A171" s="5">
        <v>110</v>
      </c>
      <c r="B171" s="138">
        <f>'Assets-Liab 5-6'!F41</f>
        <v>169204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7010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7010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10045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10045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6010</v>
      </c>
      <c r="D273" s="2" t="str">
        <f t="shared" si="3"/>
        <v>Error?</v>
      </c>
    </row>
    <row r="274" spans="1:4" x14ac:dyDescent="0.2">
      <c r="A274" s="5">
        <v>213</v>
      </c>
      <c r="B274" s="138">
        <f>'Assets-Liab 5-6'!M17</f>
        <v>606401</v>
      </c>
      <c r="D274" s="2" t="str">
        <f t="shared" si="3"/>
        <v>Error?</v>
      </c>
    </row>
    <row r="275" spans="1:4" x14ac:dyDescent="0.2">
      <c r="A275" s="5">
        <v>214</v>
      </c>
      <c r="B275" s="138">
        <f>'Assets-Liab 5-6'!M18</f>
        <v>0</v>
      </c>
      <c r="D275" s="2" t="str">
        <f t="shared" si="3"/>
        <v>Error?</v>
      </c>
    </row>
    <row r="276" spans="1:4" x14ac:dyDescent="0.2">
      <c r="A276" s="5">
        <v>215</v>
      </c>
      <c r="B276" s="138">
        <f>'Assets-Liab 5-6'!M19</f>
        <v>27608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640019</v>
      </c>
      <c r="C279" s="2" t="s">
        <v>594</v>
      </c>
      <c r="D279" s="2" t="str">
        <f t="shared" si="3"/>
        <v>Error?</v>
      </c>
    </row>
    <row r="280" spans="1:4" x14ac:dyDescent="0.2">
      <c r="A280" s="5">
        <v>219</v>
      </c>
      <c r="B280" s="138">
        <f>'Assets-Liab 5-6'!M40</f>
        <v>640019</v>
      </c>
      <c r="D280" s="2" t="str">
        <f t="shared" si="3"/>
        <v>Error?</v>
      </c>
    </row>
    <row r="281" spans="1:4" x14ac:dyDescent="0.2">
      <c r="A281" s="5">
        <v>220</v>
      </c>
      <c r="B281" s="138">
        <f>'Assets-Liab 5-6'!M41</f>
        <v>640019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515000</v>
      </c>
      <c r="D283" s="2" t="str">
        <f t="shared" si="3"/>
        <v>Error?</v>
      </c>
    </row>
    <row r="284" spans="1:4" x14ac:dyDescent="0.2">
      <c r="A284" s="5">
        <v>223</v>
      </c>
      <c r="B284" s="138">
        <f>'Assets-Liab 5-6'!N23</f>
        <v>515000</v>
      </c>
      <c r="C284" s="2" t="s">
        <v>594</v>
      </c>
      <c r="D284" s="2" t="str">
        <f t="shared" si="3"/>
        <v>Error?</v>
      </c>
    </row>
    <row r="285" spans="1:4" x14ac:dyDescent="0.2">
      <c r="A285" s="5">
        <v>224</v>
      </c>
      <c r="B285" s="138">
        <f>'Assets-Liab 5-6'!N36</f>
        <v>515000</v>
      </c>
      <c r="D285" s="2" t="str">
        <f t="shared" si="3"/>
        <v>Error?</v>
      </c>
    </row>
    <row r="286" spans="1:4" x14ac:dyDescent="0.2">
      <c r="A286" s="10">
        <v>225</v>
      </c>
      <c r="D286" s="2" t="str">
        <f t="shared" si="3"/>
        <v>OK</v>
      </c>
    </row>
    <row r="287" spans="1:4" x14ac:dyDescent="0.2">
      <c r="A287" s="5">
        <v>226</v>
      </c>
      <c r="B287" s="138">
        <f>'Assets-Liab 5-6'!N37</f>
        <v>515000</v>
      </c>
      <c r="C287" s="2" t="s">
        <v>594</v>
      </c>
      <c r="D287" s="2" t="str">
        <f t="shared" si="3"/>
        <v>Error?</v>
      </c>
    </row>
    <row r="288" spans="1:4" x14ac:dyDescent="0.2">
      <c r="A288" s="5">
        <v>227</v>
      </c>
      <c r="B288" s="138">
        <f>'Assets-Liab 5-6'!N41</f>
        <v>515000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465268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15217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607581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15327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15327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900</v>
      </c>
      <c r="D732" s="2" t="str">
        <f t="shared" si="10"/>
        <v>Error?</v>
      </c>
    </row>
    <row r="733" spans="1:4" x14ac:dyDescent="0.2">
      <c r="A733" s="5">
        <v>672</v>
      </c>
      <c r="B733" s="138">
        <f>'Expenditures 15-22'!C50</f>
        <v>40425</v>
      </c>
      <c r="D733" s="2" t="str">
        <f t="shared" si="10"/>
        <v>Error?</v>
      </c>
    </row>
    <row r="734" spans="1:4" x14ac:dyDescent="0.2">
      <c r="A734" s="5">
        <v>673</v>
      </c>
      <c r="B734" s="138">
        <f>'Expenditures 15-22'!C53</f>
        <v>41325</v>
      </c>
      <c r="C734" s="2" t="s">
        <v>594</v>
      </c>
      <c r="D734" s="2" t="str">
        <f t="shared" si="10"/>
        <v>Error?</v>
      </c>
    </row>
    <row r="735" spans="1:4" x14ac:dyDescent="0.2">
      <c r="A735" s="5">
        <v>674</v>
      </c>
      <c r="B735" s="138">
        <f>'Expenditures 15-22'!C55</f>
        <v>61305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61305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41846</v>
      </c>
      <c r="D739" s="2" t="str">
        <f t="shared" si="10"/>
        <v>Error?</v>
      </c>
    </row>
    <row r="740" spans="1:4" x14ac:dyDescent="0.2">
      <c r="A740" s="5">
        <v>679</v>
      </c>
      <c r="B740" s="138">
        <f>'Expenditures 15-22'!C61</f>
        <v>23147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64912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129905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247862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855443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58720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1206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69512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7404</v>
      </c>
      <c r="D791" s="2" t="str">
        <f t="shared" si="11"/>
        <v>Error?</v>
      </c>
    </row>
    <row r="792" spans="1:4" x14ac:dyDescent="0.2">
      <c r="A792" s="5">
        <v>731</v>
      </c>
      <c r="B792" s="138">
        <f>'Expenditures 15-22'!D53</f>
        <v>7404</v>
      </c>
      <c r="C792" s="2" t="s">
        <v>594</v>
      </c>
      <c r="D792" s="2" t="str">
        <f t="shared" si="11"/>
        <v>Error?</v>
      </c>
    </row>
    <row r="793" spans="1:4" x14ac:dyDescent="0.2">
      <c r="A793" s="5">
        <v>732</v>
      </c>
      <c r="B793" s="138">
        <f>'Expenditures 15-22'!D55</f>
        <v>4673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4673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12177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81689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5557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4430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9987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4027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4027</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3075</v>
      </c>
      <c r="D845" s="2" t="str">
        <f t="shared" si="12"/>
        <v>Error?</v>
      </c>
    </row>
    <row r="846" spans="1:4" x14ac:dyDescent="0.2">
      <c r="A846" s="5">
        <v>785</v>
      </c>
      <c r="B846" s="138">
        <f>'Expenditures 15-22'!E46</f>
        <v>257</v>
      </c>
      <c r="D846" s="2" t="str">
        <f t="shared" si="12"/>
        <v>Error?</v>
      </c>
    </row>
    <row r="847" spans="1:4" x14ac:dyDescent="0.2">
      <c r="A847" s="5">
        <v>786</v>
      </c>
      <c r="B847" s="138">
        <f>'Expenditures 15-22'!E47</f>
        <v>3332</v>
      </c>
      <c r="C847" s="2" t="s">
        <v>594</v>
      </c>
      <c r="D847" s="2" t="str">
        <f t="shared" si="12"/>
        <v>Error?</v>
      </c>
    </row>
    <row r="848" spans="1:4" x14ac:dyDescent="0.2">
      <c r="A848" s="5">
        <v>787</v>
      </c>
      <c r="B848" s="138">
        <f>'Expenditures 15-22'!E49</f>
        <v>43429</v>
      </c>
      <c r="D848" s="2" t="str">
        <f t="shared" si="12"/>
        <v>Error?</v>
      </c>
    </row>
    <row r="849" spans="1:4" x14ac:dyDescent="0.2">
      <c r="A849" s="5">
        <v>788</v>
      </c>
      <c r="B849" s="138">
        <f>'Expenditures 15-22'!E50</f>
        <v>5480</v>
      </c>
      <c r="D849" s="2" t="str">
        <f t="shared" si="12"/>
        <v>Error?</v>
      </c>
    </row>
    <row r="850" spans="1:4" x14ac:dyDescent="0.2">
      <c r="A850" s="5">
        <v>789</v>
      </c>
      <c r="B850" s="138">
        <f>'Expenditures 15-22'!E53</f>
        <v>48909</v>
      </c>
      <c r="C850" s="2" t="s">
        <v>594</v>
      </c>
      <c r="D850" s="2" t="str">
        <f t="shared" si="12"/>
        <v>Error?</v>
      </c>
    </row>
    <row r="851" spans="1:4" x14ac:dyDescent="0.2">
      <c r="A851" s="5">
        <v>790</v>
      </c>
      <c r="B851" s="138">
        <f>'Expenditures 15-22'!E55</f>
        <v>884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884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580</v>
      </c>
      <c r="D855" s="2" t="str">
        <f t="shared" si="12"/>
        <v>Error?</v>
      </c>
    </row>
    <row r="856" spans="1:4" x14ac:dyDescent="0.2">
      <c r="A856" s="5">
        <v>795</v>
      </c>
      <c r="B856" s="138">
        <f>'Expenditures 15-22'!E61</f>
        <v>3968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5164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62316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572063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7115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1989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24730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782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782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v>
      </c>
      <c r="D903" s="2" t="str">
        <f t="shared" si="13"/>
        <v>Error?</v>
      </c>
    </row>
    <row r="904" spans="1:4" x14ac:dyDescent="0.2">
      <c r="A904" s="5">
        <v>843</v>
      </c>
      <c r="B904" s="138">
        <f>'Expenditures 15-22'!F46</f>
        <v>722</v>
      </c>
      <c r="D904" s="2" t="str">
        <f t="shared" si="13"/>
        <v>Error?</v>
      </c>
    </row>
    <row r="905" spans="1:4" x14ac:dyDescent="0.2">
      <c r="A905" s="5">
        <v>844</v>
      </c>
      <c r="B905" s="138">
        <f>'Expenditures 15-22'!F47</f>
        <v>735</v>
      </c>
      <c r="C905" s="2" t="s">
        <v>594</v>
      </c>
      <c r="D905" s="2" t="str">
        <f t="shared" si="13"/>
        <v>Error?</v>
      </c>
    </row>
    <row r="906" spans="1:4" x14ac:dyDescent="0.2">
      <c r="A906" s="5">
        <v>845</v>
      </c>
      <c r="B906" s="138">
        <f>'Expenditures 15-22'!F49</f>
        <v>441</v>
      </c>
      <c r="D906" s="2" t="str">
        <f t="shared" si="13"/>
        <v>Error?</v>
      </c>
    </row>
    <row r="907" spans="1:4" x14ac:dyDescent="0.2">
      <c r="A907" s="5">
        <v>846</v>
      </c>
      <c r="B907" s="138">
        <f>'Expenditures 15-22'!F50</f>
        <v>6670</v>
      </c>
      <c r="D907" s="2" t="str">
        <f t="shared" si="13"/>
        <v>Error?</v>
      </c>
    </row>
    <row r="908" spans="1:4" x14ac:dyDescent="0.2">
      <c r="A908" s="5">
        <v>847</v>
      </c>
      <c r="B908" s="138">
        <f>'Expenditures 15-22'!F53</f>
        <v>7111</v>
      </c>
      <c r="C908" s="2" t="s">
        <v>594</v>
      </c>
      <c r="D908" s="2" t="str">
        <f t="shared" si="13"/>
        <v>Error?</v>
      </c>
    </row>
    <row r="909" spans="1:4" x14ac:dyDescent="0.2">
      <c r="A909" s="5">
        <v>848</v>
      </c>
      <c r="B909" s="138">
        <f>'Expenditures 15-22'!F55</f>
        <v>1779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1779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48188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48962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59369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84099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1496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17731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110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110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1173</v>
      </c>
      <c r="D1023" s="2" t="str">
        <f t="shared" ref="D1023:D1086" si="15">IF(ISBLANK(B1023),"OK",IF(A1023-B1023=0,"OK","Error?"))</f>
        <v>Error?</v>
      </c>
    </row>
    <row r="1024" spans="1:4" x14ac:dyDescent="0.2">
      <c r="A1024" s="5">
        <v>963</v>
      </c>
      <c r="B1024" s="138">
        <f>'Expenditures 15-22'!H53</f>
        <v>1173</v>
      </c>
      <c r="C1024" s="2" t="s">
        <v>594</v>
      </c>
      <c r="D1024" s="2" t="str">
        <f t="shared" si="15"/>
        <v>Error?</v>
      </c>
    </row>
    <row r="1025" spans="1:4" x14ac:dyDescent="0.2">
      <c r="A1025" s="5">
        <v>964</v>
      </c>
      <c r="B1025" s="138">
        <f>'Expenditures 15-22'!H55</f>
        <v>3553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3553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161</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386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5222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22953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536684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24338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729541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20246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20246</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3088</v>
      </c>
      <c r="C1117" s="2" t="s">
        <v>594</v>
      </c>
      <c r="D1117" s="2" t="str">
        <f t="shared" si="16"/>
        <v>Error?</v>
      </c>
    </row>
    <row r="1118" spans="1:4" x14ac:dyDescent="0.2">
      <c r="A1118" s="5">
        <v>1057</v>
      </c>
      <c r="B1118" s="138">
        <f>'Expenditures 15-22'!K46</f>
        <v>979</v>
      </c>
      <c r="C1118" s="2" t="s">
        <v>594</v>
      </c>
      <c r="D1118" s="2" t="str">
        <f t="shared" si="16"/>
        <v>Error?</v>
      </c>
    </row>
    <row r="1119" spans="1:4" x14ac:dyDescent="0.2">
      <c r="A1119" s="5">
        <v>1058</v>
      </c>
      <c r="B1119" s="138">
        <f>'Expenditures 15-22'!K47</f>
        <v>4067</v>
      </c>
      <c r="C1119" s="2" t="s">
        <v>594</v>
      </c>
      <c r="D1119" s="2" t="str">
        <f t="shared" si="16"/>
        <v>Error?</v>
      </c>
    </row>
    <row r="1120" spans="1:4" x14ac:dyDescent="0.2">
      <c r="A1120" s="5">
        <v>1059</v>
      </c>
      <c r="B1120" s="138">
        <f>'Expenditures 15-22'!K49</f>
        <v>44770</v>
      </c>
      <c r="C1120" s="2" t="s">
        <v>594</v>
      </c>
      <c r="D1120" s="2" t="str">
        <f t="shared" si="16"/>
        <v>Error?</v>
      </c>
    </row>
    <row r="1121" spans="1:4" x14ac:dyDescent="0.2">
      <c r="A1121" s="5">
        <v>1060</v>
      </c>
      <c r="B1121" s="138">
        <f>'Expenditures 15-22'!K50</f>
        <v>61152</v>
      </c>
      <c r="C1121" s="2" t="s">
        <v>594</v>
      </c>
      <c r="D1121" s="2" t="str">
        <f t="shared" si="16"/>
        <v>Error?</v>
      </c>
    </row>
    <row r="1122" spans="1:4" x14ac:dyDescent="0.2">
      <c r="A1122" s="5">
        <v>1061</v>
      </c>
      <c r="B1122" s="138">
        <f>'Expenditures 15-22'!K53</f>
        <v>105922</v>
      </c>
      <c r="C1122" s="2" t="s">
        <v>594</v>
      </c>
      <c r="D1122" s="2" t="str">
        <f t="shared" si="16"/>
        <v>Error?</v>
      </c>
    </row>
    <row r="1123" spans="1:4" x14ac:dyDescent="0.2">
      <c r="A1123" s="5">
        <v>1062</v>
      </c>
      <c r="B1123" s="138">
        <f>'Expenditures 15-22'!K55</f>
        <v>72194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72194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43300</v>
      </c>
      <c r="C1127" s="2" t="s">
        <v>594</v>
      </c>
      <c r="D1127" s="2" t="str">
        <f t="shared" si="16"/>
        <v>Error?</v>
      </c>
    </row>
    <row r="1128" spans="1:4" x14ac:dyDescent="0.2">
      <c r="A1128" s="5">
        <v>1067</v>
      </c>
      <c r="B1128" s="138">
        <f>'Expenditures 15-22'!K61</f>
        <v>27276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113941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184517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386946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499760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1616247</v>
      </c>
      <c r="C1152" s="2" t="s">
        <v>594</v>
      </c>
      <c r="D1152" s="2" t="str">
        <f t="shared" si="17"/>
        <v>Error?</v>
      </c>
    </row>
    <row r="1153" spans="1:4" x14ac:dyDescent="0.2">
      <c r="A1153" s="5">
        <v>1092</v>
      </c>
      <c r="B1153" s="138">
        <f>'Expenditures 15-22'!K115</f>
        <v>234520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41605</v>
      </c>
      <c r="D1237" s="2" t="str">
        <f t="shared" si="18"/>
        <v>Error?</v>
      </c>
    </row>
    <row r="1238" spans="1:4" x14ac:dyDescent="0.2">
      <c r="A1238" s="10">
        <v>1177</v>
      </c>
      <c r="D1238" s="2" t="str">
        <f t="shared" si="18"/>
        <v>OK</v>
      </c>
    </row>
    <row r="1239" spans="1:4" x14ac:dyDescent="0.2">
      <c r="A1239" s="5">
        <v>1178</v>
      </c>
      <c r="B1239" s="138">
        <f>'Expenditures 15-22'!E127</f>
        <v>41605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41605</v>
      </c>
      <c r="C1241" s="2" t="s">
        <v>594</v>
      </c>
      <c r="D1241" s="2" t="str">
        <f t="shared" si="18"/>
        <v>Error?</v>
      </c>
    </row>
    <row r="1242" spans="1:4" x14ac:dyDescent="0.2">
      <c r="A1242" s="5">
        <v>1181</v>
      </c>
      <c r="B1242" s="138">
        <f>'Expenditures 15-22'!E151</f>
        <v>41605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13422</v>
      </c>
      <c r="D1245" s="2" t="str">
        <f t="shared" si="18"/>
        <v>Error?</v>
      </c>
    </row>
    <row r="1246" spans="1:4" x14ac:dyDescent="0.2">
      <c r="A1246" s="10">
        <v>1185</v>
      </c>
      <c r="D1246" s="2" t="str">
        <f t="shared" si="18"/>
        <v>OK</v>
      </c>
    </row>
    <row r="1247" spans="1:4" x14ac:dyDescent="0.2">
      <c r="A1247" s="5">
        <v>1186</v>
      </c>
      <c r="B1247" s="138">
        <f>'Expenditures 15-22'!F127</f>
        <v>13422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13422</v>
      </c>
      <c r="C1249" s="2" t="s">
        <v>594</v>
      </c>
      <c r="D1249" s="2" t="str">
        <f t="shared" si="18"/>
        <v>Error?</v>
      </c>
    </row>
    <row r="1250" spans="1:4" x14ac:dyDescent="0.2">
      <c r="A1250" s="5">
        <v>1189</v>
      </c>
      <c r="B1250" s="138">
        <f>'Expenditures 15-22'!F151</f>
        <v>13422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12004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12004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12004</v>
      </c>
      <c r="C1258" s="2" t="s">
        <v>594</v>
      </c>
      <c r="D1258" s="2" t="str">
        <f t="shared" si="18"/>
        <v>Error?</v>
      </c>
    </row>
    <row r="1259" spans="1:4" x14ac:dyDescent="0.2">
      <c r="A1259" s="5">
        <v>1198</v>
      </c>
      <c r="B1259" s="138">
        <f>'Expenditures 15-22'!G151</f>
        <v>12004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1904</v>
      </c>
      <c r="D1262" s="2" t="str">
        <f t="shared" si="18"/>
        <v>Error?</v>
      </c>
    </row>
    <row r="1263" spans="1:4" x14ac:dyDescent="0.2">
      <c r="A1263" s="10">
        <v>1202</v>
      </c>
      <c r="D1263" s="2" t="str">
        <f t="shared" si="18"/>
        <v>OK</v>
      </c>
    </row>
    <row r="1264" spans="1:4" x14ac:dyDescent="0.2">
      <c r="A1264" s="5">
        <v>1203</v>
      </c>
      <c r="B1264" s="138">
        <f>'Expenditures 15-22'!H127</f>
        <v>1904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1904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1904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68935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68935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68935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68935</v>
      </c>
      <c r="C1288" s="2" t="s">
        <v>594</v>
      </c>
      <c r="D1288" s="2" t="str">
        <f t="shared" si="19"/>
        <v>Error?</v>
      </c>
    </row>
    <row r="1289" spans="1:4" x14ac:dyDescent="0.2">
      <c r="A1289" s="5">
        <v>1228</v>
      </c>
      <c r="B1289" s="138">
        <f>'Expenditures 15-22'!K152</f>
        <v>40277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25789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100000</v>
      </c>
      <c r="D1315" s="2" t="str">
        <f t="shared" si="19"/>
        <v>Error?</v>
      </c>
    </row>
    <row r="1316" spans="1:4" x14ac:dyDescent="0.2">
      <c r="A1316" s="5">
        <v>1255</v>
      </c>
      <c r="B1316" s="138">
        <f>'Expenditures 15-22'!H171</f>
        <v>1900</v>
      </c>
      <c r="D1316" s="2" t="str">
        <f t="shared" si="19"/>
        <v>Error?</v>
      </c>
    </row>
    <row r="1317" spans="1:4" x14ac:dyDescent="0.2">
      <c r="A1317" s="5">
        <v>1256</v>
      </c>
      <c r="B1317" s="138">
        <f>'Expenditures 15-22'!H172</f>
        <v>127689</v>
      </c>
      <c r="C1317" s="2" t="s">
        <v>594</v>
      </c>
      <c r="D1317" s="2" t="str">
        <f t="shared" si="19"/>
        <v>Error?</v>
      </c>
    </row>
    <row r="1318" spans="1:4" x14ac:dyDescent="0.2">
      <c r="A1318" s="5">
        <v>1257</v>
      </c>
      <c r="B1318" s="138">
        <f>'Expenditures 15-22'!H174</f>
        <v>127689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25789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100000</v>
      </c>
      <c r="C1329" s="2" t="s">
        <v>594</v>
      </c>
      <c r="D1329" s="2" t="str">
        <f t="shared" si="19"/>
        <v>Error?</v>
      </c>
    </row>
    <row r="1330" spans="1:4" x14ac:dyDescent="0.2">
      <c r="A1330" s="5">
        <v>1269</v>
      </c>
      <c r="B1330" s="138">
        <f>'Expenditures 15-22'!K171</f>
        <v>1900</v>
      </c>
      <c r="C1330" s="2" t="s">
        <v>594</v>
      </c>
      <c r="D1330" s="2" t="str">
        <f t="shared" si="19"/>
        <v>Error?</v>
      </c>
    </row>
    <row r="1331" spans="1:4" x14ac:dyDescent="0.2">
      <c r="A1331" s="5">
        <v>1270</v>
      </c>
      <c r="B1331" s="138">
        <f>'Expenditures 15-22'!K172</f>
        <v>127689</v>
      </c>
      <c r="C1331" s="2" t="s">
        <v>594</v>
      </c>
      <c r="D1331" s="2" t="str">
        <f t="shared" si="19"/>
        <v>Error?</v>
      </c>
    </row>
    <row r="1332" spans="1:4" x14ac:dyDescent="0.2">
      <c r="A1332" s="5">
        <v>1271</v>
      </c>
      <c r="B1332" s="138">
        <f>'Expenditures 15-22'!K174</f>
        <v>127689</v>
      </c>
      <c r="C1332" s="2" t="s">
        <v>594</v>
      </c>
      <c r="D1332" s="2" t="str">
        <f t="shared" si="19"/>
        <v>Error?</v>
      </c>
    </row>
    <row r="1333" spans="1:4" x14ac:dyDescent="0.2">
      <c r="A1333" s="5">
        <v>1272</v>
      </c>
      <c r="B1333" s="138">
        <f>'Expenditures 15-22'!K175</f>
        <v>-190</v>
      </c>
      <c r="C1333" s="2" t="s">
        <v>594</v>
      </c>
      <c r="D1333" s="2" t="str">
        <f t="shared" si="19"/>
        <v>Error?</v>
      </c>
    </row>
    <row r="1334" spans="1:4" x14ac:dyDescent="0.2">
      <c r="A1334" s="10">
        <v>1273</v>
      </c>
      <c r="D1334" s="2" t="str">
        <f t="shared" si="19"/>
        <v>OK</v>
      </c>
    </row>
    <row r="1335" spans="1:4" x14ac:dyDescent="0.2">
      <c r="A1335" s="5">
        <v>1274</v>
      </c>
      <c r="B1335" s="138">
        <f>'Expenditures 15-22'!C182</f>
        <v>44202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44202</v>
      </c>
      <c r="C1339" s="2" t="s">
        <v>594</v>
      </c>
      <c r="D1339" s="2" t="str">
        <f t="shared" si="19"/>
        <v>Error?</v>
      </c>
    </row>
    <row r="1340" spans="1:4" x14ac:dyDescent="0.2">
      <c r="A1340" s="5">
        <v>1279</v>
      </c>
      <c r="B1340" s="138">
        <f>'Expenditures 15-22'!C210</f>
        <v>44202</v>
      </c>
      <c r="C1340" s="2" t="s">
        <v>594</v>
      </c>
      <c r="D1340" s="2" t="str">
        <f t="shared" si="19"/>
        <v>Error?</v>
      </c>
    </row>
    <row r="1341" spans="1:4" x14ac:dyDescent="0.2">
      <c r="A1341" s="5">
        <v>1280</v>
      </c>
      <c r="B1341" s="138">
        <f>'Expenditures 15-22'!D182</f>
        <v>1001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1001</v>
      </c>
      <c r="C1345" s="2" t="s">
        <v>594</v>
      </c>
      <c r="D1345" s="2" t="str">
        <f t="shared" si="20"/>
        <v>Error?</v>
      </c>
    </row>
    <row r="1346" spans="1:4" x14ac:dyDescent="0.2">
      <c r="A1346" s="5">
        <v>1285</v>
      </c>
      <c r="B1346" s="138">
        <f>'Expenditures 15-22'!D210</f>
        <v>1001</v>
      </c>
      <c r="C1346" s="2" t="s">
        <v>594</v>
      </c>
      <c r="D1346" s="2" t="str">
        <f t="shared" si="20"/>
        <v>Error?</v>
      </c>
    </row>
    <row r="1347" spans="1:4" x14ac:dyDescent="0.2">
      <c r="A1347" s="5">
        <v>1286</v>
      </c>
      <c r="B1347" s="138">
        <f>'Expenditures 15-22'!E182</f>
        <v>28132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28132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28132</v>
      </c>
      <c r="C1353" s="2" t="s">
        <v>594</v>
      </c>
      <c r="D1353" s="2" t="str">
        <f t="shared" si="20"/>
        <v>Error?</v>
      </c>
    </row>
    <row r="1354" spans="1:4" x14ac:dyDescent="0.2">
      <c r="A1354" s="5">
        <v>1293</v>
      </c>
      <c r="B1354" s="138">
        <f>'Expenditures 15-22'!F182</f>
        <v>12403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12403</v>
      </c>
      <c r="C1358" s="2" t="s">
        <v>594</v>
      </c>
      <c r="D1358" s="2" t="str">
        <f t="shared" si="20"/>
        <v>Error?</v>
      </c>
    </row>
    <row r="1359" spans="1:4" x14ac:dyDescent="0.2">
      <c r="A1359" s="5">
        <v>1298</v>
      </c>
      <c r="B1359" s="138">
        <f>'Expenditures 15-22'!F210</f>
        <v>12403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812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812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812</v>
      </c>
      <c r="C1376" s="2" t="s">
        <v>594</v>
      </c>
      <c r="D1376" s="2" t="str">
        <f t="shared" si="20"/>
        <v>Error?</v>
      </c>
    </row>
    <row r="1377" spans="1:4" x14ac:dyDescent="0.2">
      <c r="A1377" s="5">
        <v>1316</v>
      </c>
      <c r="B1377" s="138">
        <f>'Expenditures 15-22'!K182</f>
        <v>86550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86550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86550</v>
      </c>
      <c r="C1388" s="2" t="s">
        <v>594</v>
      </c>
      <c r="D1388" s="2" t="str">
        <f t="shared" si="20"/>
        <v>Error?</v>
      </c>
    </row>
    <row r="1389" spans="1:4" x14ac:dyDescent="0.2">
      <c r="A1389" s="5">
        <v>1328</v>
      </c>
      <c r="B1389" s="138">
        <f>'Expenditures 15-22'!K211</f>
        <v>18534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15204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222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552</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552</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4074</v>
      </c>
      <c r="D1428" s="2" t="str">
        <f t="shared" si="21"/>
        <v>Error?</v>
      </c>
    </row>
    <row r="1429" spans="1:4" x14ac:dyDescent="0.2">
      <c r="A1429" s="5">
        <v>1368</v>
      </c>
      <c r="B1429" s="138">
        <f>'Expenditures 15-22'!D264</f>
        <v>6619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5546</v>
      </c>
      <c r="D1431" s="2" t="str">
        <f t="shared" si="21"/>
        <v>Error?</v>
      </c>
    </row>
    <row r="1432" spans="1:4" x14ac:dyDescent="0.2">
      <c r="A1432" s="5">
        <v>1371</v>
      </c>
      <c r="B1432" s="138">
        <f>'Expenditures 15-22'!D267</f>
        <v>3133</v>
      </c>
      <c r="D1432" s="2" t="str">
        <f t="shared" si="21"/>
        <v>Error?</v>
      </c>
    </row>
    <row r="1433" spans="1:4" x14ac:dyDescent="0.2">
      <c r="A1433" s="5">
        <v>1372</v>
      </c>
      <c r="B1433" s="138">
        <f>'Expenditures 15-22'!D268</f>
        <v>8596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27968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28742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43946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891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15204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222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222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552</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552</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4074</v>
      </c>
      <c r="C1492" s="2" t="s">
        <v>594</v>
      </c>
      <c r="D1492" s="2" t="str">
        <f t="shared" si="22"/>
        <v>Error?</v>
      </c>
    </row>
    <row r="1493" spans="1:4" x14ac:dyDescent="0.2">
      <c r="A1493" s="5">
        <v>1432</v>
      </c>
      <c r="B1493" s="138">
        <f>'Expenditures 15-22'!K264</f>
        <v>6619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5546</v>
      </c>
      <c r="C1495" s="2" t="s">
        <v>594</v>
      </c>
      <c r="D1495" s="2" t="str">
        <f t="shared" si="22"/>
        <v>Error?</v>
      </c>
    </row>
    <row r="1496" spans="1:4" x14ac:dyDescent="0.2">
      <c r="A1496" s="5">
        <v>1435</v>
      </c>
      <c r="B1496" s="138">
        <f>'Expenditures 15-22'!K267</f>
        <v>3133</v>
      </c>
      <c r="C1496" s="2" t="s">
        <v>594</v>
      </c>
      <c r="D1496" s="2" t="str">
        <f t="shared" si="22"/>
        <v>Error?</v>
      </c>
    </row>
    <row r="1497" spans="1:4" x14ac:dyDescent="0.2">
      <c r="A1497" s="5">
        <v>1436</v>
      </c>
      <c r="B1497" s="138">
        <f>'Expenditures 15-22'!K268</f>
        <v>8596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27968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28742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43946</v>
      </c>
      <c r="C1517" s="2" t="s">
        <v>594</v>
      </c>
      <c r="D1517" s="2" t="str">
        <f t="shared" si="22"/>
        <v>Error?</v>
      </c>
    </row>
    <row r="1518" spans="1:4" x14ac:dyDescent="0.2">
      <c r="A1518" s="5">
        <v>1457</v>
      </c>
      <c r="B1518" s="138">
        <f>'Expenditures 15-22'!K296</f>
        <v>11494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10045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789568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1024088</v>
      </c>
      <c r="C1630" s="2" t="s">
        <v>594</v>
      </c>
      <c r="D1630" s="2" t="str">
        <f t="shared" si="24"/>
        <v>Error?</v>
      </c>
    </row>
    <row r="1631" spans="1:4" x14ac:dyDescent="0.2">
      <c r="A1631" s="5">
        <v>1570</v>
      </c>
      <c r="B1631" s="138">
        <f>'Acct Summary 7-8'!D79</f>
        <v>18927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59204</v>
      </c>
      <c r="C1644" s="2" t="s">
        <v>594</v>
      </c>
      <c r="D1644" s="2" t="str">
        <f t="shared" si="24"/>
        <v>Error?</v>
      </c>
    </row>
    <row r="1645" spans="1:4" x14ac:dyDescent="0.2">
      <c r="A1645" s="5">
        <v>1584</v>
      </c>
      <c r="B1645" s="138">
        <f>'Acct Summary 7-8'!E79</f>
        <v>225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v>
      </c>
      <c r="C1658" s="2" t="s">
        <v>594</v>
      </c>
      <c r="D1658" s="2" t="str">
        <f t="shared" si="24"/>
        <v>Error?</v>
      </c>
    </row>
    <row r="1659" spans="1:4" x14ac:dyDescent="0.2">
      <c r="A1659" s="5">
        <v>1598</v>
      </c>
      <c r="B1659" s="138">
        <f>'Acct Summary 7-8'!F79</f>
        <v>150670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169204</v>
      </c>
      <c r="C1672" s="2" t="s">
        <v>594</v>
      </c>
      <c r="D1672" s="2" t="str">
        <f t="shared" si="25"/>
        <v>Error?</v>
      </c>
    </row>
    <row r="1673" spans="1:4" x14ac:dyDescent="0.2">
      <c r="A1673" s="5">
        <v>1612</v>
      </c>
      <c r="B1673" s="138">
        <f>'Acct Summary 7-8'!G79</f>
        <v>-4484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7010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10045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541466</v>
      </c>
      <c r="C1744" s="2" t="s">
        <v>594</v>
      </c>
      <c r="D1744" s="2" t="str">
        <f t="shared" si="26"/>
        <v>Error?</v>
      </c>
    </row>
    <row r="1745" spans="1:5" x14ac:dyDescent="0.2">
      <c r="A1745" s="5">
        <v>1684</v>
      </c>
      <c r="B1745" s="138">
        <f>'Tax Sched 23'!B5</f>
        <v>100271</v>
      </c>
      <c r="C1745" s="2" t="s">
        <v>594</v>
      </c>
      <c r="D1745" s="2" t="str">
        <f t="shared" si="26"/>
        <v>Error?</v>
      </c>
    </row>
    <row r="1746" spans="1:5" x14ac:dyDescent="0.2">
      <c r="A1746" s="5">
        <v>1685</v>
      </c>
      <c r="B1746" s="138">
        <f>'Tax Sched 23'!B6</f>
        <v>124775</v>
      </c>
      <c r="C1746" s="2" t="s">
        <v>594</v>
      </c>
      <c r="D1746" s="2" t="str">
        <f t="shared" si="26"/>
        <v>Error?</v>
      </c>
    </row>
    <row r="1747" spans="1:5" x14ac:dyDescent="0.2">
      <c r="A1747" s="5">
        <v>1686</v>
      </c>
      <c r="B1747" s="138">
        <f>'Tax Sched 23'!B7</f>
        <v>40109</v>
      </c>
      <c r="C1747" s="2" t="s">
        <v>594</v>
      </c>
      <c r="D1747" s="2" t="str">
        <f t="shared" si="26"/>
        <v>Error?</v>
      </c>
    </row>
    <row r="1748" spans="1:5" x14ac:dyDescent="0.2">
      <c r="A1748" s="5">
        <v>1687</v>
      </c>
      <c r="B1748" s="138">
        <f>'Tax Sched 23'!B8</f>
        <v>51583</v>
      </c>
      <c r="C1748" s="2" t="s">
        <v>594</v>
      </c>
      <c r="D1748" s="2" t="str">
        <f t="shared" si="26"/>
        <v>Error?</v>
      </c>
    </row>
    <row r="1749" spans="1:5" x14ac:dyDescent="0.2">
      <c r="A1749" s="5">
        <v>1688</v>
      </c>
      <c r="B1749" s="138">
        <f>'Tax Sched 23'!B10</f>
        <v>10027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10027</v>
      </c>
      <c r="C1751" s="2" t="s">
        <v>594</v>
      </c>
      <c r="D1751" s="2" t="str">
        <f t="shared" si="26"/>
        <v>Error?</v>
      </c>
    </row>
    <row r="1752" spans="1:5" x14ac:dyDescent="0.2">
      <c r="A1752" s="5">
        <v>1691</v>
      </c>
      <c r="B1752" s="138">
        <f>'Tax Sched 23'!B11</f>
        <v>99195</v>
      </c>
      <c r="C1752" s="2" t="s">
        <v>594</v>
      </c>
      <c r="D1752" s="2" t="str">
        <f t="shared" si="26"/>
        <v>Error?</v>
      </c>
    </row>
    <row r="1753" spans="1:5" x14ac:dyDescent="0.2">
      <c r="A1753" s="5">
        <v>1692</v>
      </c>
      <c r="B1753" s="138">
        <f>'Tax Sched 23'!B12</f>
        <v>10027</v>
      </c>
      <c r="C1753" s="2" t="s">
        <v>594</v>
      </c>
      <c r="D1753" s="2" t="str">
        <f t="shared" si="26"/>
        <v>Error?</v>
      </c>
    </row>
    <row r="1754" spans="1:5" x14ac:dyDescent="0.2">
      <c r="A1754" s="5">
        <v>1693</v>
      </c>
      <c r="B1754" s="138">
        <f>'Tax Sched 23'!B14</f>
        <v>8022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995502</v>
      </c>
      <c r="C1759" s="2" t="s">
        <v>594</v>
      </c>
      <c r="D1759" s="2" t="str">
        <f t="shared" si="26"/>
        <v>Error?</v>
      </c>
    </row>
    <row r="1760" spans="1:5" x14ac:dyDescent="0.2">
      <c r="A1760" s="5">
        <v>1699</v>
      </c>
      <c r="B1760" s="138">
        <f>'Tax Sched 23'!D4</f>
        <v>541466</v>
      </c>
      <c r="C1760" s="2" t="s">
        <v>594</v>
      </c>
      <c r="D1760" s="2" t="str">
        <f t="shared" si="26"/>
        <v>Error?</v>
      </c>
    </row>
    <row r="1761" spans="1:5" x14ac:dyDescent="0.2">
      <c r="A1761" s="5">
        <v>1700</v>
      </c>
      <c r="B1761" s="138">
        <f>'Tax Sched 23'!D5</f>
        <v>100271</v>
      </c>
      <c r="C1761" s="2" t="s">
        <v>594</v>
      </c>
      <c r="D1761" s="2" t="str">
        <f t="shared" si="26"/>
        <v>Error?</v>
      </c>
    </row>
    <row r="1762" spans="1:5" s="8" customFormat="1" x14ac:dyDescent="0.2">
      <c r="A1762" s="5">
        <v>1701</v>
      </c>
      <c r="B1762" s="138">
        <f>'Tax Sched 23'!D6</f>
        <v>124775</v>
      </c>
      <c r="C1762" s="2" t="s">
        <v>594</v>
      </c>
      <c r="D1762" s="2" t="str">
        <f t="shared" si="26"/>
        <v>Error?</v>
      </c>
      <c r="E1762" s="9"/>
    </row>
    <row r="1763" spans="1:5" x14ac:dyDescent="0.2">
      <c r="A1763" s="5">
        <v>1702</v>
      </c>
      <c r="B1763" s="138">
        <f>'Tax Sched 23'!D7</f>
        <v>40109</v>
      </c>
      <c r="C1763" s="2" t="s">
        <v>594</v>
      </c>
      <c r="D1763" s="2" t="str">
        <f t="shared" si="26"/>
        <v>Error?</v>
      </c>
    </row>
    <row r="1764" spans="1:5" x14ac:dyDescent="0.2">
      <c r="A1764" s="5">
        <v>1703</v>
      </c>
      <c r="B1764" s="138">
        <f>'Tax Sched 23'!D8</f>
        <v>51583</v>
      </c>
      <c r="C1764" s="2" t="s">
        <v>594</v>
      </c>
      <c r="D1764" s="2" t="str">
        <f t="shared" si="26"/>
        <v>Error?</v>
      </c>
    </row>
    <row r="1765" spans="1:5" x14ac:dyDescent="0.2">
      <c r="A1765" s="5">
        <v>1704</v>
      </c>
      <c r="B1765" s="138">
        <f>'Tax Sched 23'!D10</f>
        <v>10027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10027</v>
      </c>
      <c r="C1767" s="2" t="s">
        <v>594</v>
      </c>
      <c r="D1767" s="2" t="str">
        <f t="shared" si="26"/>
        <v>Error?</v>
      </c>
    </row>
    <row r="1768" spans="1:5" x14ac:dyDescent="0.2">
      <c r="A1768" s="5">
        <v>1707</v>
      </c>
      <c r="B1768" s="138">
        <f>'Tax Sched 23'!D11</f>
        <v>99195</v>
      </c>
      <c r="C1768" s="2" t="s">
        <v>594</v>
      </c>
      <c r="D1768" s="2" t="str">
        <f t="shared" si="26"/>
        <v>Error?</v>
      </c>
    </row>
    <row r="1769" spans="1:5" x14ac:dyDescent="0.2">
      <c r="A1769" s="5">
        <v>1708</v>
      </c>
      <c r="B1769" s="138">
        <f>'Tax Sched 23'!D12</f>
        <v>10027</v>
      </c>
      <c r="C1769" s="2" t="s">
        <v>594</v>
      </c>
      <c r="D1769" s="2" t="str">
        <f t="shared" si="26"/>
        <v>Error?</v>
      </c>
    </row>
    <row r="1770" spans="1:5" x14ac:dyDescent="0.2">
      <c r="A1770" s="5">
        <v>1709</v>
      </c>
      <c r="B1770" s="138">
        <f>'Tax Sched 23'!D14</f>
        <v>8022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995502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573818</v>
      </c>
      <c r="C1792" s="2" t="s">
        <v>594</v>
      </c>
      <c r="D1792" s="2" t="str">
        <f t="shared" si="27"/>
        <v>Error?</v>
      </c>
    </row>
    <row r="1793" spans="1:4" x14ac:dyDescent="0.2">
      <c r="A1793" s="5">
        <v>1732</v>
      </c>
      <c r="B1793" s="138">
        <f>'Tax Sched 23'!F5</f>
        <v>106263</v>
      </c>
      <c r="C1793" s="2" t="s">
        <v>594</v>
      </c>
      <c r="D1793" s="2" t="str">
        <f t="shared" si="27"/>
        <v>Error?</v>
      </c>
    </row>
    <row r="1794" spans="1:4" x14ac:dyDescent="0.2">
      <c r="A1794" s="5">
        <v>1733</v>
      </c>
      <c r="B1794" s="138">
        <f>'Tax Sched 23'!F6</f>
        <v>125883</v>
      </c>
      <c r="C1794" s="2" t="s">
        <v>594</v>
      </c>
      <c r="D1794" s="2" t="str">
        <f t="shared" si="27"/>
        <v>Error?</v>
      </c>
    </row>
    <row r="1795" spans="1:4" x14ac:dyDescent="0.2">
      <c r="A1795" s="5">
        <v>1734</v>
      </c>
      <c r="B1795" s="138">
        <f>'Tax Sched 23'!F7</f>
        <v>42505</v>
      </c>
      <c r="C1795" s="2" t="s">
        <v>594</v>
      </c>
      <c r="D1795" s="2" t="str">
        <f t="shared" si="27"/>
        <v>Error?</v>
      </c>
    </row>
    <row r="1796" spans="1:4" x14ac:dyDescent="0.2">
      <c r="A1796" s="5">
        <v>1735</v>
      </c>
      <c r="B1796" s="138">
        <f>'Tax Sched 23'!F8</f>
        <v>58668</v>
      </c>
      <c r="C1796" s="2" t="s">
        <v>594</v>
      </c>
      <c r="D1796" s="2" t="str">
        <f t="shared" si="27"/>
        <v>Error?</v>
      </c>
    </row>
    <row r="1797" spans="1:4" x14ac:dyDescent="0.2">
      <c r="A1797" s="5">
        <v>1736</v>
      </c>
      <c r="B1797" s="138">
        <f>'Tax Sched 23'!F10</f>
        <v>10626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10626</v>
      </c>
      <c r="C1799" s="2" t="s">
        <v>594</v>
      </c>
      <c r="D1799" s="2" t="str">
        <f t="shared" si="27"/>
        <v>Error?</v>
      </c>
    </row>
    <row r="1800" spans="1:4" x14ac:dyDescent="0.2">
      <c r="A1800" s="5">
        <v>1739</v>
      </c>
      <c r="B1800" s="138">
        <f>'Tax Sched 23'!F11</f>
        <v>100000</v>
      </c>
      <c r="C1800" s="2" t="s">
        <v>594</v>
      </c>
      <c r="D1800" s="2" t="str">
        <f t="shared" si="27"/>
        <v>Error?</v>
      </c>
    </row>
    <row r="1801" spans="1:4" x14ac:dyDescent="0.2">
      <c r="A1801" s="5">
        <v>1740</v>
      </c>
      <c r="B1801" s="138">
        <f>'Tax Sched 23'!F12</f>
        <v>10626</v>
      </c>
      <c r="C1801" s="2" t="s">
        <v>594</v>
      </c>
      <c r="D1801" s="2" t="str">
        <f t="shared" si="27"/>
        <v>Error?</v>
      </c>
    </row>
    <row r="1802" spans="1:4" x14ac:dyDescent="0.2">
      <c r="A1802" s="5">
        <v>1741</v>
      </c>
      <c r="B1802" s="138">
        <f>'Tax Sched 23'!F14</f>
        <v>8501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1047516</v>
      </c>
      <c r="C1807" s="2" t="s">
        <v>594</v>
      </c>
      <c r="D1807" s="2" t="str">
        <f t="shared" si="27"/>
        <v>Error?</v>
      </c>
    </row>
    <row r="1808" spans="1:4" x14ac:dyDescent="0.2">
      <c r="A1808" s="5">
        <v>1747</v>
      </c>
      <c r="B1808" s="138">
        <f>'Tax Sched 23'!E4</f>
        <v>573818</v>
      </c>
      <c r="D1808" s="2" t="str">
        <f t="shared" si="27"/>
        <v>Error?</v>
      </c>
    </row>
    <row r="1809" spans="1:4" x14ac:dyDescent="0.2">
      <c r="A1809" s="5">
        <v>1748</v>
      </c>
      <c r="B1809" s="138">
        <f>'Tax Sched 23'!E5</f>
        <v>106263</v>
      </c>
      <c r="D1809" s="2" t="str">
        <f t="shared" si="27"/>
        <v>Error?</v>
      </c>
    </row>
    <row r="1810" spans="1:4" x14ac:dyDescent="0.2">
      <c r="A1810" s="5">
        <v>1749</v>
      </c>
      <c r="B1810" s="138">
        <f>'Tax Sched 23'!E6</f>
        <v>125883</v>
      </c>
      <c r="D1810" s="2" t="str">
        <f t="shared" si="27"/>
        <v>Error?</v>
      </c>
    </row>
    <row r="1811" spans="1:4" x14ac:dyDescent="0.2">
      <c r="A1811" s="5">
        <v>1750</v>
      </c>
      <c r="B1811" s="138">
        <f>'Tax Sched 23'!E7</f>
        <v>42505</v>
      </c>
      <c r="D1811" s="2" t="str">
        <f t="shared" si="27"/>
        <v>Error?</v>
      </c>
    </row>
    <row r="1812" spans="1:4" x14ac:dyDescent="0.2">
      <c r="A1812" s="5">
        <v>1751</v>
      </c>
      <c r="B1812" s="138">
        <f>'Tax Sched 23'!E8</f>
        <v>58668</v>
      </c>
      <c r="D1812" s="2" t="str">
        <f t="shared" si="27"/>
        <v>Error?</v>
      </c>
    </row>
    <row r="1813" spans="1:4" x14ac:dyDescent="0.2">
      <c r="A1813" s="5">
        <v>1752</v>
      </c>
      <c r="B1813" s="138">
        <f>'Tax Sched 23'!E10</f>
        <v>10626</v>
      </c>
      <c r="D1813" s="2" t="str">
        <f t="shared" si="27"/>
        <v>Error?</v>
      </c>
    </row>
    <row r="1814" spans="1:4" x14ac:dyDescent="0.2">
      <c r="A1814" s="10">
        <v>1753</v>
      </c>
      <c r="D1814" s="2" t="str">
        <f t="shared" si="27"/>
        <v>OK</v>
      </c>
    </row>
    <row r="1815" spans="1:4" x14ac:dyDescent="0.2">
      <c r="A1815" s="5">
        <v>1754</v>
      </c>
      <c r="B1815" s="138">
        <f>'Tax Sched 23'!E9</f>
        <v>10626</v>
      </c>
      <c r="D1815" s="2" t="str">
        <f t="shared" si="27"/>
        <v>Error?</v>
      </c>
    </row>
    <row r="1816" spans="1:4" x14ac:dyDescent="0.2">
      <c r="A1816" s="5">
        <v>1755</v>
      </c>
      <c r="B1816" s="138">
        <f>'Tax Sched 23'!E11</f>
        <v>100000</v>
      </c>
      <c r="D1816" s="2" t="str">
        <f t="shared" si="27"/>
        <v>Error?</v>
      </c>
    </row>
    <row r="1817" spans="1:4" x14ac:dyDescent="0.2">
      <c r="A1817" s="5">
        <v>1756</v>
      </c>
      <c r="B1817" s="138">
        <f>'Tax Sched 23'!E12</f>
        <v>10626</v>
      </c>
      <c r="D1817" s="2" t="str">
        <f t="shared" si="27"/>
        <v>Error?</v>
      </c>
    </row>
    <row r="1818" spans="1:4" x14ac:dyDescent="0.2">
      <c r="A1818" s="5">
        <v>1757</v>
      </c>
      <c r="B1818" s="138">
        <f>'Tax Sched 23'!E14</f>
        <v>8501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1047516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615000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6010</v>
      </c>
      <c r="D2008" s="2" t="str">
        <f t="shared" si="30"/>
        <v>Error?</v>
      </c>
    </row>
    <row r="2009" spans="1:4" x14ac:dyDescent="0.2">
      <c r="A2009" s="5">
        <v>1948</v>
      </c>
      <c r="B2009" s="138">
        <f>'Cap Outlay Deprec 26'!C8</f>
        <v>521835</v>
      </c>
      <c r="D2009" s="2" t="str">
        <f t="shared" si="30"/>
        <v>Error?</v>
      </c>
    </row>
    <row r="2010" spans="1:4" x14ac:dyDescent="0.2">
      <c r="A2010" s="5">
        <v>1949</v>
      </c>
      <c r="B2010" s="138">
        <f>'Cap Outlay Deprec 26'!C10</f>
        <v>735960</v>
      </c>
      <c r="D2010" s="2" t="str">
        <f t="shared" si="30"/>
        <v>Error?</v>
      </c>
    </row>
    <row r="2011" spans="1:4" x14ac:dyDescent="0.2">
      <c r="A2011" s="5">
        <v>1950</v>
      </c>
      <c r="B2011" s="138">
        <f>'Cap Outlay Deprec 26'!C12</f>
        <v>4286</v>
      </c>
      <c r="D2011" s="2" t="str">
        <f t="shared" si="30"/>
        <v>Error?</v>
      </c>
    </row>
    <row r="2012" spans="1:4" x14ac:dyDescent="0.2">
      <c r="A2012" s="5">
        <v>1951</v>
      </c>
      <c r="B2012" s="138">
        <f>'Cap Outlay Deprec 26'!C13</f>
        <v>105325</v>
      </c>
      <c r="D2012" s="2" t="str">
        <f t="shared" si="30"/>
        <v>Error?</v>
      </c>
    </row>
    <row r="2013" spans="1:4" x14ac:dyDescent="0.2">
      <c r="A2013" s="5">
        <v>1952</v>
      </c>
      <c r="B2013" s="138">
        <f>'Cap Outlay Deprec 26'!C16</f>
        <v>1438018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12004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6010</v>
      </c>
      <c r="C2026" s="2" t="s">
        <v>594</v>
      </c>
      <c r="D2026" s="2" t="str">
        <f t="shared" si="30"/>
        <v>Error?</v>
      </c>
    </row>
    <row r="2027" spans="1:4" x14ac:dyDescent="0.2">
      <c r="A2027" s="5">
        <v>1966</v>
      </c>
      <c r="B2027" s="138">
        <f>'Cap Outlay Deprec 26'!F8</f>
        <v>521835</v>
      </c>
      <c r="C2027" s="2" t="s">
        <v>594</v>
      </c>
      <c r="D2027" s="2" t="str">
        <f t="shared" si="30"/>
        <v>Error?</v>
      </c>
    </row>
    <row r="2028" spans="1:4" x14ac:dyDescent="0.2">
      <c r="A2028" s="5">
        <v>1967</v>
      </c>
      <c r="B2028" s="138">
        <f>'Cap Outlay Deprec 26'!F10</f>
        <v>735960</v>
      </c>
      <c r="C2028" s="2" t="s">
        <v>594</v>
      </c>
      <c r="D2028" s="2" t="str">
        <f t="shared" si="30"/>
        <v>Error?</v>
      </c>
    </row>
    <row r="2029" spans="1:4" x14ac:dyDescent="0.2">
      <c r="A2029" s="5">
        <v>1968</v>
      </c>
      <c r="B2029" s="138">
        <f>'Cap Outlay Deprec 26'!F12</f>
        <v>4286</v>
      </c>
      <c r="C2029" s="2" t="s">
        <v>594</v>
      </c>
      <c r="D2029" s="2" t="str">
        <f t="shared" si="30"/>
        <v>Error?</v>
      </c>
    </row>
    <row r="2030" spans="1:4" x14ac:dyDescent="0.2">
      <c r="A2030" s="5">
        <v>1969</v>
      </c>
      <c r="B2030" s="138">
        <f>'Cap Outlay Deprec 26'!F13</f>
        <v>105325</v>
      </c>
      <c r="C2030" s="2" t="s">
        <v>594</v>
      </c>
      <c r="D2030" s="2" t="str">
        <f t="shared" si="30"/>
        <v>Error?</v>
      </c>
    </row>
    <row r="2031" spans="1:4" x14ac:dyDescent="0.2">
      <c r="A2031" s="5">
        <v>1970</v>
      </c>
      <c r="B2031" s="138">
        <f>'Cap Outlay Deprec 26'!F16</f>
        <v>1450022</v>
      </c>
      <c r="C2031" s="2" t="s">
        <v>594</v>
      </c>
      <c r="D2031" s="2" t="str">
        <f t="shared" si="30"/>
        <v>Error?</v>
      </c>
    </row>
    <row r="2032" spans="1:4" x14ac:dyDescent="0.2">
      <c r="A2032" s="10">
        <v>1971</v>
      </c>
      <c r="D2032" s="2" t="str">
        <f t="shared" si="30"/>
        <v>OK</v>
      </c>
    </row>
    <row r="2033" spans="1:4" x14ac:dyDescent="0.2">
      <c r="A2033" s="5">
        <v>1972</v>
      </c>
      <c r="B2033" s="138">
        <f>'Cap Outlay Deprec 26'!H8</f>
        <v>199280</v>
      </c>
      <c r="D2033" s="2" t="str">
        <f t="shared" si="30"/>
        <v>Error?</v>
      </c>
    </row>
    <row r="2034" spans="1:4" x14ac:dyDescent="0.2">
      <c r="A2034" s="5">
        <v>1973</v>
      </c>
      <c r="B2034" s="138">
        <f>'Cap Outlay Deprec 26'!H10</f>
        <v>397910</v>
      </c>
      <c r="D2034" s="2" t="str">
        <f t="shared" si="30"/>
        <v>Error?</v>
      </c>
    </row>
    <row r="2035" spans="1:4" x14ac:dyDescent="0.2">
      <c r="A2035" s="5">
        <v>1974</v>
      </c>
      <c r="B2035" s="138">
        <f>'Cap Outlay Deprec 26'!H12</f>
        <v>4286</v>
      </c>
      <c r="D2035" s="2" t="str">
        <f t="shared" si="30"/>
        <v>Error?</v>
      </c>
    </row>
    <row r="2036" spans="1:4" x14ac:dyDescent="0.2">
      <c r="A2036" s="5">
        <v>1975</v>
      </c>
      <c r="B2036" s="138">
        <f>'Cap Outlay Deprec 26'!H13</f>
        <v>94793</v>
      </c>
      <c r="D2036" s="2" t="str">
        <f t="shared" si="30"/>
        <v>Error?</v>
      </c>
    </row>
    <row r="2037" spans="1:4" x14ac:dyDescent="0.2">
      <c r="A2037" s="5">
        <v>1976</v>
      </c>
      <c r="B2037" s="138">
        <f>'Cap Outlay Deprec 26'!H16</f>
        <v>740053</v>
      </c>
      <c r="C2037" s="2" t="s">
        <v>594</v>
      </c>
      <c r="D2037" s="2" t="str">
        <f t="shared" si="30"/>
        <v>Error?</v>
      </c>
    </row>
    <row r="2038" spans="1:4" x14ac:dyDescent="0.2">
      <c r="A2038" s="10">
        <v>1977</v>
      </c>
      <c r="D2038" s="2" t="str">
        <f t="shared" si="30"/>
        <v>OK</v>
      </c>
    </row>
    <row r="2039" spans="1:4" x14ac:dyDescent="0.2">
      <c r="A2039" s="5">
        <v>1978</v>
      </c>
      <c r="B2039" s="138">
        <f>'Cap Outlay Deprec 26'!I8</f>
        <v>17916</v>
      </c>
      <c r="D2039" s="2" t="str">
        <f t="shared" si="30"/>
        <v>Error?</v>
      </c>
    </row>
    <row r="2040" spans="1:4" x14ac:dyDescent="0.2">
      <c r="A2040" s="5">
        <v>1979</v>
      </c>
      <c r="B2040" s="138">
        <f>'Cap Outlay Deprec 26'!I10</f>
        <v>36288</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10532</v>
      </c>
      <c r="D2042" s="2" t="str">
        <f t="shared" si="30"/>
        <v>Error?</v>
      </c>
    </row>
    <row r="2043" spans="1:4" x14ac:dyDescent="0.2">
      <c r="A2043" s="5">
        <v>1982</v>
      </c>
      <c r="B2043" s="138">
        <f>'Cap Outlay Deprec 26'!I16</f>
        <v>69950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217196</v>
      </c>
      <c r="C2051" s="2" t="s">
        <v>594</v>
      </c>
      <c r="D2051" s="2" t="str">
        <f t="shared" si="31"/>
        <v>Error?</v>
      </c>
    </row>
    <row r="2052" spans="1:4" x14ac:dyDescent="0.2">
      <c r="A2052" s="5">
        <v>1991</v>
      </c>
      <c r="B2052" s="138">
        <f>'Cap Outlay Deprec 26'!K10</f>
        <v>434198</v>
      </c>
      <c r="C2052" s="2" t="s">
        <v>594</v>
      </c>
      <c r="D2052" s="2" t="str">
        <f t="shared" si="31"/>
        <v>Error?</v>
      </c>
    </row>
    <row r="2053" spans="1:4" x14ac:dyDescent="0.2">
      <c r="A2053" s="5">
        <v>1992</v>
      </c>
      <c r="B2053" s="138">
        <f>'Cap Outlay Deprec 26'!K12</f>
        <v>4286</v>
      </c>
      <c r="C2053" s="2" t="s">
        <v>594</v>
      </c>
      <c r="D2053" s="2" t="str">
        <f t="shared" si="31"/>
        <v>Error?</v>
      </c>
    </row>
    <row r="2054" spans="1:4" x14ac:dyDescent="0.2">
      <c r="A2054" s="5">
        <v>1993</v>
      </c>
      <c r="B2054" s="138">
        <f>'Cap Outlay Deprec 26'!K13</f>
        <v>105325</v>
      </c>
      <c r="C2054" s="2" t="s">
        <v>594</v>
      </c>
      <c r="D2054" s="2" t="str">
        <f t="shared" si="31"/>
        <v>Error?</v>
      </c>
    </row>
    <row r="2055" spans="1:4" x14ac:dyDescent="0.2">
      <c r="A2055" s="5">
        <v>1994</v>
      </c>
      <c r="B2055" s="138">
        <f>'Cap Outlay Deprec 26'!K16</f>
        <v>810003</v>
      </c>
      <c r="C2055" s="2" t="s">
        <v>594</v>
      </c>
      <c r="D2055" s="2" t="str">
        <f t="shared" si="31"/>
        <v>Error?</v>
      </c>
    </row>
    <row r="2056" spans="1:4" x14ac:dyDescent="0.2">
      <c r="A2056" s="5">
        <v>1995</v>
      </c>
      <c r="B2056" s="138">
        <f>'Cap Outlay Deprec 26'!L5</f>
        <v>6010</v>
      </c>
      <c r="C2056" s="2" t="s">
        <v>594</v>
      </c>
      <c r="D2056" s="2" t="str">
        <f t="shared" si="31"/>
        <v>Error?</v>
      </c>
    </row>
    <row r="2057" spans="1:4" x14ac:dyDescent="0.2">
      <c r="A2057" s="5">
        <v>1996</v>
      </c>
      <c r="B2057" s="138">
        <f>'Cap Outlay Deprec 26'!L8</f>
        <v>304639</v>
      </c>
      <c r="C2057" s="2" t="s">
        <v>594</v>
      </c>
      <c r="D2057" s="2" t="str">
        <f t="shared" si="31"/>
        <v>Error?</v>
      </c>
    </row>
    <row r="2058" spans="1:4" x14ac:dyDescent="0.2">
      <c r="A2058" s="5">
        <v>1997</v>
      </c>
      <c r="B2058" s="138">
        <f>'Cap Outlay Deprec 26'!L10</f>
        <v>301762</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640019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499200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5423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7010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10045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761685</v>
      </c>
      <c r="C2551" s="2" t="s">
        <v>594</v>
      </c>
      <c r="D2551" s="2" t="str">
        <f t="shared" si="38"/>
        <v>Error?</v>
      </c>
    </row>
    <row r="2552" spans="1:4" x14ac:dyDescent="0.2">
      <c r="A2552" s="10">
        <v>2491</v>
      </c>
      <c r="D2552" s="2" t="str">
        <f t="shared" si="38"/>
        <v>OK</v>
      </c>
    </row>
    <row r="2553" spans="1:4" x14ac:dyDescent="0.2">
      <c r="A2553" s="5">
        <v>2492</v>
      </c>
      <c r="B2553" s="138">
        <f>'Acct Summary 7-8'!C6</f>
        <v>1004098</v>
      </c>
      <c r="C2553" s="2" t="s">
        <v>594</v>
      </c>
      <c r="D2553" s="2" t="str">
        <f t="shared" si="38"/>
        <v>Error?</v>
      </c>
    </row>
    <row r="2554" spans="1:4" x14ac:dyDescent="0.2">
      <c r="A2554" s="5">
        <v>2493</v>
      </c>
      <c r="B2554" s="138">
        <f>'Acct Summary 7-8'!C7</f>
        <v>84732</v>
      </c>
      <c r="C2554" s="2" t="s">
        <v>594</v>
      </c>
      <c r="D2554" s="2" t="str">
        <f t="shared" si="38"/>
        <v>Error?</v>
      </c>
    </row>
    <row r="2555" spans="1:4" x14ac:dyDescent="0.2">
      <c r="A2555" s="5">
        <v>2494</v>
      </c>
      <c r="B2555" s="138">
        <f>'Acct Summary 7-8'!C8</f>
        <v>1850767</v>
      </c>
      <c r="C2555" s="2" t="s">
        <v>594</v>
      </c>
      <c r="D2555" s="2" t="str">
        <f t="shared" si="38"/>
        <v>Error?</v>
      </c>
    </row>
    <row r="2556" spans="1:4" x14ac:dyDescent="0.2">
      <c r="A2556" s="5">
        <v>2495</v>
      </c>
      <c r="B2556" s="138">
        <f>'Acct Summary 7-8'!C12</f>
        <v>729541</v>
      </c>
      <c r="C2556" s="2" t="s">
        <v>594</v>
      </c>
      <c r="D2556" s="2" t="str">
        <f t="shared" si="38"/>
        <v>Error?</v>
      </c>
    </row>
    <row r="2557" spans="1:4" x14ac:dyDescent="0.2">
      <c r="A2557" s="5">
        <v>2496</v>
      </c>
      <c r="B2557" s="138">
        <f>'Acct Summary 7-8'!C13</f>
        <v>386946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499760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1616247</v>
      </c>
      <c r="C2561" s="2" t="s">
        <v>594</v>
      </c>
      <c r="D2561" s="2" t="str">
        <f t="shared" si="39"/>
        <v>Error?</v>
      </c>
    </row>
    <row r="2562" spans="1:4" x14ac:dyDescent="0.2">
      <c r="A2562" s="5">
        <v>2501</v>
      </c>
      <c r="B2562" s="138">
        <f>'Acct Summary 7-8'!C20</f>
        <v>234520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109212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109212</v>
      </c>
      <c r="C2568" s="2" t="s">
        <v>594</v>
      </c>
      <c r="D2568" s="2" t="str">
        <f t="shared" si="39"/>
        <v>Error?</v>
      </c>
    </row>
    <row r="2569" spans="1:4" x14ac:dyDescent="0.2">
      <c r="A2569" s="5">
        <v>2508</v>
      </c>
      <c r="B2569" s="138">
        <f>'Acct Summary 7-8'!D13</f>
        <v>68935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68935</v>
      </c>
      <c r="C2573" s="2" t="s">
        <v>594</v>
      </c>
      <c r="D2573" s="2" t="str">
        <f t="shared" si="39"/>
        <v>Error?</v>
      </c>
    </row>
    <row r="2574" spans="1:4" x14ac:dyDescent="0.2">
      <c r="A2574" s="5">
        <v>2513</v>
      </c>
      <c r="B2574" s="138">
        <f>'Acct Summary 7-8'!D20</f>
        <v>40277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40964</v>
      </c>
      <c r="C2591" s="2" t="s">
        <v>594</v>
      </c>
      <c r="D2591" s="2" t="str">
        <f t="shared" si="39"/>
        <v>Error?</v>
      </c>
    </row>
    <row r="2592" spans="1:4" x14ac:dyDescent="0.2">
      <c r="A2592" s="10">
        <v>2531</v>
      </c>
      <c r="D2592" s="2" t="str">
        <f t="shared" si="39"/>
        <v>OK</v>
      </c>
    </row>
    <row r="2593" spans="1:4" x14ac:dyDescent="0.2">
      <c r="A2593" s="5">
        <v>2532</v>
      </c>
      <c r="B2593" s="138">
        <f>'Acct Summary 7-8'!F6</f>
        <v>64120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105084</v>
      </c>
      <c r="C2595" s="2" t="s">
        <v>594</v>
      </c>
      <c r="D2595" s="2" t="str">
        <f t="shared" si="39"/>
        <v>Error?</v>
      </c>
    </row>
    <row r="2596" spans="1:4" x14ac:dyDescent="0.2">
      <c r="A2596" s="5">
        <v>2535</v>
      </c>
      <c r="B2596" s="138">
        <f>'Acct Summary 7-8'!F13</f>
        <v>86550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86550</v>
      </c>
      <c r="C2600" s="2" t="s">
        <v>594</v>
      </c>
      <c r="D2600" s="2" t="str">
        <f t="shared" si="39"/>
        <v>Error?</v>
      </c>
    </row>
    <row r="2601" spans="1:4" x14ac:dyDescent="0.2">
      <c r="A2601" s="5">
        <v>2540</v>
      </c>
      <c r="B2601" s="138">
        <f>'Acct Summary 7-8'!F20</f>
        <v>18534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55440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55440</v>
      </c>
      <c r="C2606" s="2" t="s">
        <v>594</v>
      </c>
      <c r="D2606" s="2" t="str">
        <f t="shared" si="39"/>
        <v>Error?</v>
      </c>
    </row>
    <row r="2607" spans="1:4" x14ac:dyDescent="0.2">
      <c r="A2607" s="5">
        <v>2546</v>
      </c>
      <c r="B2607" s="138">
        <f>'Acct Summary 7-8'!G12</f>
        <v>15204</v>
      </c>
      <c r="C2607" s="2" t="s">
        <v>594</v>
      </c>
      <c r="D2607" s="2" t="str">
        <f t="shared" si="39"/>
        <v>Error?</v>
      </c>
    </row>
    <row r="2608" spans="1:4" x14ac:dyDescent="0.2">
      <c r="A2608" s="5">
        <v>2547</v>
      </c>
      <c r="B2608" s="138">
        <f>'Acct Summary 7-8'!G13</f>
        <v>28742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43946</v>
      </c>
      <c r="C2612" s="2" t="s">
        <v>594</v>
      </c>
      <c r="D2612" s="2" t="str">
        <f t="shared" si="39"/>
        <v>Error?</v>
      </c>
    </row>
    <row r="2613" spans="1:4" x14ac:dyDescent="0.2">
      <c r="A2613" s="5">
        <v>2552</v>
      </c>
      <c r="B2613" s="138">
        <f>'Acct Summary 7-8'!G20</f>
        <v>11494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124799</v>
      </c>
      <c r="C2630" s="2" t="s">
        <v>594</v>
      </c>
      <c r="D2630" s="2" t="str">
        <f t="shared" si="40"/>
        <v>Error?</v>
      </c>
    </row>
    <row r="2631" spans="1:4" x14ac:dyDescent="0.2">
      <c r="A2631" s="5">
        <v>2570</v>
      </c>
      <c r="B2631" s="138">
        <f>'Acct Summary 7-8'!E6</f>
        <v>2700</v>
      </c>
      <c r="C2631" s="2" t="s">
        <v>594</v>
      </c>
      <c r="D2631" s="2" t="str">
        <f t="shared" si="40"/>
        <v>Error?</v>
      </c>
    </row>
    <row r="2632" spans="1:4" x14ac:dyDescent="0.2">
      <c r="A2632" s="5">
        <v>2571</v>
      </c>
      <c r="B2632" s="138">
        <f>'Acct Summary 7-8'!E8</f>
        <v>127499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127689</v>
      </c>
      <c r="C2634" s="2" t="s">
        <v>594</v>
      </c>
      <c r="D2634" s="2" t="str">
        <f t="shared" si="40"/>
        <v>Error?</v>
      </c>
    </row>
    <row r="2635" spans="1:4" x14ac:dyDescent="0.2">
      <c r="A2635" s="5">
        <v>2574</v>
      </c>
      <c r="B2635" s="138">
        <f>'Acct Summary 7-8'!E17</f>
        <v>127689</v>
      </c>
      <c r="C2635" s="2" t="s">
        <v>594</v>
      </c>
      <c r="D2635" s="2" t="str">
        <f t="shared" si="40"/>
        <v>Error?</v>
      </c>
    </row>
    <row r="2636" spans="1:4" x14ac:dyDescent="0.2">
      <c r="A2636" s="5">
        <v>2575</v>
      </c>
      <c r="B2636" s="138">
        <f>'Acct Summary 7-8'!E20</f>
        <v>-190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10045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10045</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10045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499200</v>
      </c>
      <c r="C2789" s="2" t="s">
        <v>594</v>
      </c>
      <c r="D2789" s="2" t="str">
        <f t="shared" si="42"/>
        <v>Error?</v>
      </c>
    </row>
    <row r="2790" spans="1:4" x14ac:dyDescent="0.2">
      <c r="A2790" s="5">
        <v>2729</v>
      </c>
      <c r="B2790" s="138">
        <f>'Expenditures 15-22'!E102</f>
        <v>499760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402922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402922</v>
      </c>
      <c r="D2912" s="2" t="str">
        <f t="shared" si="44"/>
        <v>Error?</v>
      </c>
    </row>
    <row r="2913" spans="1:4" x14ac:dyDescent="0.2">
      <c r="A2913" s="5">
        <v>2852</v>
      </c>
      <c r="B2913" s="138">
        <f>'Assets-Liab 5-6'!I41</f>
        <v>402922</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560</v>
      </c>
      <c r="D2947" s="2" t="str">
        <f t="shared" si="45"/>
        <v>Error?</v>
      </c>
    </row>
    <row r="2948" spans="1:4" x14ac:dyDescent="0.2">
      <c r="A2948" s="10">
        <v>2887</v>
      </c>
      <c r="D2948" s="2" t="str">
        <f t="shared" si="45"/>
        <v>OK</v>
      </c>
    </row>
    <row r="2949" spans="1:4" x14ac:dyDescent="0.2">
      <c r="A2949" s="5">
        <v>2888</v>
      </c>
      <c r="B2949" s="138">
        <f>'Expenditures 15-22'!E78</f>
        <v>483258</v>
      </c>
      <c r="D2949" s="2" t="str">
        <f t="shared" si="45"/>
        <v>Error?</v>
      </c>
    </row>
    <row r="2950" spans="1:4" x14ac:dyDescent="0.2">
      <c r="A2950" s="5">
        <v>2889</v>
      </c>
      <c r="B2950" s="138">
        <f>'Expenditures 15-22'!E79</f>
        <v>15482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460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483258</v>
      </c>
      <c r="C2973" s="2" t="s">
        <v>594</v>
      </c>
      <c r="D2973" s="2" t="str">
        <f t="shared" si="45"/>
        <v>Error?</v>
      </c>
    </row>
    <row r="2974" spans="1:4" x14ac:dyDescent="0.2">
      <c r="A2974" s="5">
        <v>2913</v>
      </c>
      <c r="B2974" s="138">
        <f>'Expenditures 15-22'!K79</f>
        <v>15482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460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39522</v>
      </c>
      <c r="D3055" s="2" t="str">
        <f t="shared" si="46"/>
        <v>Error?</v>
      </c>
    </row>
    <row r="3056" spans="1:4" x14ac:dyDescent="0.2">
      <c r="A3056" s="5">
        <v>2995</v>
      </c>
      <c r="B3056" s="138">
        <f>'Expenditures 15-22'!D10</f>
        <v>2068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14814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56404</v>
      </c>
      <c r="C3062" s="2" t="s">
        <v>594</v>
      </c>
      <c r="D3062" s="2" t="str">
        <f t="shared" si="46"/>
        <v>Error?</v>
      </c>
    </row>
    <row r="3063" spans="1:4" x14ac:dyDescent="0.2">
      <c r="A3063" s="10">
        <v>3002</v>
      </c>
      <c r="D3063" s="2" t="str">
        <f t="shared" si="46"/>
        <v>OK</v>
      </c>
    </row>
    <row r="3064" spans="1:4" x14ac:dyDescent="0.2">
      <c r="A3064" s="5">
        <v>3003</v>
      </c>
      <c r="B3064" s="138">
        <f>'Expenditures 15-22'!D219</f>
        <v>2252</v>
      </c>
      <c r="D3064" s="2" t="str">
        <f t="shared" si="46"/>
        <v>Error?</v>
      </c>
    </row>
    <row r="3065" spans="1:4" x14ac:dyDescent="0.2">
      <c r="A3065" s="5">
        <v>3004</v>
      </c>
      <c r="B3065" s="138">
        <f>'Expenditures 15-22'!K219</f>
        <v>2252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11024</v>
      </c>
      <c r="C3225" s="2" t="s">
        <v>594</v>
      </c>
      <c r="D3225" s="2" t="str">
        <f t="shared" si="49"/>
        <v>Error?</v>
      </c>
    </row>
    <row r="3226" spans="1:4" x14ac:dyDescent="0.2">
      <c r="A3226" s="5">
        <v>3165</v>
      </c>
      <c r="B3226" s="138">
        <f>'Acct Summary 7-8'!I8</f>
        <v>11024</v>
      </c>
      <c r="C3226" s="2" t="s">
        <v>594</v>
      </c>
      <c r="D3226" s="2" t="str">
        <f t="shared" si="49"/>
        <v>Error?</v>
      </c>
    </row>
    <row r="3227" spans="1:4" x14ac:dyDescent="0.2">
      <c r="A3227" s="5">
        <v>3166</v>
      </c>
      <c r="B3227" s="138">
        <f>'Acct Summary 7-8'!I20</f>
        <v>11024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234520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40277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18534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11494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-190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10045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11024</v>
      </c>
      <c r="C3320" s="2" t="s">
        <v>594</v>
      </c>
      <c r="D3320" s="2" t="str">
        <f t="shared" si="50"/>
        <v>Error?</v>
      </c>
    </row>
    <row r="3321" spans="1:4" x14ac:dyDescent="0.2">
      <c r="A3321" s="5">
        <v>3260</v>
      </c>
      <c r="B3321" s="138">
        <f>'Acct Summary 7-8'!I79</f>
        <v>391898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402922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55114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60764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7111</v>
      </c>
      <c r="D3387" s="2" t="str">
        <f t="shared" si="51"/>
        <v>Error?</v>
      </c>
    </row>
    <row r="3388" spans="1:4" x14ac:dyDescent="0.2">
      <c r="A3388" s="5">
        <v>3327</v>
      </c>
      <c r="B3388" s="138">
        <f>'Expenditures 15-22'!D217</f>
        <v>2881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7111</v>
      </c>
      <c r="C3390" s="2" t="s">
        <v>594</v>
      </c>
      <c r="D3390" s="2" t="str">
        <f t="shared" si="51"/>
        <v>Error?</v>
      </c>
    </row>
    <row r="3391" spans="1:4" x14ac:dyDescent="0.2">
      <c r="A3391" s="5">
        <v>3330</v>
      </c>
      <c r="B3391" s="138">
        <f>'Expenditures 15-22'!K217</f>
        <v>2881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252</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1020461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59204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v>
      </c>
      <c r="D3417" s="2" t="str">
        <f t="shared" si="52"/>
        <v>Error?</v>
      </c>
    </row>
    <row r="3418" spans="1:4" x14ac:dyDescent="0.2">
      <c r="A3418" s="10">
        <v>3357</v>
      </c>
      <c r="D3418" s="2" t="str">
        <f t="shared" si="52"/>
        <v>OK</v>
      </c>
    </row>
    <row r="3419" spans="1:4" x14ac:dyDescent="0.2">
      <c r="A3419" s="5">
        <v>3358</v>
      </c>
      <c r="B3419" s="138">
        <f>'Assets-Liab 5-6'!F4</f>
        <v>169204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10045</v>
      </c>
      <c r="D3425" s="2" t="str">
        <f t="shared" si="52"/>
        <v>Error?</v>
      </c>
    </row>
    <row r="3426" spans="1:4" x14ac:dyDescent="0.2">
      <c r="A3426" s="10">
        <v>3365</v>
      </c>
      <c r="D3426" s="2" t="str">
        <f t="shared" si="52"/>
        <v>OK</v>
      </c>
    </row>
    <row r="3427" spans="1:4" x14ac:dyDescent="0.2">
      <c r="A3427" s="5">
        <v>3366</v>
      </c>
      <c r="B3427" s="138">
        <f>'Assets-Liab 5-6'!I4</f>
        <v>402922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60031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60031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60031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60031</v>
      </c>
      <c r="C3568" s="2" t="s">
        <v>594</v>
      </c>
      <c r="D3568" s="2" t="str">
        <f t="shared" si="54"/>
        <v>Error?</v>
      </c>
    </row>
    <row r="3569" spans="1:4" x14ac:dyDescent="0.2">
      <c r="A3569" s="5">
        <v>3508</v>
      </c>
      <c r="B3569" s="138">
        <f>'Acct Summary 7-8'!K4</f>
        <v>10176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10176</v>
      </c>
      <c r="C3571" s="2" t="s">
        <v>594</v>
      </c>
      <c r="D3571" s="2" t="str">
        <f t="shared" si="54"/>
        <v>Error?</v>
      </c>
    </row>
    <row r="3572" spans="1:4" x14ac:dyDescent="0.2">
      <c r="A3572" s="5">
        <v>3511</v>
      </c>
      <c r="B3572" s="138">
        <f>'Acct Summary 7-8'!K13</f>
        <v>15497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15497</v>
      </c>
      <c r="C3575" s="2" t="s">
        <v>594</v>
      </c>
      <c r="D3575" s="2" t="str">
        <f t="shared" si="54"/>
        <v>Error?</v>
      </c>
    </row>
    <row r="3576" spans="1:4" x14ac:dyDescent="0.2">
      <c r="A3576" s="5">
        <v>3515</v>
      </c>
      <c r="B3576" s="138">
        <f>'Acct Summary 7-8'!K20</f>
        <v>-5321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-5321</v>
      </c>
      <c r="C3588" s="2" t="s">
        <v>594</v>
      </c>
      <c r="D3588" s="2" t="str">
        <f t="shared" si="55"/>
        <v>Error?</v>
      </c>
    </row>
    <row r="3589" spans="1:4" x14ac:dyDescent="0.2">
      <c r="A3589" s="5">
        <v>3528</v>
      </c>
      <c r="B3589" s="138">
        <f>'Acct Summary 7-8'!K79</f>
        <v>65352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60031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294</v>
      </c>
      <c r="D3632" s="2" t="str">
        <f t="shared" si="55"/>
        <v>Error?</v>
      </c>
    </row>
    <row r="3633" spans="1:4" x14ac:dyDescent="0.2">
      <c r="A3633" s="5">
        <v>3572</v>
      </c>
      <c r="B3633" s="138">
        <f>'Expenditures 15-22'!E350</f>
        <v>294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294</v>
      </c>
      <c r="C3635" s="2" t="s">
        <v>594</v>
      </c>
      <c r="D3635" s="2" t="str">
        <f t="shared" si="55"/>
        <v>Error?</v>
      </c>
    </row>
    <row r="3636" spans="1:4" x14ac:dyDescent="0.2">
      <c r="A3636" s="5">
        <v>3575</v>
      </c>
      <c r="B3636" s="138">
        <f>'Expenditures 15-22'!E367</f>
        <v>294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6703</v>
      </c>
      <c r="D3639" s="2" t="str">
        <f t="shared" si="55"/>
        <v>Error?</v>
      </c>
    </row>
    <row r="3640" spans="1:4" x14ac:dyDescent="0.2">
      <c r="A3640" s="5">
        <v>3579</v>
      </c>
      <c r="B3640" s="138">
        <f>'Expenditures 15-22'!F350</f>
        <v>6703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6703</v>
      </c>
      <c r="C3642" s="2" t="s">
        <v>594</v>
      </c>
      <c r="D3642" s="2" t="str">
        <f t="shared" si="55"/>
        <v>Error?</v>
      </c>
    </row>
    <row r="3643" spans="1:4" x14ac:dyDescent="0.2">
      <c r="A3643" s="5">
        <v>3582</v>
      </c>
      <c r="B3643" s="138">
        <f>'Expenditures 15-22'!F367</f>
        <v>6703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8500</v>
      </c>
      <c r="D3653" s="2" t="str">
        <f t="shared" si="56"/>
        <v>Error?</v>
      </c>
    </row>
    <row r="3654" spans="1:4" x14ac:dyDescent="0.2">
      <c r="A3654" s="5">
        <v>3593</v>
      </c>
      <c r="B3654" s="138">
        <f>'Expenditures 15-22'!H350</f>
        <v>8500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8500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8500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15497</v>
      </c>
      <c r="C3669" s="2" t="s">
        <v>594</v>
      </c>
      <c r="D3669" s="2" t="str">
        <f t="shared" si="56"/>
        <v>Error?</v>
      </c>
    </row>
    <row r="3670" spans="1:4" x14ac:dyDescent="0.2">
      <c r="A3670" s="5">
        <v>3609</v>
      </c>
      <c r="B3670" s="138">
        <f>'Expenditures 15-22'!K350</f>
        <v>15497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15497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15497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-5321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242760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2093527</v>
      </c>
      <c r="C4122" s="2" t="s">
        <v>594</v>
      </c>
      <c r="D4122" s="2" t="str">
        <f t="shared" si="63"/>
        <v>Error?</v>
      </c>
    </row>
    <row r="4123" spans="1:4" x14ac:dyDescent="0.2">
      <c r="A4123" s="5">
        <v>4062</v>
      </c>
      <c r="B4123" s="138">
        <f>'Acct Summary 7-8'!D10</f>
        <v>109212</v>
      </c>
      <c r="C4123" s="2" t="s">
        <v>594</v>
      </c>
      <c r="D4123" s="2" t="str">
        <f t="shared" si="63"/>
        <v>Error?</v>
      </c>
    </row>
    <row r="4124" spans="1:4" x14ac:dyDescent="0.2">
      <c r="A4124" s="5">
        <v>4063</v>
      </c>
      <c r="B4124" s="138">
        <f>'Acct Summary 7-8'!E10</f>
        <v>127499</v>
      </c>
      <c r="C4124" s="2" t="s">
        <v>594</v>
      </c>
      <c r="D4124" s="2" t="str">
        <f t="shared" si="63"/>
        <v>Error?</v>
      </c>
    </row>
    <row r="4125" spans="1:4" x14ac:dyDescent="0.2">
      <c r="A4125" s="5">
        <v>4064</v>
      </c>
      <c r="B4125" s="138">
        <f>'Acct Summary 7-8'!F10</f>
        <v>105084</v>
      </c>
      <c r="C4125" s="2" t="s">
        <v>594</v>
      </c>
      <c r="D4125" s="2" t="str">
        <f t="shared" si="63"/>
        <v>Error?</v>
      </c>
    </row>
    <row r="4126" spans="1:4" x14ac:dyDescent="0.2">
      <c r="A4126" s="5">
        <v>4065</v>
      </c>
      <c r="B4126" s="138">
        <f>'Acct Summary 7-8'!G10</f>
        <v>55440</v>
      </c>
      <c r="C4126" s="2" t="s">
        <v>594</v>
      </c>
      <c r="D4126" s="2" t="str">
        <f t="shared" si="63"/>
        <v>Error?</v>
      </c>
    </row>
    <row r="4127" spans="1:4" x14ac:dyDescent="0.2">
      <c r="A4127" s="5">
        <v>4066</v>
      </c>
      <c r="B4127" s="138">
        <f>'Acct Summary 7-8'!H10</f>
        <v>10045</v>
      </c>
      <c r="C4127" s="2" t="s">
        <v>594</v>
      </c>
      <c r="D4127" s="2" t="str">
        <f t="shared" si="63"/>
        <v>Error?</v>
      </c>
    </row>
    <row r="4128" spans="1:4" x14ac:dyDescent="0.2">
      <c r="A4128" s="5">
        <v>4067</v>
      </c>
      <c r="B4128" s="138">
        <f>'Acct Summary 7-8'!I10</f>
        <v>11024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10176</v>
      </c>
      <c r="C4130" s="2" t="s">
        <v>594</v>
      </c>
      <c r="D4130" s="2" t="str">
        <f t="shared" si="63"/>
        <v>Error?</v>
      </c>
    </row>
    <row r="4131" spans="1:4" x14ac:dyDescent="0.2">
      <c r="A4131" s="5">
        <v>4070</v>
      </c>
      <c r="B4131" s="138">
        <f>'Acct Summary 7-8'!C18</f>
        <v>242760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1859007</v>
      </c>
      <c r="C4136" s="2" t="s">
        <v>594</v>
      </c>
      <c r="D4136" s="2" t="str">
        <f t="shared" si="63"/>
        <v>Error?</v>
      </c>
    </row>
    <row r="4137" spans="1:4" x14ac:dyDescent="0.2">
      <c r="A4137" s="5">
        <v>4076</v>
      </c>
      <c r="B4137" s="138">
        <f>'Acct Summary 7-8'!D19</f>
        <v>68935</v>
      </c>
      <c r="C4137" s="2" t="s">
        <v>594</v>
      </c>
      <c r="D4137" s="2" t="str">
        <f t="shared" si="63"/>
        <v>Error?</v>
      </c>
    </row>
    <row r="4138" spans="1:4" x14ac:dyDescent="0.2">
      <c r="A4138" s="5">
        <v>4077</v>
      </c>
      <c r="B4138" s="138">
        <f>'Acct Summary 7-8'!E19</f>
        <v>127689</v>
      </c>
      <c r="C4138" s="2" t="s">
        <v>594</v>
      </c>
      <c r="D4138" s="2" t="str">
        <f t="shared" si="63"/>
        <v>Error?</v>
      </c>
    </row>
    <row r="4139" spans="1:4" x14ac:dyDescent="0.2">
      <c r="A4139" s="5">
        <v>4078</v>
      </c>
      <c r="B4139" s="138">
        <f>'Acct Summary 7-8'!F19</f>
        <v>86550</v>
      </c>
      <c r="C4139" s="2" t="s">
        <v>594</v>
      </c>
      <c r="D4139" s="2" t="str">
        <f t="shared" si="63"/>
        <v>Error?</v>
      </c>
    </row>
    <row r="4140" spans="1:4" x14ac:dyDescent="0.2">
      <c r="A4140" s="5">
        <v>4079</v>
      </c>
      <c r="B4140" s="138">
        <f>'Acct Summary 7-8'!G19</f>
        <v>43946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15497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515000</v>
      </c>
      <c r="C4171" s="2" t="s">
        <v>594</v>
      </c>
      <c r="D4171" s="2" t="str">
        <f t="shared" si="64"/>
        <v>Error?</v>
      </c>
    </row>
    <row r="4172" spans="1:4" x14ac:dyDescent="0.2">
      <c r="A4172" s="5">
        <v>4111</v>
      </c>
      <c r="B4172" s="138">
        <f>'Short-Term Long-Term Debt 24'!J49</f>
        <v>515000</v>
      </c>
      <c r="C4172" s="2" t="s">
        <v>594</v>
      </c>
      <c r="D4172" s="2" t="str">
        <f t="shared" si="64"/>
        <v>Error?</v>
      </c>
    </row>
    <row r="4173" spans="1:4" x14ac:dyDescent="0.2">
      <c r="A4173" s="5">
        <v>4112</v>
      </c>
      <c r="B4173" s="138">
        <f>'Short-Term Long-Term Debt 24'!H49</f>
        <v>100000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3400.0000000000005</v>
      </c>
      <c r="C4268" s="2" t="s">
        <v>594</v>
      </c>
      <c r="D4268" s="2" t="str">
        <f t="shared" si="65"/>
        <v>Error?</v>
      </c>
    </row>
    <row r="4269" spans="1:5" x14ac:dyDescent="0.2">
      <c r="A4269" s="12">
        <v>4208</v>
      </c>
      <c r="B4269" s="138">
        <f>'FP Info 3'!J16</f>
        <v>1655418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2293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43893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20217395</v>
      </c>
      <c r="D4995" s="2" t="str">
        <f t="shared" si="77"/>
        <v>Error?</v>
      </c>
    </row>
    <row r="4996" spans="1:4" x14ac:dyDescent="0.2">
      <c r="A4996" s="12">
        <v>4935</v>
      </c>
      <c r="B4996" s="138">
        <f>'FP Info 3'!H31</f>
        <v>2790000.5100000002</v>
      </c>
      <c r="D4996" s="2" t="str">
        <f t="shared" si="77"/>
        <v>Error?</v>
      </c>
    </row>
    <row r="4997" spans="1:4" x14ac:dyDescent="0.2">
      <c r="A4997" s="12">
        <v>4936</v>
      </c>
      <c r="B4997" s="138">
        <f>'FP Info 3'!H37</f>
        <v>515000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541466</v>
      </c>
      <c r="D5061" s="2" t="str">
        <f t="shared" si="78"/>
        <v>Error?</v>
      </c>
    </row>
    <row r="5062" spans="1:4" x14ac:dyDescent="0.2">
      <c r="A5062" s="10">
        <v>5001</v>
      </c>
      <c r="D5062" s="2" t="str">
        <f t="shared" si="78"/>
        <v>OK</v>
      </c>
    </row>
    <row r="5063" spans="1:4" x14ac:dyDescent="0.2">
      <c r="A5063" s="5">
        <v>5002</v>
      </c>
      <c r="B5063" s="138">
        <f>'Revenues 9-14'!C7</f>
        <v>8022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549488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95578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95578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7029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7029</v>
      </c>
      <c r="C5090" s="2" t="s">
        <v>594</v>
      </c>
      <c r="D5090" s="2" t="str">
        <f t="shared" si="78"/>
        <v>Error?</v>
      </c>
    </row>
    <row r="5091" spans="1:4" x14ac:dyDescent="0.2">
      <c r="A5091" s="5">
        <v>5030</v>
      </c>
      <c r="B5091" s="138">
        <f>'Revenues 9-14'!C70</f>
        <v>527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429</v>
      </c>
      <c r="D5093" s="2" t="str">
        <f t="shared" si="78"/>
        <v>Error?</v>
      </c>
    </row>
    <row r="5094" spans="1:4" x14ac:dyDescent="0.2">
      <c r="A5094" s="5">
        <v>5033</v>
      </c>
      <c r="B5094" s="138">
        <f>'Revenues 9-14'!C73</f>
        <v>1463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24069</v>
      </c>
      <c r="C5096" s="2" t="s">
        <v>594</v>
      </c>
      <c r="D5096" s="2" t="str">
        <f t="shared" si="78"/>
        <v>Error?</v>
      </c>
    </row>
    <row r="5097" spans="1:4" x14ac:dyDescent="0.2">
      <c r="A5097" s="5">
        <v>5036</v>
      </c>
      <c r="B5097" s="138">
        <f>'Revenues 9-14'!C77</f>
        <v>3824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155</v>
      </c>
      <c r="D5101" s="2" t="str">
        <f t="shared" si="78"/>
        <v>Error?</v>
      </c>
    </row>
    <row r="5102" spans="1:4" x14ac:dyDescent="0.2">
      <c r="A5102" s="5">
        <v>5041</v>
      </c>
      <c r="B5102" s="138">
        <f>'Revenues 9-14'!C82</f>
        <v>3999</v>
      </c>
      <c r="C5102" s="2" t="s">
        <v>594</v>
      </c>
      <c r="D5102" s="2" t="str">
        <f t="shared" si="78"/>
        <v>Error?</v>
      </c>
    </row>
    <row r="5103" spans="1:4" x14ac:dyDescent="0.2">
      <c r="A5103" s="5">
        <v>5042</v>
      </c>
      <c r="B5103" s="138">
        <f>'Revenues 9-14'!C84</f>
        <v>3200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3200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34332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97</v>
      </c>
      <c r="D5119" s="2" t="str">
        <f t="shared" ref="D5119:D5182" si="79">IF(ISBLANK(B5119),"OK",IF(A5119-B5119=0,"OK","Error?"))</f>
        <v>Error?</v>
      </c>
    </row>
    <row r="5120" spans="1:4" x14ac:dyDescent="0.2">
      <c r="A5120" s="5">
        <v>5059</v>
      </c>
      <c r="B5120" s="138">
        <f>'Revenues 9-14'!C108</f>
        <v>78322</v>
      </c>
      <c r="C5120" s="2" t="s">
        <v>594</v>
      </c>
      <c r="D5120" s="2" t="str">
        <f t="shared" si="79"/>
        <v>Error?</v>
      </c>
    </row>
    <row r="5121" spans="1:4" x14ac:dyDescent="0.2">
      <c r="A5121" s="5">
        <v>5060</v>
      </c>
      <c r="B5121" s="138">
        <f>'Revenues 9-14'!C109</f>
        <v>761685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252</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252</v>
      </c>
      <c r="C5125" s="2" t="s">
        <v>594</v>
      </c>
      <c r="D5125" s="2" t="str">
        <f t="shared" si="79"/>
        <v>Error?</v>
      </c>
    </row>
    <row r="5126" spans="1:4" x14ac:dyDescent="0.2">
      <c r="A5126" s="5">
        <v>5065</v>
      </c>
      <c r="B5126" s="138">
        <f>'Revenues 9-14'!C117</f>
        <v>982525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982525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16077</v>
      </c>
      <c r="D5134" s="2" t="str">
        <f t="shared" si="79"/>
        <v>Error?</v>
      </c>
    </row>
    <row r="5135" spans="1:4" x14ac:dyDescent="0.2">
      <c r="A5135" s="5">
        <v>5074</v>
      </c>
      <c r="B5135" s="138">
        <f>'Revenues 9-14'!C126</f>
        <v>4841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20918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655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21573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1004098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38025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14038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52063</v>
      </c>
      <c r="C5246" s="2" t="s">
        <v>594</v>
      </c>
      <c r="D5246" s="2" t="str">
        <f t="shared" si="80"/>
        <v>Error?</v>
      </c>
    </row>
    <row r="5247" spans="1:4" x14ac:dyDescent="0.2">
      <c r="A5247" s="5">
        <v>5186</v>
      </c>
      <c r="B5247" s="138">
        <f>'Revenues 9-14'!C203</f>
        <v>30185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30185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191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191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84732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84732</v>
      </c>
      <c r="C5326" s="2" t="s">
        <v>594</v>
      </c>
      <c r="D5326" s="2" t="str">
        <f t="shared" si="82"/>
        <v>Error?</v>
      </c>
    </row>
    <row r="5327" spans="1:4" x14ac:dyDescent="0.2">
      <c r="A5327" s="5">
        <v>5266</v>
      </c>
      <c r="B5327" s="138">
        <f>'Revenues 9-14'!C275</f>
        <v>1850767</v>
      </c>
      <c r="C5327" s="2" t="s">
        <v>594</v>
      </c>
      <c r="D5327" s="2" t="str">
        <f t="shared" si="82"/>
        <v>Error?</v>
      </c>
    </row>
    <row r="5328" spans="1:4" x14ac:dyDescent="0.2">
      <c r="A5328" s="5">
        <v>5267</v>
      </c>
      <c r="B5328" s="138">
        <f>'Revenues 9-14'!D5</f>
        <v>100271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100271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7434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7434</v>
      </c>
      <c r="C5339" s="2" t="s">
        <v>594</v>
      </c>
      <c r="D5339" s="2" t="str">
        <f t="shared" si="82"/>
        <v>Error?</v>
      </c>
    </row>
    <row r="5340" spans="1:4" x14ac:dyDescent="0.2">
      <c r="A5340" s="5">
        <v>5279</v>
      </c>
      <c r="B5340" s="138">
        <f>'Revenues 9-14'!D65</f>
        <v>193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1224</v>
      </c>
      <c r="D5354" s="2" t="str">
        <f t="shared" si="82"/>
        <v>Error?</v>
      </c>
    </row>
    <row r="5355" spans="1:4" x14ac:dyDescent="0.2">
      <c r="A5355" s="5">
        <v>5294</v>
      </c>
      <c r="B5355" s="138">
        <f>'Revenues 9-14'!D108</f>
        <v>1314</v>
      </c>
      <c r="C5355" s="2" t="s">
        <v>594</v>
      </c>
      <c r="D5355" s="2" t="str">
        <f t="shared" si="82"/>
        <v>Error?</v>
      </c>
    </row>
    <row r="5356" spans="1:4" x14ac:dyDescent="0.2">
      <c r="A5356" s="5">
        <v>5295</v>
      </c>
      <c r="B5356" s="138">
        <f>'Revenues 9-14'!D109</f>
        <v>109212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109212</v>
      </c>
      <c r="C5508" s="2" t="s">
        <v>594</v>
      </c>
      <c r="D5508" s="2" t="str">
        <f t="shared" si="85"/>
        <v>Error?</v>
      </c>
    </row>
    <row r="5509" spans="1:4" x14ac:dyDescent="0.2">
      <c r="A5509" s="5">
        <v>5448</v>
      </c>
      <c r="B5509" s="138">
        <f>'Revenues 9-14'!E5</f>
        <v>124775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124775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124799</v>
      </c>
      <c r="C5527" s="2" t="s">
        <v>594</v>
      </c>
      <c r="D5527" s="2" t="str">
        <f t="shared" si="85"/>
        <v>Error?</v>
      </c>
    </row>
    <row r="5528" spans="1:4" x14ac:dyDescent="0.2">
      <c r="A5528" s="5">
        <v>5467</v>
      </c>
      <c r="B5528" s="138">
        <f>'Revenues 9-14'!E117</f>
        <v>2700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2700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2700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127499</v>
      </c>
      <c r="C5552" s="2" t="s">
        <v>594</v>
      </c>
      <c r="D5552" s="2" t="str">
        <f t="shared" si="85"/>
        <v>Error?</v>
      </c>
    </row>
    <row r="5553" spans="1:4" x14ac:dyDescent="0.2">
      <c r="A5553" s="5">
        <v>5492</v>
      </c>
      <c r="B5553" s="138">
        <f>'Revenues 9-14'!F5</f>
        <v>40109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40109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855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40964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32379</v>
      </c>
      <c r="D5615" s="2" t="str">
        <f t="shared" si="86"/>
        <v>Error?</v>
      </c>
    </row>
    <row r="5616" spans="1:4" x14ac:dyDescent="0.2">
      <c r="A5616" s="10">
        <v>5555</v>
      </c>
      <c r="D5616" s="2" t="str">
        <f t="shared" si="86"/>
        <v>OK</v>
      </c>
    </row>
    <row r="5617" spans="1:4" x14ac:dyDescent="0.2">
      <c r="A5617" s="5">
        <v>5556</v>
      </c>
      <c r="B5617" s="138">
        <f>'Revenues 9-14'!F152</f>
        <v>31741</v>
      </c>
      <c r="D5617" s="2" t="str">
        <f t="shared" si="86"/>
        <v>Error?</v>
      </c>
    </row>
    <row r="5618" spans="1:4" x14ac:dyDescent="0.2">
      <c r="A5618" s="5">
        <v>5557</v>
      </c>
      <c r="B5618" s="138">
        <f>'Revenues 9-14'!F154</f>
        <v>64120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64120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64120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105084</v>
      </c>
      <c r="C5720" s="2" t="s">
        <v>594</v>
      </c>
      <c r="D5720" s="2" t="str">
        <f t="shared" si="88"/>
        <v>Error?</v>
      </c>
    </row>
    <row r="5721" spans="1:4" x14ac:dyDescent="0.2">
      <c r="A5721" s="5">
        <v>5660</v>
      </c>
      <c r="B5721" s="138">
        <f>'Revenues 9-14'!G5</f>
        <v>51583</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51583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3186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3186</v>
      </c>
      <c r="C5730" s="2" t="s">
        <v>594</v>
      </c>
      <c r="D5730" s="2" t="str">
        <f t="shared" si="88"/>
        <v>Error?</v>
      </c>
    </row>
    <row r="5731" spans="1:4" x14ac:dyDescent="0.2">
      <c r="A5731" s="5">
        <v>5670</v>
      </c>
      <c r="B5731" s="138">
        <f>'Revenues 9-14'!G65</f>
        <v>671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671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55440</v>
      </c>
      <c r="C5870" s="2" t="s">
        <v>594</v>
      </c>
      <c r="D5870" s="2" t="str">
        <f t="shared" si="90"/>
        <v>Error?</v>
      </c>
    </row>
    <row r="5871" spans="1:4" x14ac:dyDescent="0.2">
      <c r="A5871" s="5">
        <v>5810</v>
      </c>
      <c r="B5871" s="138">
        <f>'Revenues 9-14'!H5</f>
        <v>10027</v>
      </c>
      <c r="D5871" s="2" t="str">
        <f t="shared" si="90"/>
        <v>Error?</v>
      </c>
    </row>
    <row r="5872" spans="1:4" x14ac:dyDescent="0.2">
      <c r="A5872" s="5">
        <v>5811</v>
      </c>
      <c r="B5872" s="138">
        <f>'Revenues 9-14'!H11</f>
        <v>0</v>
      </c>
      <c r="D5872" s="2" t="str">
        <f t="shared" si="90"/>
        <v>Error?</v>
      </c>
    </row>
    <row r="5873" spans="1:4" x14ac:dyDescent="0.2">
      <c r="A5873" s="5">
        <v>5812</v>
      </c>
      <c r="B5873" s="138">
        <f>'Revenues 9-14'!H12</f>
        <v>10027</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10045</v>
      </c>
      <c r="C5915" s="2" t="s">
        <v>594</v>
      </c>
      <c r="D5915" s="2" t="str">
        <f t="shared" si="91"/>
        <v>Error?</v>
      </c>
    </row>
    <row r="5916" spans="1:4" x14ac:dyDescent="0.2">
      <c r="A5916" s="5">
        <v>5855</v>
      </c>
      <c r="B5916" s="138">
        <f>'Revenues 9-14'!I5</f>
        <v>10027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10027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997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11024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10027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10027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10176</v>
      </c>
      <c r="C6023" s="2" t="s">
        <v>594</v>
      </c>
      <c r="D6023" s="2" t="str">
        <f t="shared" si="93"/>
        <v>Error?</v>
      </c>
    </row>
    <row r="6024" spans="1:5" x14ac:dyDescent="0.2">
      <c r="A6024" s="5">
        <v>5963</v>
      </c>
      <c r="B6024" s="138">
        <f>'Revenues 9-14'!G109</f>
        <v>55440</v>
      </c>
      <c r="C6024" s="2" t="s">
        <v>594</v>
      </c>
      <c r="D6024" s="2" t="str">
        <f t="shared" si="93"/>
        <v>Error?</v>
      </c>
    </row>
    <row r="6025" spans="1:5" x14ac:dyDescent="0.2">
      <c r="A6025" s="5">
        <v>5964</v>
      </c>
      <c r="B6025" s="138">
        <f>'Revenues 9-14'!H109</f>
        <v>10045</v>
      </c>
      <c r="C6025" s="2" t="s">
        <v>594</v>
      </c>
      <c r="D6025" s="2" t="str">
        <f t="shared" si="93"/>
        <v>Error?</v>
      </c>
    </row>
    <row r="6026" spans="1:5" x14ac:dyDescent="0.2">
      <c r="A6026" s="5">
        <v>5965</v>
      </c>
      <c r="B6026" s="138">
        <f>'Revenues 9-14'!I109</f>
        <v>11024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10176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21650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135.22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3627</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23958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23958</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23958</v>
      </c>
      <c r="D6216" s="2" t="str">
        <f t="shared" si="96"/>
        <v>Error?</v>
      </c>
      <c r="E6216" s="2" t="s">
        <v>199</v>
      </c>
    </row>
    <row r="6217" spans="1:5" x14ac:dyDescent="0.2">
      <c r="A6217">
        <v>6156</v>
      </c>
      <c r="B6217" s="138">
        <f>'Assets-Liab 5-6'!J4</f>
        <v>23958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99471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99471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99471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113184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113184</v>
      </c>
      <c r="D6229" s="2" t="str">
        <f t="shared" si="96"/>
        <v>Error?</v>
      </c>
      <c r="E6229" s="2" t="s">
        <v>199</v>
      </c>
    </row>
    <row r="6230" spans="1:5" x14ac:dyDescent="0.2">
      <c r="A6230">
        <v>6169</v>
      </c>
      <c r="B6230" s="138">
        <f>'Acct Summary 7-8'!J20</f>
        <v>-13713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-13713</v>
      </c>
      <c r="D6263" s="2" t="str">
        <f t="shared" si="96"/>
        <v>Error?</v>
      </c>
      <c r="E6263" s="2" t="s">
        <v>199</v>
      </c>
    </row>
    <row r="6264" spans="1:5" x14ac:dyDescent="0.2">
      <c r="A6264">
        <v>6203</v>
      </c>
      <c r="B6264" s="138">
        <f>'Acct Summary 7-8'!J79</f>
        <v>37671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23958</v>
      </c>
      <c r="D6266" s="2" t="str">
        <f t="shared" si="96"/>
        <v>Error?</v>
      </c>
      <c r="E6266" s="2" t="s">
        <v>199</v>
      </c>
    </row>
    <row r="6267" spans="1:5" x14ac:dyDescent="0.2">
      <c r="A6267">
        <v>6206</v>
      </c>
      <c r="B6267" s="138">
        <f>'Acct Summary 7-8'!C82</f>
        <v>234520</v>
      </c>
      <c r="D6267" s="2" t="str">
        <f t="shared" si="96"/>
        <v>Error?</v>
      </c>
      <c r="E6267" s="2" t="s">
        <v>199</v>
      </c>
    </row>
    <row r="6268" spans="1:5" x14ac:dyDescent="0.2">
      <c r="A6268">
        <v>6207</v>
      </c>
      <c r="B6268" s="138">
        <f>'Acct Summary 7-8'!D82</f>
        <v>40277</v>
      </c>
      <c r="D6268" s="2" t="str">
        <f t="shared" si="96"/>
        <v>Error?</v>
      </c>
      <c r="E6268" s="2" t="s">
        <v>199</v>
      </c>
    </row>
    <row r="6269" spans="1:5" x14ac:dyDescent="0.2">
      <c r="A6269">
        <v>6208</v>
      </c>
      <c r="B6269" s="138">
        <f>'Acct Summary 7-8'!E82</f>
        <v>-190</v>
      </c>
      <c r="D6269" s="2" t="str">
        <f t="shared" si="96"/>
        <v>Error?</v>
      </c>
      <c r="E6269" s="2" t="s">
        <v>199</v>
      </c>
    </row>
    <row r="6270" spans="1:5" x14ac:dyDescent="0.2">
      <c r="A6270">
        <v>6209</v>
      </c>
      <c r="B6270" s="138">
        <f>'Acct Summary 7-8'!F82</f>
        <v>18534</v>
      </c>
      <c r="D6270" s="2" t="str">
        <f t="shared" si="96"/>
        <v>Error?</v>
      </c>
      <c r="E6270" s="2" t="s">
        <v>199</v>
      </c>
    </row>
    <row r="6271" spans="1:5" x14ac:dyDescent="0.2">
      <c r="A6271">
        <v>6210</v>
      </c>
      <c r="B6271" s="138">
        <f>'Acct Summary 7-8'!G82</f>
        <v>11494</v>
      </c>
      <c r="D6271" s="2" t="str">
        <f t="shared" ref="D6271:D6334" si="97">IF(ISBLANK(B6271),"OK",IF(A6271-B6271=0,"OK","Error?"))</f>
        <v>Error?</v>
      </c>
      <c r="E6271" s="2" t="s">
        <v>199</v>
      </c>
    </row>
    <row r="6272" spans="1:5" x14ac:dyDescent="0.2">
      <c r="A6272">
        <v>6211</v>
      </c>
      <c r="B6272" s="138">
        <f>'Acct Summary 7-8'!H82</f>
        <v>10045</v>
      </c>
      <c r="D6272" s="2" t="str">
        <f t="shared" si="97"/>
        <v>Error?</v>
      </c>
      <c r="E6272" s="2" t="s">
        <v>199</v>
      </c>
    </row>
    <row r="6273" spans="1:5" x14ac:dyDescent="0.2">
      <c r="A6273">
        <v>6212</v>
      </c>
      <c r="B6273" s="138">
        <f>'Acct Summary 7-8'!I82</f>
        <v>11024</v>
      </c>
      <c r="D6273" s="2" t="str">
        <f t="shared" si="97"/>
        <v>Error?</v>
      </c>
      <c r="E6273" s="2" t="s">
        <v>199</v>
      </c>
    </row>
    <row r="6274" spans="1:5" x14ac:dyDescent="0.2">
      <c r="A6274">
        <v>6213</v>
      </c>
      <c r="B6274" s="138">
        <f>'Acct Summary 7-8'!J82</f>
        <v>-13713</v>
      </c>
      <c r="D6274" s="2" t="str">
        <f t="shared" si="97"/>
        <v>Error?</v>
      </c>
      <c r="E6274" s="2" t="s">
        <v>199</v>
      </c>
    </row>
    <row r="6275" spans="1:5" x14ac:dyDescent="0.2">
      <c r="A6275">
        <v>6214</v>
      </c>
      <c r="B6275" s="138">
        <f>'Acct Summary 7-8'!K82</f>
        <v>-5321</v>
      </c>
      <c r="D6275" s="2" t="str">
        <f t="shared" si="97"/>
        <v>Error?</v>
      </c>
      <c r="E6275" s="2" t="s">
        <v>199</v>
      </c>
    </row>
    <row r="6276" spans="1:5" x14ac:dyDescent="0.2">
      <c r="A6276">
        <v>6215</v>
      </c>
      <c r="B6276" s="138">
        <f>'Acct Summary 7-8'!C83</f>
        <v>0.22900375748959073</v>
      </c>
      <c r="D6276" s="2" t="str">
        <f t="shared" si="97"/>
        <v>Error?</v>
      </c>
      <c r="E6276" s="2" t="s">
        <v>199</v>
      </c>
    </row>
    <row r="6277" spans="1:5" x14ac:dyDescent="0.2">
      <c r="A6277">
        <v>6216</v>
      </c>
      <c r="B6277" s="138">
        <f>'Acct Summary 7-8'!D83</f>
        <v>0.68030876292142428</v>
      </c>
      <c r="D6277" s="2" t="str">
        <f t="shared" si="97"/>
        <v>Error?</v>
      </c>
      <c r="E6277" s="2" t="s">
        <v>199</v>
      </c>
    </row>
    <row r="6278" spans="1:5" x14ac:dyDescent="0.2">
      <c r="A6278">
        <v>6217</v>
      </c>
      <c r="B6278" s="138">
        <f>'Acct Summary 7-8'!E83</f>
        <v>-5.4285714285714288</v>
      </c>
      <c r="D6278" s="2" t="str">
        <f t="shared" si="97"/>
        <v>Error?</v>
      </c>
      <c r="E6278" s="2" t="s">
        <v>199</v>
      </c>
    </row>
    <row r="6279" spans="1:5" x14ac:dyDescent="0.2">
      <c r="A6279">
        <v>6218</v>
      </c>
      <c r="B6279" s="138">
        <f>'Acct Summary 7-8'!F83</f>
        <v>0.10953641757878065</v>
      </c>
      <c r="D6279" s="2" t="str">
        <f t="shared" si="97"/>
        <v>Error?</v>
      </c>
      <c r="E6279" s="2" t="s">
        <v>199</v>
      </c>
    </row>
    <row r="6280" spans="1:5" x14ac:dyDescent="0.2">
      <c r="A6280">
        <v>6219</v>
      </c>
      <c r="B6280" s="138">
        <f>'Acct Summary 7-8'!G83</f>
        <v>1.639657631954351</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2.736013421952636E-2</v>
      </c>
      <c r="D6282" s="2" t="str">
        <f t="shared" si="97"/>
        <v>Error?</v>
      </c>
      <c r="E6282" s="2" t="s">
        <v>199</v>
      </c>
    </row>
    <row r="6283" spans="1:5" x14ac:dyDescent="0.2">
      <c r="A6283">
        <v>6222</v>
      </c>
      <c r="B6283" s="138">
        <f>'Acct Summary 7-8'!J83</f>
        <v>-0.57237665915351865</v>
      </c>
      <c r="D6283" s="2" t="str">
        <f t="shared" si="97"/>
        <v>Error?</v>
      </c>
      <c r="E6283" s="2" t="s">
        <v>199</v>
      </c>
    </row>
    <row r="6284" spans="1:5" x14ac:dyDescent="0.2">
      <c r="A6284">
        <v>6223</v>
      </c>
      <c r="B6284" s="138">
        <f>'Acct Summary 7-8'!K83</f>
        <v>-8.863753727240925E-2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99195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99195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276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276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99471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13868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13868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21272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16211</v>
      </c>
      <c r="D6896" s="2" t="str">
        <f t="shared" si="106"/>
        <v>Error?</v>
      </c>
    </row>
    <row r="6897" spans="1:4" x14ac:dyDescent="0.2">
      <c r="A6897">
        <v>6836</v>
      </c>
      <c r="B6897" s="138">
        <f>'Expenditures 15-22'!K30</f>
        <v>16211</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560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113184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99471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1893</v>
      </c>
      <c r="D7073" s="2" t="str">
        <f t="shared" si="109"/>
        <v>Error?</v>
      </c>
    </row>
    <row r="7074" spans="1:4" x14ac:dyDescent="0.2">
      <c r="A7074">
        <v>7013</v>
      </c>
      <c r="B7074" s="138">
        <f>'Expenditures 15-22'!K216</f>
        <v>1893</v>
      </c>
      <c r="D7074" s="2" t="str">
        <f t="shared" si="109"/>
        <v>Error?</v>
      </c>
    </row>
    <row r="7075" spans="1:4" x14ac:dyDescent="0.2">
      <c r="A7075">
        <v>7014</v>
      </c>
      <c r="B7075" s="138">
        <f>'Expenditures 15-22'!D218</f>
        <v>176</v>
      </c>
      <c r="D7075" s="2" t="str">
        <f t="shared" si="109"/>
        <v>Error?</v>
      </c>
    </row>
    <row r="7076" spans="1:4" x14ac:dyDescent="0.2">
      <c r="A7076">
        <v>7015</v>
      </c>
      <c r="B7076" s="138">
        <f>'Expenditures 15-22'!K218</f>
        <v>176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18212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18212</v>
      </c>
      <c r="D7153" s="2" t="str">
        <f t="shared" si="110"/>
        <v>Error?</v>
      </c>
    </row>
    <row r="7154" spans="1:4" x14ac:dyDescent="0.2">
      <c r="A7154">
        <v>7093</v>
      </c>
      <c r="B7154" s="138">
        <f>'Expenditures 15-22'!C323</f>
        <v>94972</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94972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94972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18212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113184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94972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18212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113184</v>
      </c>
      <c r="D7224" s="2" t="str">
        <f t="shared" si="111"/>
        <v>Error?</v>
      </c>
    </row>
    <row r="7225" spans="1:4" x14ac:dyDescent="0.2">
      <c r="A7225">
        <v>7164</v>
      </c>
      <c r="B7225" s="138">
        <f>'Expenditures 15-22'!K343</f>
        <v>-13713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18592</v>
      </c>
      <c r="D7251" s="2" t="str">
        <f t="shared" si="112"/>
        <v>Error?</v>
      </c>
    </row>
    <row r="7252" spans="1:4" x14ac:dyDescent="0.2">
      <c r="A7252">
        <f t="shared" si="113"/>
        <v>7191</v>
      </c>
      <c r="B7252" s="138">
        <f>'Expenditures 15-22'!D9</f>
        <v>2340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340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64602</v>
      </c>
      <c r="D7615" s="2" t="str">
        <f t="shared" ref="D7615:D7678" si="124">IF(ISBLANK(B7615),"OK",IF(A7615-B7615=0,"OK","Error?"))</f>
        <v>Error?</v>
      </c>
      <c r="E7615" s="2" t="s">
        <v>19</v>
      </c>
    </row>
    <row r="7616" spans="1:5" x14ac:dyDescent="0.2">
      <c r="A7616">
        <f t="shared" si="123"/>
        <v>7555</v>
      </c>
      <c r="B7616" s="138">
        <f>'Cap Outlay Deprec 26'!D14</f>
        <v>12004</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76606</v>
      </c>
      <c r="D7618" s="2" t="str">
        <f t="shared" si="124"/>
        <v>Error?</v>
      </c>
      <c r="E7618" s="2" t="s">
        <v>19</v>
      </c>
    </row>
    <row r="7619" spans="1:5" x14ac:dyDescent="0.2">
      <c r="A7619">
        <f t="shared" si="123"/>
        <v>7558</v>
      </c>
      <c r="B7619" s="138">
        <f>'Cap Outlay Deprec 26'!H14</f>
        <v>43784</v>
      </c>
      <c r="D7619" s="2" t="str">
        <f t="shared" si="124"/>
        <v>Error?</v>
      </c>
      <c r="E7619" s="2" t="s">
        <v>19</v>
      </c>
    </row>
    <row r="7620" spans="1:5" x14ac:dyDescent="0.2">
      <c r="A7620">
        <f t="shared" si="123"/>
        <v>7559</v>
      </c>
      <c r="B7620" s="138">
        <f>'Cap Outlay Deprec 26'!I14</f>
        <v>5214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48998</v>
      </c>
      <c r="D7622" s="2" t="str">
        <f t="shared" si="124"/>
        <v>Error?</v>
      </c>
      <c r="E7622" s="2" t="s">
        <v>19</v>
      </c>
    </row>
    <row r="7623" spans="1:5" x14ac:dyDescent="0.2">
      <c r="A7623">
        <f t="shared" si="123"/>
        <v>7562</v>
      </c>
      <c r="B7623" s="138">
        <f>'Cap Outlay Deprec 26'!L14</f>
        <v>27608</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69950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Potomac Cusd 10</v>
      </c>
      <c r="B7" s="2421"/>
      <c r="C7" s="2421"/>
      <c r="D7" s="2422"/>
      <c r="E7" s="2423">
        <f>COVER!A13</f>
        <v>54092010026</v>
      </c>
      <c r="F7" s="2424"/>
      <c r="G7" s="2430" t="str">
        <f>COVER!T23</f>
        <v>065-019320</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Daughhetee and Parks Management Consulting PC</v>
      </c>
      <c r="H9" s="2436"/>
      <c r="I9" s="2436"/>
      <c r="J9" s="2436"/>
      <c r="K9" s="2436"/>
      <c r="L9" s="2437"/>
    </row>
    <row r="10" spans="1:29" ht="13.5" customHeight="1" x14ac:dyDescent="0.2">
      <c r="A10" s="2410" t="str">
        <f>COVER!A38</f>
        <v>Larry Maynard</v>
      </c>
      <c r="B10" s="2411"/>
      <c r="C10" s="2411"/>
      <c r="D10" s="2411"/>
      <c r="E10" s="2411"/>
      <c r="F10" s="2412"/>
      <c r="G10" s="2404" t="str">
        <f>COVER!T17</f>
        <v>2200 Kickapoo Drive Ste A</v>
      </c>
      <c r="H10" s="2405"/>
      <c r="I10" s="2405"/>
      <c r="J10" s="2405"/>
      <c r="K10" s="2405"/>
      <c r="L10" s="2406"/>
    </row>
    <row r="11" spans="1:29" ht="13.5" customHeight="1" x14ac:dyDescent="0.2">
      <c r="A11" s="1185" t="s">
        <v>1599</v>
      </c>
      <c r="B11" s="1186"/>
      <c r="C11" s="1187"/>
      <c r="D11" s="1192"/>
      <c r="E11" s="1187"/>
      <c r="F11" s="1191"/>
      <c r="G11" s="2404" t="str">
        <f>COVER!T19</f>
        <v>Danville</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f>COVER!T25</f>
        <v>0</v>
      </c>
      <c r="J13" s="2417"/>
      <c r="K13" s="2417"/>
      <c r="L13" s="2418"/>
    </row>
    <row r="14" spans="1:29" ht="13.5" customHeight="1" x14ac:dyDescent="0.2">
      <c r="A14" s="2404" t="str">
        <f>COVER!A19</f>
        <v>7915 U.S. 136</v>
      </c>
      <c r="B14" s="2405"/>
      <c r="C14" s="2405"/>
      <c r="D14" s="2405"/>
      <c r="E14" s="2405"/>
      <c r="F14" s="2406"/>
      <c r="G14" s="1196" t="s">
        <v>1247</v>
      </c>
      <c r="H14" s="1194"/>
      <c r="I14" s="1194"/>
      <c r="J14" s="1194"/>
      <c r="K14" s="1194"/>
      <c r="L14" s="1195"/>
    </row>
    <row r="15" spans="1:29" ht="13.5" customHeight="1" x14ac:dyDescent="0.2">
      <c r="A15" s="2404" t="str">
        <f>COVER!A21</f>
        <v>Potomac, Illinois</v>
      </c>
      <c r="B15" s="2405"/>
      <c r="C15" s="2405"/>
      <c r="D15" s="2405"/>
      <c r="E15" s="2405"/>
      <c r="F15" s="2406"/>
      <c r="G15" s="2401" t="str">
        <f>COVER!T15</f>
        <v>Phyllis Parks</v>
      </c>
      <c r="H15" s="2402"/>
      <c r="I15" s="2402"/>
      <c r="J15" s="2402"/>
      <c r="K15" s="2402"/>
      <c r="L15" s="2403"/>
    </row>
    <row r="16" spans="1:29" ht="12.2" customHeight="1" x14ac:dyDescent="0.2">
      <c r="A16" s="2426">
        <f>COVER!A25</f>
        <v>61865</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217-431-2727</v>
      </c>
      <c r="H18" s="2421"/>
      <c r="I18" s="2421"/>
      <c r="J18" s="2421"/>
      <c r="K18" s="2420" t="str">
        <f>COVER!X21</f>
        <v>217-431-3273</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Potomac Cusd 10</v>
      </c>
      <c r="B1" s="2419"/>
      <c r="C1" s="2419"/>
      <c r="D1" s="2419"/>
    </row>
    <row r="2" spans="1:11" s="1215" customFormat="1" ht="12.75" x14ac:dyDescent="0.2">
      <c r="A2" s="2443">
        <f>'Single Audit Cover'!E7</f>
        <v>54092010026</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Potomac Cusd 10</v>
      </c>
      <c r="B1" s="2446"/>
      <c r="C1" s="2446"/>
      <c r="D1" s="2446"/>
      <c r="E1" s="2446"/>
    </row>
    <row r="2" spans="1:5" x14ac:dyDescent="0.2">
      <c r="A2" s="2447">
        <f>'Single Audit Cover'!E7</f>
        <v>54092010026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84732</v>
      </c>
    </row>
    <row r="11" spans="1:5" ht="18" customHeight="1" x14ac:dyDescent="0.2">
      <c r="A11" s="1261" t="s">
        <v>1302</v>
      </c>
      <c r="B11" s="1262"/>
      <c r="C11" s="1262"/>
    </row>
    <row r="12" spans="1:5" x14ac:dyDescent="0.2">
      <c r="A12" s="1261" t="s">
        <v>1301</v>
      </c>
      <c r="B12" s="1262" t="s">
        <v>1300</v>
      </c>
      <c r="C12" s="1262"/>
      <c r="D12" s="1264">
        <f>SUM('Revenues 9-14'!C112:D112,'Revenues 9-14'!F112:G112)</f>
        <v>252</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84984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84984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84984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Potomac Cusd 10</v>
      </c>
      <c r="B1" s="2459"/>
      <c r="C1" s="2459"/>
      <c r="D1" s="2459"/>
      <c r="E1" s="2459"/>
      <c r="F1" s="2459"/>
    </row>
    <row r="2" spans="1:7" ht="13.5" customHeight="1" x14ac:dyDescent="0.2">
      <c r="A2" s="2460">
        <f>'Single Audit Cover'!E7</f>
        <v>54092010026</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3">
        <f>+C33+C34</f>
        <v>0</v>
      </c>
      <c r="F34" s="245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70"/>
      <c r="C50" s="1870"/>
      <c r="D50" s="1870"/>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Potomac Cusd 10</v>
      </c>
      <c r="C1" s="2463"/>
      <c r="D1" s="2463"/>
      <c r="E1" s="2463"/>
      <c r="F1" s="2463"/>
      <c r="G1" s="2463"/>
      <c r="H1" s="2463"/>
      <c r="I1" s="2463"/>
      <c r="J1" s="2463"/>
      <c r="K1" s="2463"/>
      <c r="L1" s="2463"/>
      <c r="M1" s="2463"/>
    </row>
    <row r="2" spans="2:14" ht="15" x14ac:dyDescent="0.2">
      <c r="B2" s="2460">
        <f>'Single Audit Cover'!E7</f>
        <v>54092010026</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F115" sqref="F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2109</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Potomac Cusd 10</v>
      </c>
      <c r="C1" s="2478"/>
      <c r="D1" s="2478"/>
      <c r="E1" s="2478"/>
      <c r="F1" s="2478"/>
      <c r="G1" s="2478"/>
      <c r="H1" s="2478"/>
      <c r="I1" s="2478"/>
      <c r="J1" s="1422"/>
    </row>
    <row r="2" spans="2:10" s="317" customFormat="1" ht="12.75" customHeight="1" x14ac:dyDescent="0.2">
      <c r="B2" s="2479">
        <f>'Single Audit Cover'!E7</f>
        <v>54092010026</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1952</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Potomac Cusd 10</v>
      </c>
      <c r="C1" s="2477"/>
      <c r="D1" s="2477"/>
      <c r="E1" s="2477"/>
      <c r="F1" s="2477"/>
      <c r="G1" s="2477"/>
      <c r="H1" s="2477"/>
      <c r="I1" s="2477"/>
      <c r="J1" s="2477"/>
      <c r="K1" s="2477"/>
      <c r="L1" s="1374"/>
      <c r="M1" s="1374"/>
    </row>
    <row r="2" spans="1:13" ht="12" customHeight="1" x14ac:dyDescent="0.2">
      <c r="B2" s="2479">
        <f>'Single Audit Cover'!E7</f>
        <v>54092010026</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Potomac Cusd 10</v>
      </c>
      <c r="C1" s="2500"/>
      <c r="D1" s="2500"/>
      <c r="E1" s="2500"/>
      <c r="F1" s="2500"/>
      <c r="G1" s="2500"/>
      <c r="H1" s="2500"/>
      <c r="I1" s="2500"/>
      <c r="J1" s="2500"/>
      <c r="K1" s="2500"/>
      <c r="L1" s="1465"/>
    </row>
    <row r="2" spans="1:12" ht="12.75" customHeight="1" x14ac:dyDescent="0.2">
      <c r="B2" s="2501">
        <f>'Single Audit Cover'!E7</f>
        <v>54092010026</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37" sqref="D3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Potomac Cusd 10</v>
      </c>
      <c r="C1" s="2477"/>
      <c r="D1" s="2477"/>
      <c r="E1" s="1491"/>
    </row>
    <row r="2" spans="2:5" s="1282" customFormat="1" ht="12.75" customHeight="1" x14ac:dyDescent="0.2">
      <c r="B2" s="2479">
        <f>'Single Audit Cover'!E7</f>
        <v>54092010026</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20217395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2.7E-2</v>
      </c>
      <c r="E10" s="356" t="s">
        <v>1062</v>
      </c>
      <c r="F10" s="355">
        <v>5.0000000000000001E-3</v>
      </c>
      <c r="G10" s="356" t="s">
        <v>1062</v>
      </c>
      <c r="H10" s="355">
        <v>2E-3</v>
      </c>
      <c r="I10" s="356" t="s">
        <v>1063</v>
      </c>
      <c r="J10" s="1754">
        <f>ROUND(D10+F10+H10,5)</f>
        <v>3.4000000000000002E-2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2076087</v>
      </c>
      <c r="E16" s="356"/>
      <c r="F16" s="1755">
        <f>SUM('Acct Summary 7-8'!C17,'Acct Summary 7-8'!D17,'Acct Summary 7-8'!F17)</f>
        <v>1771732</v>
      </c>
      <c r="G16" s="356"/>
      <c r="H16" s="1755">
        <f>SUM(D16-F16)</f>
        <v>304355</v>
      </c>
      <c r="I16" s="222"/>
      <c r="J16" s="1755">
        <f>SUM('Acct Summary 7-8'!C81,'Acct Summary 7-8'!D81,'Acct Summary 7-8'!F81,'Acct Summary 7-8'!I81)</f>
        <v>1655418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2790000.5100000002</v>
      </c>
      <c r="I31" s="368"/>
      <c r="J31" s="222"/>
      <c r="K31" s="222"/>
      <c r="L31" s="222"/>
      <c r="M31" s="222"/>
    </row>
    <row r="32" spans="1:13" ht="13.35" customHeight="1" x14ac:dyDescent="0.2">
      <c r="B32" s="369" t="s">
        <v>2098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H25" sqref="H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Potomac Cusd 10</v>
      </c>
      <c r="E7" s="391"/>
      <c r="G7" s="252"/>
      <c r="H7" s="387"/>
      <c r="I7" s="387"/>
      <c r="J7" s="387"/>
      <c r="K7" s="387"/>
      <c r="L7" s="329"/>
      <c r="M7" s="329"/>
      <c r="N7" s="329"/>
      <c r="O7" s="329"/>
      <c r="P7" s="329"/>
    </row>
    <row r="8" spans="1:18" ht="12.75" x14ac:dyDescent="0.2">
      <c r="A8" s="329"/>
      <c r="B8" s="329"/>
      <c r="C8" s="389" t="s">
        <v>1187</v>
      </c>
      <c r="D8" s="392">
        <f>COVER!A13</f>
        <v>54092010026</v>
      </c>
      <c r="E8" s="393"/>
      <c r="G8" s="329"/>
      <c r="H8" s="329"/>
      <c r="I8" s="329"/>
      <c r="J8" s="329"/>
      <c r="K8" s="329"/>
      <c r="L8" s="329"/>
      <c r="M8" s="329"/>
      <c r="N8" s="329"/>
      <c r="O8" s="329"/>
      <c r="P8" s="329"/>
    </row>
    <row r="9" spans="1:18" ht="12.75" x14ac:dyDescent="0.2">
      <c r="A9" s="329"/>
      <c r="B9" s="329"/>
      <c r="C9" s="389" t="s">
        <v>737</v>
      </c>
      <c r="D9" s="394" t="str">
        <f>COVER!A15</f>
        <v>Vermilion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1655418</v>
      </c>
      <c r="I12" s="404"/>
      <c r="J12" s="404"/>
      <c r="K12" s="405">
        <f>TRUNC((H12/H13*100000),5)/100000</f>
        <v>0.79737409839999995</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2076087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1771732</v>
      </c>
      <c r="I17" s="404"/>
      <c r="J17" s="416"/>
      <c r="K17" s="405">
        <f>TRUNC((H17/H18*100000),5)/100000</f>
        <v>0.85339968890000006</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2076087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1651791</v>
      </c>
      <c r="I24" s="422"/>
      <c r="J24" s="422"/>
      <c r="K24" s="423">
        <f>TRUNC(((H24/H25*100000)/100000),2)</f>
        <v>335.62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4921.4777800000002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584282.71550000005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515000</v>
      </c>
      <c r="I32" s="420"/>
      <c r="J32" s="420"/>
      <c r="K32" s="423">
        <f>TRUNC(100-((((H32/H33*100))*100)/100),2)</f>
        <v>81.540000000000006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2790000.5100000002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7" sqref="A47"/>
      <selection pane="bottomLeft" activeCell="C12" sqref="C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1020461</v>
      </c>
      <c r="D4" s="466">
        <v>59204</v>
      </c>
      <c r="E4" s="466">
        <v>35</v>
      </c>
      <c r="F4" s="466">
        <v>169204</v>
      </c>
      <c r="G4" s="466">
        <v>7010</v>
      </c>
      <c r="H4" s="466">
        <v>10045</v>
      </c>
      <c r="I4" s="466">
        <v>402922</v>
      </c>
      <c r="J4" s="467">
        <v>23958</v>
      </c>
      <c r="K4" s="466">
        <v>60031</v>
      </c>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3627</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1024088</v>
      </c>
      <c r="D13" s="1759">
        <f t="shared" ref="D13:L13" si="0">SUM(D4:D12)</f>
        <v>59204</v>
      </c>
      <c r="E13" s="1759">
        <f t="shared" si="0"/>
        <v>35</v>
      </c>
      <c r="F13" s="1759">
        <f t="shared" si="0"/>
        <v>169204</v>
      </c>
      <c r="G13" s="1759">
        <f t="shared" si="0"/>
        <v>7010</v>
      </c>
      <c r="H13" s="1759">
        <f t="shared" si="0"/>
        <v>10045</v>
      </c>
      <c r="I13" s="1759">
        <f t="shared" si="0"/>
        <v>402922</v>
      </c>
      <c r="J13" s="1759">
        <f t="shared" si="0"/>
        <v>23958</v>
      </c>
      <c r="K13" s="1759">
        <f t="shared" si="0"/>
        <v>60031</v>
      </c>
      <c r="L13" s="1759">
        <f t="shared" si="0"/>
        <v>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6010</v>
      </c>
      <c r="N16" s="484"/>
    </row>
    <row r="17" spans="1:14" s="485" customFormat="1" ht="12.75" customHeight="1" x14ac:dyDescent="0.2">
      <c r="A17" s="482" t="s">
        <v>1470</v>
      </c>
      <c r="B17" s="483">
        <v>230</v>
      </c>
      <c r="C17" s="477"/>
      <c r="D17" s="477"/>
      <c r="E17" s="477"/>
      <c r="F17" s="477"/>
      <c r="G17" s="477"/>
      <c r="H17" s="477"/>
      <c r="I17" s="477"/>
      <c r="J17" s="477"/>
      <c r="K17" s="477"/>
      <c r="L17" s="477"/>
      <c r="M17" s="467">
        <v>606401</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27608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515000</v>
      </c>
    </row>
    <row r="23" spans="1:14" ht="13.5" customHeight="1" thickBot="1" x14ac:dyDescent="0.25">
      <c r="A23" s="1758" t="s">
        <v>664</v>
      </c>
      <c r="B23" s="1763"/>
      <c r="C23" s="468"/>
      <c r="D23" s="468"/>
      <c r="E23" s="468"/>
      <c r="F23" s="468"/>
      <c r="G23" s="468"/>
      <c r="H23" s="468"/>
      <c r="I23" s="468"/>
      <c r="J23" s="468"/>
      <c r="K23" s="468"/>
      <c r="L23" s="468"/>
      <c r="M23" s="1710">
        <f>SUM(M15:M22)</f>
        <v>640019</v>
      </c>
      <c r="N23" s="1710">
        <f>SUM(N21:N22)</f>
        <v>515000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515000</v>
      </c>
    </row>
    <row r="37" spans="1:14" ht="13.5" thickBot="1" x14ac:dyDescent="0.25">
      <c r="A37" s="1758" t="s">
        <v>674</v>
      </c>
      <c r="B37" s="1763"/>
      <c r="C37" s="477"/>
      <c r="D37" s="477"/>
      <c r="E37" s="477"/>
      <c r="F37" s="477"/>
      <c r="G37" s="477"/>
      <c r="H37" s="477"/>
      <c r="I37" s="477"/>
      <c r="J37" s="477"/>
      <c r="K37" s="477"/>
      <c r="L37" s="480"/>
      <c r="M37" s="468"/>
      <c r="N37" s="1710">
        <f>SUM(N36:N36)</f>
        <v>515000</v>
      </c>
    </row>
    <row r="38" spans="1:14" s="329" customFormat="1" ht="13.5" customHeight="1" thickTop="1" x14ac:dyDescent="0.2">
      <c r="A38" s="496" t="s">
        <v>440</v>
      </c>
      <c r="B38" s="483">
        <v>714</v>
      </c>
      <c r="C38" s="466">
        <v>5423</v>
      </c>
      <c r="D38" s="466"/>
      <c r="E38" s="466">
        <v>35</v>
      </c>
      <c r="F38" s="466"/>
      <c r="G38" s="466">
        <v>7010</v>
      </c>
      <c r="H38" s="466">
        <f>'Acct Summary 7-8'!H81</f>
        <v>10045</v>
      </c>
      <c r="I38" s="466"/>
      <c r="J38" s="467">
        <f>'Acct Summary 7-8'!J81</f>
        <v>23958</v>
      </c>
      <c r="K38" s="466">
        <f>'Acct Summary 7-8'!K81</f>
        <v>60031</v>
      </c>
      <c r="L38" s="481"/>
      <c r="M38" s="497"/>
      <c r="N38" s="497"/>
    </row>
    <row r="39" spans="1:14" s="329" customFormat="1" ht="13.5" customHeight="1" x14ac:dyDescent="0.2">
      <c r="A39" s="496" t="s">
        <v>360</v>
      </c>
      <c r="B39" s="483">
        <v>730</v>
      </c>
      <c r="C39" s="466">
        <f>1024089-5424</f>
        <v>1018665</v>
      </c>
      <c r="D39" s="466">
        <f>'Acct Summary 7-8'!D81</f>
        <v>59204</v>
      </c>
      <c r="E39" s="466"/>
      <c r="F39" s="466">
        <f>'Acct Summary 7-8'!F81</f>
        <v>169204</v>
      </c>
      <c r="G39" s="466"/>
      <c r="H39" s="466"/>
      <c r="I39" s="466">
        <f>'Acct Summary 7-8'!I81</f>
        <v>402922</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640019</v>
      </c>
      <c r="N40" s="497"/>
    </row>
    <row r="41" spans="1:14" ht="13.5" customHeight="1" thickBot="1" x14ac:dyDescent="0.25">
      <c r="A41" s="1758" t="s">
        <v>676</v>
      </c>
      <c r="B41" s="1728"/>
      <c r="C41" s="1710">
        <f>(SUM(C34,C37,C38,C39))</f>
        <v>1024088</v>
      </c>
      <c r="D41" s="1710">
        <f t="shared" ref="D41:L41" si="2">SUM(D34,D37,D38:D39)</f>
        <v>59204</v>
      </c>
      <c r="E41" s="1710">
        <f t="shared" si="2"/>
        <v>35</v>
      </c>
      <c r="F41" s="1710">
        <f t="shared" si="2"/>
        <v>169204</v>
      </c>
      <c r="G41" s="1710">
        <f t="shared" si="2"/>
        <v>7010</v>
      </c>
      <c r="H41" s="1710">
        <f t="shared" si="2"/>
        <v>10045</v>
      </c>
      <c r="I41" s="1710">
        <f t="shared" si="2"/>
        <v>402922</v>
      </c>
      <c r="J41" s="1710">
        <f t="shared" si="2"/>
        <v>23958</v>
      </c>
      <c r="K41" s="1710">
        <f t="shared" si="2"/>
        <v>60031</v>
      </c>
      <c r="L41" s="1710">
        <f t="shared" si="2"/>
        <v>0</v>
      </c>
      <c r="M41" s="1710">
        <f>SUM(M40)</f>
        <v>640019</v>
      </c>
      <c r="N41" s="1710">
        <f>SUM(N37)</f>
        <v>515000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761685</v>
      </c>
      <c r="D4" s="1764">
        <f>'Revenues 9-14'!D109</f>
        <v>109212</v>
      </c>
      <c r="E4" s="1764">
        <f>'Revenues 9-14'!E109</f>
        <v>124799</v>
      </c>
      <c r="F4" s="1764">
        <f>'Revenues 9-14'!F109</f>
        <v>40964</v>
      </c>
      <c r="G4" s="1764">
        <f>'Revenues 9-14'!G109</f>
        <v>55440</v>
      </c>
      <c r="H4" s="1764">
        <f>'Revenues 9-14'!H109</f>
        <v>10045</v>
      </c>
      <c r="I4" s="1764">
        <f>'Revenues 9-14'!I109</f>
        <v>11024</v>
      </c>
      <c r="J4" s="1764">
        <f>'Revenues 9-14'!J109</f>
        <v>99471</v>
      </c>
      <c r="K4" s="1764">
        <f>'Revenues 9-14'!K109</f>
        <v>10176</v>
      </c>
      <c r="L4" s="347"/>
    </row>
    <row r="5" spans="1:13" ht="15.75" customHeight="1" x14ac:dyDescent="0.2">
      <c r="A5" s="1598" t="s">
        <v>1580</v>
      </c>
      <c r="B5" s="1599">
        <v>2000</v>
      </c>
      <c r="C5" s="1765">
        <f>'Revenues 9-14'!C114</f>
        <v>252</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1004098</v>
      </c>
      <c r="D6" s="1765">
        <f>'Revenues 9-14'!D173</f>
        <v>0</v>
      </c>
      <c r="E6" s="1765">
        <f>'Revenues 9-14'!E173</f>
        <v>2700</v>
      </c>
      <c r="F6" s="1765">
        <f>'Revenues 9-14'!F173</f>
        <v>64120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84732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1850767</v>
      </c>
      <c r="D8" s="1710">
        <f t="shared" ref="D8:K8" si="0">SUM(D4:D7)</f>
        <v>109212</v>
      </c>
      <c r="E8" s="1710">
        <f t="shared" si="0"/>
        <v>127499</v>
      </c>
      <c r="F8" s="1710">
        <f t="shared" si="0"/>
        <v>105084</v>
      </c>
      <c r="G8" s="1710">
        <f t="shared" si="0"/>
        <v>55440</v>
      </c>
      <c r="H8" s="1710">
        <f t="shared" si="0"/>
        <v>10045</v>
      </c>
      <c r="I8" s="1710">
        <f t="shared" si="0"/>
        <v>11024</v>
      </c>
      <c r="J8" s="1710">
        <f t="shared" si="0"/>
        <v>99471</v>
      </c>
      <c r="K8" s="1710">
        <f t="shared" si="0"/>
        <v>10176</v>
      </c>
      <c r="L8" s="347"/>
    </row>
    <row r="9" spans="1:13" ht="15.75" thickTop="1" x14ac:dyDescent="0.2">
      <c r="A9" s="514" t="s">
        <v>1752</v>
      </c>
      <c r="B9" s="515">
        <v>3998</v>
      </c>
      <c r="C9" s="481">
        <v>242760</v>
      </c>
      <c r="D9" s="516"/>
      <c r="E9" s="481"/>
      <c r="F9" s="481"/>
      <c r="G9" s="517"/>
      <c r="H9" s="481"/>
      <c r="I9" s="509" t="s">
        <v>1231</v>
      </c>
      <c r="J9" s="478"/>
      <c r="K9" s="481"/>
      <c r="L9" s="347"/>
    </row>
    <row r="10" spans="1:13" s="519" customFormat="1" ht="13.5" thickBot="1" x14ac:dyDescent="0.25">
      <c r="A10" s="1758" t="s">
        <v>1235</v>
      </c>
      <c r="B10" s="1731"/>
      <c r="C10" s="1710">
        <f>SUM(C8:C9)</f>
        <v>2093527</v>
      </c>
      <c r="D10" s="1710">
        <f t="shared" ref="D10:K10" si="1">SUM(D8:D9)</f>
        <v>109212</v>
      </c>
      <c r="E10" s="1710">
        <f t="shared" si="1"/>
        <v>127499</v>
      </c>
      <c r="F10" s="1710">
        <f t="shared" si="1"/>
        <v>105084</v>
      </c>
      <c r="G10" s="1710">
        <f t="shared" si="1"/>
        <v>55440</v>
      </c>
      <c r="H10" s="1710">
        <f t="shared" si="1"/>
        <v>10045</v>
      </c>
      <c r="I10" s="1710">
        <f t="shared" si="1"/>
        <v>11024</v>
      </c>
      <c r="J10" s="1710">
        <f t="shared" si="1"/>
        <v>99471</v>
      </c>
      <c r="K10" s="1710">
        <f t="shared" si="1"/>
        <v>10176</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729541</v>
      </c>
      <c r="D12" s="520" t="s">
        <v>1231</v>
      </c>
      <c r="E12" s="468" t="s">
        <v>1231</v>
      </c>
      <c r="F12" s="468" t="s">
        <v>1231</v>
      </c>
      <c r="G12" s="1764">
        <f>'Expenditures 15-22'!K229</f>
        <v>15204</v>
      </c>
      <c r="H12" s="521"/>
      <c r="I12" s="468" t="s">
        <v>1231</v>
      </c>
      <c r="J12" s="468" t="s">
        <v>1231</v>
      </c>
      <c r="K12" s="521" t="s">
        <v>1231</v>
      </c>
      <c r="L12" s="347"/>
    </row>
    <row r="13" spans="1:13" ht="15.75" customHeight="1" x14ac:dyDescent="0.2">
      <c r="A13" s="1598" t="s">
        <v>477</v>
      </c>
      <c r="B13" s="1600">
        <v>2000</v>
      </c>
      <c r="C13" s="1765">
        <f>'Expenditures 15-22'!K74</f>
        <v>386946</v>
      </c>
      <c r="D13" s="1765">
        <f>'Expenditures 15-22'!K129</f>
        <v>68935</v>
      </c>
      <c r="E13" s="469" t="s">
        <v>1231</v>
      </c>
      <c r="F13" s="1765">
        <f>'Expenditures 15-22'!K184</f>
        <v>86550</v>
      </c>
      <c r="G13" s="1765">
        <f>'Expenditures 15-22'!K279</f>
        <v>28742</v>
      </c>
      <c r="H13" s="1765">
        <f>'Expenditures 15-22'!K303</f>
        <v>0</v>
      </c>
      <c r="I13" s="468" t="s">
        <v>1231</v>
      </c>
      <c r="J13" s="1765">
        <f>'Expenditures 15-22'!K330</f>
        <v>113184</v>
      </c>
      <c r="K13" s="1769">
        <f>'Expenditures 15-22'!K352</f>
        <v>15497</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499760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127689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1616247</v>
      </c>
      <c r="D17" s="1710">
        <f t="shared" si="2"/>
        <v>68935</v>
      </c>
      <c r="E17" s="1710">
        <f t="shared" si="2"/>
        <v>127689</v>
      </c>
      <c r="F17" s="1710">
        <f t="shared" si="2"/>
        <v>86550</v>
      </c>
      <c r="G17" s="1710">
        <f t="shared" si="2"/>
        <v>43946</v>
      </c>
      <c r="H17" s="1710">
        <f t="shared" si="2"/>
        <v>0</v>
      </c>
      <c r="I17" s="468"/>
      <c r="J17" s="1710">
        <f>SUM(J12:J16)</f>
        <v>113184</v>
      </c>
      <c r="K17" s="1710">
        <f>SUM(K12:K16)</f>
        <v>15497</v>
      </c>
      <c r="L17" s="347"/>
    </row>
    <row r="18" spans="1:12" ht="15" customHeight="1" thickTop="1" x14ac:dyDescent="0.2">
      <c r="A18" s="1766" t="s">
        <v>1753</v>
      </c>
      <c r="B18" s="1767">
        <v>4180</v>
      </c>
      <c r="C18" s="1764">
        <f t="shared" ref="C18:H18" si="3">C9</f>
        <v>242760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1859007</v>
      </c>
      <c r="D19" s="1710">
        <f t="shared" si="4"/>
        <v>68935</v>
      </c>
      <c r="E19" s="1710">
        <f t="shared" si="4"/>
        <v>127689</v>
      </c>
      <c r="F19" s="1710">
        <f t="shared" si="4"/>
        <v>86550</v>
      </c>
      <c r="G19" s="1710">
        <f t="shared" si="4"/>
        <v>43946</v>
      </c>
      <c r="H19" s="1710">
        <f t="shared" si="4"/>
        <v>0</v>
      </c>
      <c r="I19" s="468"/>
      <c r="J19" s="1710">
        <f>SUM(J17:J18)</f>
        <v>113184</v>
      </c>
      <c r="K19" s="1710">
        <f>SUM(K17:K18)</f>
        <v>15497</v>
      </c>
      <c r="L19" s="347"/>
    </row>
    <row r="20" spans="1:12" ht="16.5" thickTop="1" thickBot="1" x14ac:dyDescent="0.25">
      <c r="A20" s="2143" t="s">
        <v>1754</v>
      </c>
      <c r="B20" s="2144"/>
      <c r="C20" s="1768">
        <f>C8-C17</f>
        <v>234520</v>
      </c>
      <c r="D20" s="1768">
        <f t="shared" ref="D20:K20" si="5">D8-D17</f>
        <v>40277</v>
      </c>
      <c r="E20" s="1768">
        <f t="shared" si="5"/>
        <v>-190</v>
      </c>
      <c r="F20" s="1768">
        <f t="shared" si="5"/>
        <v>18534</v>
      </c>
      <c r="G20" s="1768">
        <f t="shared" si="5"/>
        <v>11494</v>
      </c>
      <c r="H20" s="1768">
        <f t="shared" si="5"/>
        <v>10045</v>
      </c>
      <c r="I20" s="1768">
        <f t="shared" si="5"/>
        <v>11024</v>
      </c>
      <c r="J20" s="1768">
        <f t="shared" si="5"/>
        <v>-13713</v>
      </c>
      <c r="K20" s="1768">
        <f t="shared" si="5"/>
        <v>-5321</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234520</v>
      </c>
      <c r="D78" s="1724">
        <f t="shared" si="9"/>
        <v>40277</v>
      </c>
      <c r="E78" s="1724">
        <f t="shared" si="9"/>
        <v>-190</v>
      </c>
      <c r="F78" s="1724">
        <f t="shared" si="9"/>
        <v>18534</v>
      </c>
      <c r="G78" s="1724">
        <f t="shared" si="9"/>
        <v>11494</v>
      </c>
      <c r="H78" s="1724">
        <f t="shared" si="9"/>
        <v>10045</v>
      </c>
      <c r="I78" s="1724">
        <f t="shared" si="9"/>
        <v>11024</v>
      </c>
      <c r="J78" s="1724">
        <f t="shared" si="9"/>
        <v>-13713</v>
      </c>
      <c r="K78" s="1724">
        <f t="shared" si="9"/>
        <v>-5321</v>
      </c>
      <c r="L78" s="533"/>
    </row>
    <row r="79" spans="1:12" ht="13.5" thickTop="1" x14ac:dyDescent="0.2">
      <c r="A79" s="1516" t="s">
        <v>2073</v>
      </c>
      <c r="B79" s="534"/>
      <c r="C79" s="478">
        <v>789568</v>
      </c>
      <c r="D79" s="535">
        <v>18927</v>
      </c>
      <c r="E79" s="535">
        <v>225</v>
      </c>
      <c r="F79" s="535">
        <v>150670</v>
      </c>
      <c r="G79" s="535">
        <v>-4484</v>
      </c>
      <c r="H79" s="535"/>
      <c r="I79" s="535">
        <v>391898</v>
      </c>
      <c r="J79" s="535">
        <v>37671</v>
      </c>
      <c r="K79" s="535">
        <v>65352</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1024088</v>
      </c>
      <c r="D81" s="1710">
        <f>SUM(D78:D80)</f>
        <v>59204</v>
      </c>
      <c r="E81" s="1710">
        <f t="shared" ref="E81:K81" si="10">SUM(E78:E80)</f>
        <v>35</v>
      </c>
      <c r="F81" s="1710">
        <f t="shared" si="10"/>
        <v>169204</v>
      </c>
      <c r="G81" s="1710">
        <f t="shared" si="10"/>
        <v>7010</v>
      </c>
      <c r="H81" s="1710">
        <f t="shared" si="10"/>
        <v>10045</v>
      </c>
      <c r="I81" s="1710">
        <f t="shared" si="10"/>
        <v>402922</v>
      </c>
      <c r="J81" s="1710">
        <f t="shared" si="10"/>
        <v>23958</v>
      </c>
      <c r="K81" s="1710">
        <f t="shared" si="10"/>
        <v>60031</v>
      </c>
      <c r="L81" s="347"/>
    </row>
    <row r="82" spans="1:12" ht="0.75" customHeight="1" thickTop="1" thickBot="1" x14ac:dyDescent="0.25">
      <c r="A82" s="536" t="s">
        <v>361</v>
      </c>
      <c r="B82" s="537"/>
      <c r="C82" s="538">
        <f>(C81-C79)</f>
        <v>234520</v>
      </c>
      <c r="D82" s="538">
        <f t="shared" ref="D82:K82" si="11">(D81-D79)</f>
        <v>40277</v>
      </c>
      <c r="E82" s="538">
        <f t="shared" si="11"/>
        <v>-190</v>
      </c>
      <c r="F82" s="538">
        <f t="shared" si="11"/>
        <v>18534</v>
      </c>
      <c r="G82" s="538">
        <f t="shared" si="11"/>
        <v>11494</v>
      </c>
      <c r="H82" s="538">
        <f t="shared" si="11"/>
        <v>10045</v>
      </c>
      <c r="I82" s="538">
        <f t="shared" si="11"/>
        <v>11024</v>
      </c>
      <c r="J82" s="538">
        <f t="shared" si="11"/>
        <v>-13713</v>
      </c>
      <c r="K82" s="538">
        <f t="shared" si="11"/>
        <v>-5321</v>
      </c>
    </row>
    <row r="83" spans="1:12" ht="14.25" hidden="1" thickTop="1" thickBot="1" x14ac:dyDescent="0.25">
      <c r="A83" s="539" t="s">
        <v>362</v>
      </c>
      <c r="B83" s="464"/>
      <c r="C83" s="540">
        <f>C82/C81</f>
        <v>0.22900375748959073</v>
      </c>
      <c r="D83" s="540">
        <f t="shared" ref="D83:K83" si="12">D82/D81</f>
        <v>0.68030876292142428</v>
      </c>
      <c r="E83" s="540">
        <f t="shared" si="12"/>
        <v>-5.4285714285714288</v>
      </c>
      <c r="F83" s="540">
        <f t="shared" si="12"/>
        <v>0.10953641757878065</v>
      </c>
      <c r="G83" s="540">
        <f t="shared" si="12"/>
        <v>1.639657631954351</v>
      </c>
      <c r="H83" s="540">
        <f t="shared" si="12"/>
        <v>1</v>
      </c>
      <c r="I83" s="540">
        <f t="shared" si="12"/>
        <v>2.736013421952636E-2</v>
      </c>
      <c r="J83" s="540">
        <f t="shared" si="12"/>
        <v>-0.57237665915351865</v>
      </c>
      <c r="K83" s="540">
        <f t="shared" si="12"/>
        <v>-8.863753727240925E-2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0" zoomScaleNormal="90" zoomScaleSheetLayoutView="75" workbookViewId="0">
      <pane ySplit="2" topLeftCell="A177" activePane="bottomLeft" state="frozen"/>
      <selection activeCell="A47" sqref="A47"/>
      <selection pane="bottomLeft" activeCell="C196" sqref="C19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541466</v>
      </c>
      <c r="D5" s="481">
        <v>100271</v>
      </c>
      <c r="E5" s="466">
        <v>124775</v>
      </c>
      <c r="F5" s="548">
        <v>40109</v>
      </c>
      <c r="G5" s="466">
        <v>51583</v>
      </c>
      <c r="H5" s="466">
        <v>10027</v>
      </c>
      <c r="I5" s="466">
        <v>10027</v>
      </c>
      <c r="J5" s="467">
        <v>99195</v>
      </c>
      <c r="K5" s="466">
        <v>10027</v>
      </c>
    </row>
    <row r="6" spans="1:12" ht="15" x14ac:dyDescent="0.2">
      <c r="A6" s="463" t="s">
        <v>1761</v>
      </c>
      <c r="B6" s="470">
        <v>1130</v>
      </c>
      <c r="C6" s="466"/>
      <c r="D6" s="466"/>
      <c r="E6" s="475"/>
      <c r="F6" s="475"/>
      <c r="G6" s="468"/>
      <c r="H6" s="468"/>
      <c r="I6" s="468"/>
      <c r="J6" s="468"/>
      <c r="K6" s="468"/>
    </row>
    <row r="7" spans="1:12" x14ac:dyDescent="0.2">
      <c r="A7" s="463" t="s">
        <v>112</v>
      </c>
      <c r="B7" s="549">
        <v>1140</v>
      </c>
      <c r="C7" s="466">
        <v>8022</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549488</v>
      </c>
      <c r="D12" s="1729">
        <f t="shared" si="0"/>
        <v>100271</v>
      </c>
      <c r="E12" s="1729">
        <f t="shared" si="0"/>
        <v>124775</v>
      </c>
      <c r="F12" s="1729">
        <f t="shared" si="0"/>
        <v>40109</v>
      </c>
      <c r="G12" s="1729">
        <f t="shared" si="0"/>
        <v>51583</v>
      </c>
      <c r="H12" s="1729">
        <f t="shared" si="0"/>
        <v>10027</v>
      </c>
      <c r="I12" s="1729">
        <f t="shared" si="0"/>
        <v>10027</v>
      </c>
      <c r="J12" s="1729">
        <f t="shared" si="0"/>
        <v>99195</v>
      </c>
      <c r="K12" s="1710">
        <f t="shared" si="0"/>
        <v>10027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95578</v>
      </c>
      <c r="D16" s="466">
        <v>7434</v>
      </c>
      <c r="E16" s="466"/>
      <c r="F16" s="466"/>
      <c r="G16" s="466">
        <v>3186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95578</v>
      </c>
      <c r="D18" s="1732">
        <f t="shared" ref="D18:K18" si="1">SUM(D14:D17)</f>
        <v>7434</v>
      </c>
      <c r="E18" s="1732">
        <f t="shared" si="1"/>
        <v>0</v>
      </c>
      <c r="F18" s="1732">
        <f t="shared" si="1"/>
        <v>0</v>
      </c>
      <c r="G18" s="1732">
        <f t="shared" si="1"/>
        <v>3186</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7029</v>
      </c>
      <c r="D65" s="466">
        <v>193</v>
      </c>
      <c r="E65" s="466">
        <v>24</v>
      </c>
      <c r="F65" s="467">
        <v>855</v>
      </c>
      <c r="G65" s="466">
        <v>671</v>
      </c>
      <c r="H65" s="466">
        <v>18</v>
      </c>
      <c r="I65" s="466">
        <v>997</v>
      </c>
      <c r="J65" s="467">
        <v>276</v>
      </c>
      <c r="K65" s="466">
        <v>149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7029</v>
      </c>
      <c r="D67" s="1710">
        <f t="shared" ref="D67:K67" si="2">SUM(D65:D66)</f>
        <v>193</v>
      </c>
      <c r="E67" s="1710">
        <f t="shared" si="2"/>
        <v>24</v>
      </c>
      <c r="F67" s="1710">
        <f t="shared" si="2"/>
        <v>855</v>
      </c>
      <c r="G67" s="1710">
        <f t="shared" si="2"/>
        <v>671</v>
      </c>
      <c r="H67" s="1710">
        <f t="shared" si="2"/>
        <v>18</v>
      </c>
      <c r="I67" s="1710">
        <f t="shared" si="2"/>
        <v>997</v>
      </c>
      <c r="J67" s="1710">
        <f t="shared" si="2"/>
        <v>276</v>
      </c>
      <c r="K67" s="1710">
        <f t="shared" si="2"/>
        <v>149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21650</v>
      </c>
      <c r="D69" s="468"/>
      <c r="E69" s="468"/>
      <c r="F69" s="468"/>
      <c r="G69" s="468"/>
      <c r="H69" s="468"/>
      <c r="I69" s="468"/>
      <c r="J69" s="468"/>
      <c r="K69" s="468"/>
    </row>
    <row r="70" spans="1:11" ht="12.75" customHeight="1" x14ac:dyDescent="0.2">
      <c r="A70" s="463" t="s">
        <v>1054</v>
      </c>
      <c r="B70" s="470">
        <v>1612</v>
      </c>
      <c r="C70" s="551">
        <v>527</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429</v>
      </c>
      <c r="D72" s="468"/>
      <c r="E72" s="468"/>
      <c r="F72" s="468"/>
      <c r="G72" s="468"/>
      <c r="H72" s="468"/>
      <c r="I72" s="468"/>
      <c r="J72" s="468"/>
      <c r="K72" s="468"/>
    </row>
    <row r="73" spans="1:11" ht="12.75" customHeight="1" x14ac:dyDescent="0.2">
      <c r="A73" s="463" t="s">
        <v>1055</v>
      </c>
      <c r="B73" s="470">
        <v>1620</v>
      </c>
      <c r="C73" s="551">
        <v>1463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24069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3824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155</v>
      </c>
      <c r="D81" s="466"/>
      <c r="E81" s="468"/>
      <c r="F81" s="468"/>
      <c r="G81" s="468"/>
      <c r="H81" s="468"/>
      <c r="I81" s="468"/>
      <c r="J81" s="468"/>
      <c r="K81" s="468"/>
    </row>
    <row r="82" spans="1:11" ht="12.75" customHeight="1" thickBot="1" x14ac:dyDescent="0.25">
      <c r="A82" s="1730" t="s">
        <v>259</v>
      </c>
      <c r="B82" s="1731"/>
      <c r="C82" s="1729">
        <f>SUM(C77:C81)</f>
        <v>3999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3200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3200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90</v>
      </c>
      <c r="E95" s="521"/>
      <c r="F95" s="521"/>
      <c r="G95" s="521"/>
      <c r="H95" s="521"/>
      <c r="I95" s="521"/>
      <c r="J95" s="521"/>
      <c r="K95" s="521"/>
    </row>
    <row r="96" spans="1:11" ht="12.75" customHeight="1" x14ac:dyDescent="0.2">
      <c r="A96" s="463" t="s">
        <v>409</v>
      </c>
      <c r="B96" s="470">
        <v>1920</v>
      </c>
      <c r="C96" s="551">
        <v>34332</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43893</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97</v>
      </c>
      <c r="D107" s="466">
        <v>1224</v>
      </c>
      <c r="E107" s="466"/>
      <c r="F107" s="466"/>
      <c r="G107" s="466"/>
      <c r="H107" s="466"/>
      <c r="I107" s="466"/>
      <c r="J107" s="467"/>
      <c r="K107" s="466"/>
    </row>
    <row r="108" spans="1:12" ht="12.75" customHeight="1" thickBot="1" x14ac:dyDescent="0.25">
      <c r="A108" s="1730" t="s">
        <v>508</v>
      </c>
      <c r="B108" s="1734"/>
      <c r="C108" s="1729">
        <f>SUM(C95:C107)</f>
        <v>78322</v>
      </c>
      <c r="D108" s="1729">
        <f t="shared" ref="D108:K108" si="3">SUM(D95:D107)</f>
        <v>1314</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761685</v>
      </c>
      <c r="D109" s="1737">
        <f t="shared" si="4"/>
        <v>109212</v>
      </c>
      <c r="E109" s="1737">
        <f t="shared" si="4"/>
        <v>124799</v>
      </c>
      <c r="F109" s="1737">
        <f t="shared" si="4"/>
        <v>40964</v>
      </c>
      <c r="G109" s="1737">
        <f t="shared" si="4"/>
        <v>55440</v>
      </c>
      <c r="H109" s="1737">
        <f t="shared" si="4"/>
        <v>10045</v>
      </c>
      <c r="I109" s="1737">
        <f t="shared" si="4"/>
        <v>11024</v>
      </c>
      <c r="J109" s="1737">
        <f t="shared" si="4"/>
        <v>99471</v>
      </c>
      <c r="K109" s="1724">
        <f t="shared" si="4"/>
        <v>10176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252</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252</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982525</v>
      </c>
      <c r="D117" s="481"/>
      <c r="E117" s="466">
        <v>2700</v>
      </c>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982525</v>
      </c>
      <c r="D121" s="1729">
        <f t="shared" si="5"/>
        <v>0</v>
      </c>
      <c r="E121" s="1729">
        <f t="shared" si="5"/>
        <v>2700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16077</v>
      </c>
      <c r="D125" s="561"/>
      <c r="E125" s="468"/>
      <c r="F125" s="466"/>
      <c r="G125" s="468"/>
      <c r="H125" s="468"/>
      <c r="I125" s="468"/>
      <c r="J125" s="468"/>
      <c r="K125" s="468"/>
    </row>
    <row r="126" spans="1:11" ht="12.75" customHeight="1" x14ac:dyDescent="0.2">
      <c r="A126" s="463" t="s">
        <v>922</v>
      </c>
      <c r="B126" s="562">
        <v>3110</v>
      </c>
      <c r="C126" s="551">
        <v>4841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20918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655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32379</v>
      </c>
      <c r="G151" s="467"/>
      <c r="H151" s="468"/>
      <c r="I151" s="468"/>
      <c r="J151" s="468"/>
      <c r="K151" s="468"/>
    </row>
    <row r="152" spans="1:11" ht="12.75" customHeight="1" x14ac:dyDescent="0.2">
      <c r="A152" s="463" t="s">
        <v>1117</v>
      </c>
      <c r="B152" s="562">
        <v>3510</v>
      </c>
      <c r="C152" s="551"/>
      <c r="D152" s="466"/>
      <c r="E152" s="561"/>
      <c r="F152" s="466">
        <v>31741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64120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21573</v>
      </c>
      <c r="D172" s="1744">
        <f t="shared" si="6"/>
        <v>0</v>
      </c>
      <c r="E172" s="1744">
        <f t="shared" si="6"/>
        <v>0</v>
      </c>
      <c r="F172" s="1744">
        <f t="shared" si="6"/>
        <v>64120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1004098</v>
      </c>
      <c r="D173" s="1737">
        <f>SUM(D121,D172)</f>
        <v>0</v>
      </c>
      <c r="E173" s="1737">
        <f>SUM(E121,E172)</f>
        <v>2700</v>
      </c>
      <c r="F173" s="1737">
        <f t="shared" ref="F173:K173" si="7">SUM(F121,F172)</f>
        <v>64120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38025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14038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52063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30185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30185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191</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191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2293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84732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84732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1850767</v>
      </c>
      <c r="D275" s="1737">
        <f t="shared" si="12"/>
        <v>109212</v>
      </c>
      <c r="E275" s="1737">
        <f t="shared" si="12"/>
        <v>127499</v>
      </c>
      <c r="F275" s="1737">
        <f t="shared" si="12"/>
        <v>105084</v>
      </c>
      <c r="G275" s="1737">
        <f t="shared" si="12"/>
        <v>55440</v>
      </c>
      <c r="H275" s="1737">
        <f t="shared" si="12"/>
        <v>10045</v>
      </c>
      <c r="I275" s="1737">
        <f t="shared" si="12"/>
        <v>11024</v>
      </c>
      <c r="J275" s="1737">
        <f t="shared" si="12"/>
        <v>99471</v>
      </c>
      <c r="K275" s="1724">
        <f t="shared" si="12"/>
        <v>10176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322" colorId="8" zoomScaleNormal="100" workbookViewId="0">
      <selection activeCell="F357" sqref="F35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465268</v>
      </c>
      <c r="D5" s="466">
        <v>58720</v>
      </c>
      <c r="E5" s="466">
        <v>5557</v>
      </c>
      <c r="F5" s="466">
        <v>7115</v>
      </c>
      <c r="G5" s="466"/>
      <c r="H5" s="466">
        <v>24</v>
      </c>
      <c r="I5" s="467"/>
      <c r="J5" s="467"/>
      <c r="K5" s="1693">
        <f>SUM(C5:J5)</f>
        <v>536684</v>
      </c>
      <c r="L5" s="466">
        <v>515430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13868</v>
      </c>
      <c r="D7" s="467"/>
      <c r="E7" s="467"/>
      <c r="F7" s="467"/>
      <c r="G7" s="467"/>
      <c r="H7" s="467"/>
      <c r="I7" s="467"/>
      <c r="J7" s="467"/>
      <c r="K7" s="1693">
        <f t="shared" ref="K7:K32" si="0">SUM(C7:J7)</f>
        <v>13868</v>
      </c>
      <c r="L7" s="466"/>
    </row>
    <row r="8" spans="1:14" x14ac:dyDescent="0.2">
      <c r="A8" s="1526" t="s">
        <v>166</v>
      </c>
      <c r="B8" s="615">
        <v>1200</v>
      </c>
      <c r="C8" s="466">
        <v>55114</v>
      </c>
      <c r="D8" s="466">
        <v>5178</v>
      </c>
      <c r="E8" s="466"/>
      <c r="F8" s="466">
        <v>472</v>
      </c>
      <c r="G8" s="466"/>
      <c r="H8" s="466"/>
      <c r="I8" s="467"/>
      <c r="J8" s="467"/>
      <c r="K8" s="1693">
        <f t="shared" si="0"/>
        <v>60764</v>
      </c>
      <c r="L8" s="466">
        <v>73000</v>
      </c>
    </row>
    <row r="9" spans="1:14" x14ac:dyDescent="0.2">
      <c r="A9" s="1526" t="s">
        <v>745</v>
      </c>
      <c r="B9" s="615" t="s">
        <v>1025</v>
      </c>
      <c r="C9" s="467">
        <v>18592</v>
      </c>
      <c r="D9" s="467">
        <v>2340</v>
      </c>
      <c r="E9" s="467"/>
      <c r="F9" s="467">
        <v>340</v>
      </c>
      <c r="G9" s="467"/>
      <c r="H9" s="467"/>
      <c r="I9" s="467"/>
      <c r="J9" s="467"/>
      <c r="K9" s="1693">
        <f t="shared" si="0"/>
        <v>21272</v>
      </c>
      <c r="L9" s="466">
        <v>41500</v>
      </c>
    </row>
    <row r="10" spans="1:14" x14ac:dyDescent="0.2">
      <c r="A10" s="1526" t="s">
        <v>746</v>
      </c>
      <c r="B10" s="615">
        <v>1250</v>
      </c>
      <c r="C10" s="466">
        <v>39522</v>
      </c>
      <c r="D10" s="466">
        <v>2068</v>
      </c>
      <c r="E10" s="466"/>
      <c r="F10" s="466">
        <v>14814</v>
      </c>
      <c r="G10" s="466"/>
      <c r="H10" s="466"/>
      <c r="I10" s="467"/>
      <c r="J10" s="467"/>
      <c r="K10" s="1693">
        <f t="shared" si="0"/>
        <v>56404</v>
      </c>
      <c r="L10" s="466">
        <v>66900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15217</v>
      </c>
      <c r="D14" s="466">
        <v>1206</v>
      </c>
      <c r="E14" s="466">
        <v>4430</v>
      </c>
      <c r="F14" s="466">
        <v>1989</v>
      </c>
      <c r="G14" s="466"/>
      <c r="H14" s="466">
        <v>1496</v>
      </c>
      <c r="I14" s="467"/>
      <c r="J14" s="467"/>
      <c r="K14" s="1693">
        <f t="shared" si="0"/>
        <v>24338</v>
      </c>
      <c r="L14" s="466">
        <v>25100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f>13265+2946</f>
        <v>16211</v>
      </c>
      <c r="I30" s="617"/>
      <c r="J30" s="477"/>
      <c r="K30" s="1693">
        <f t="shared" si="0"/>
        <v>16211</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607581</v>
      </c>
      <c r="D33" s="1692">
        <f t="shared" ref="D33:L33" si="1">SUM(D5:D32)</f>
        <v>69512</v>
      </c>
      <c r="E33" s="1692">
        <f t="shared" si="1"/>
        <v>9987</v>
      </c>
      <c r="F33" s="1692">
        <f t="shared" si="1"/>
        <v>24730</v>
      </c>
      <c r="G33" s="1692">
        <f t="shared" si="1"/>
        <v>0</v>
      </c>
      <c r="H33" s="1692">
        <f t="shared" si="1"/>
        <v>17731</v>
      </c>
      <c r="I33" s="1692">
        <f t="shared" si="1"/>
        <v>0</v>
      </c>
      <c r="J33" s="1692">
        <f t="shared" si="1"/>
        <v>0</v>
      </c>
      <c r="K33" s="1692">
        <f t="shared" si="1"/>
        <v>729541</v>
      </c>
      <c r="L33" s="1692">
        <f t="shared" si="1"/>
        <v>721930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15327</v>
      </c>
      <c r="D40" s="466"/>
      <c r="E40" s="466">
        <v>4027</v>
      </c>
      <c r="F40" s="466">
        <v>782</v>
      </c>
      <c r="G40" s="466"/>
      <c r="H40" s="466">
        <v>110</v>
      </c>
      <c r="I40" s="467"/>
      <c r="J40" s="467"/>
      <c r="K40" s="1693">
        <f t="shared" si="2"/>
        <v>20246</v>
      </c>
      <c r="L40" s="466">
        <v>13000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15327</v>
      </c>
      <c r="D42" s="1692">
        <f t="shared" ref="D42:L42" si="3">SUM(D36:D41)</f>
        <v>0</v>
      </c>
      <c r="E42" s="1692">
        <f t="shared" si="3"/>
        <v>4027</v>
      </c>
      <c r="F42" s="1692">
        <f t="shared" si="3"/>
        <v>782</v>
      </c>
      <c r="G42" s="1692">
        <f t="shared" si="3"/>
        <v>0</v>
      </c>
      <c r="H42" s="1692">
        <f t="shared" si="3"/>
        <v>110</v>
      </c>
      <c r="I42" s="1692">
        <f t="shared" si="3"/>
        <v>0</v>
      </c>
      <c r="J42" s="1692">
        <f t="shared" si="3"/>
        <v>0</v>
      </c>
      <c r="K42" s="1692">
        <f t="shared" si="3"/>
        <v>20246</v>
      </c>
      <c r="L42" s="1692">
        <f t="shared" si="3"/>
        <v>13000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v>24000</v>
      </c>
    </row>
    <row r="45" spans="1:14" x14ac:dyDescent="0.2">
      <c r="A45" s="1526" t="s">
        <v>869</v>
      </c>
      <c r="B45" s="615">
        <v>2220</v>
      </c>
      <c r="C45" s="466"/>
      <c r="D45" s="466"/>
      <c r="E45" s="466">
        <v>3075</v>
      </c>
      <c r="F45" s="466">
        <v>13</v>
      </c>
      <c r="G45" s="466"/>
      <c r="H45" s="466"/>
      <c r="I45" s="467"/>
      <c r="J45" s="467"/>
      <c r="K45" s="1694">
        <f>SUM(C45:J45)</f>
        <v>3088</v>
      </c>
      <c r="L45" s="466">
        <v>17500</v>
      </c>
    </row>
    <row r="46" spans="1:14" x14ac:dyDescent="0.2">
      <c r="A46" s="1526" t="s">
        <v>870</v>
      </c>
      <c r="B46" s="615">
        <v>2230</v>
      </c>
      <c r="C46" s="466"/>
      <c r="D46" s="466"/>
      <c r="E46" s="466">
        <v>257</v>
      </c>
      <c r="F46" s="466">
        <v>722</v>
      </c>
      <c r="G46" s="466"/>
      <c r="H46" s="466"/>
      <c r="I46" s="467"/>
      <c r="J46" s="467"/>
      <c r="K46" s="1694">
        <f>SUM(C46:J46)</f>
        <v>979</v>
      </c>
      <c r="L46" s="466"/>
    </row>
    <row r="47" spans="1:14" ht="12.75" customHeight="1" thickBot="1" x14ac:dyDescent="0.25">
      <c r="A47" s="1690" t="s">
        <v>582</v>
      </c>
      <c r="B47" s="1691" t="s">
        <v>32</v>
      </c>
      <c r="C47" s="1692">
        <f>SUM(C44:C46)</f>
        <v>0</v>
      </c>
      <c r="D47" s="1692">
        <f t="shared" ref="D47:K47" si="4">SUM(D44:D46)</f>
        <v>0</v>
      </c>
      <c r="E47" s="1692">
        <f t="shared" si="4"/>
        <v>3332</v>
      </c>
      <c r="F47" s="1692">
        <f t="shared" si="4"/>
        <v>735</v>
      </c>
      <c r="G47" s="1692">
        <f t="shared" si="4"/>
        <v>0</v>
      </c>
      <c r="H47" s="1692">
        <f t="shared" si="4"/>
        <v>0</v>
      </c>
      <c r="I47" s="1692">
        <f t="shared" si="4"/>
        <v>0</v>
      </c>
      <c r="J47" s="1692">
        <f t="shared" si="4"/>
        <v>0</v>
      </c>
      <c r="K47" s="1692">
        <f t="shared" si="4"/>
        <v>4067</v>
      </c>
      <c r="L47" s="1692">
        <f>SUM(L44:L46)</f>
        <v>41500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900</v>
      </c>
      <c r="D49" s="481"/>
      <c r="E49" s="481">
        <v>43429</v>
      </c>
      <c r="F49" s="481">
        <v>441</v>
      </c>
      <c r="G49" s="481"/>
      <c r="H49" s="481"/>
      <c r="I49" s="467"/>
      <c r="J49" s="467"/>
      <c r="K49" s="1694">
        <f>SUM(C49:J49)</f>
        <v>44770</v>
      </c>
      <c r="L49" s="481">
        <v>53509</v>
      </c>
    </row>
    <row r="50" spans="1:14" x14ac:dyDescent="0.2">
      <c r="A50" s="1526" t="s">
        <v>872</v>
      </c>
      <c r="B50" s="615">
        <v>2320</v>
      </c>
      <c r="C50" s="466">
        <v>40425</v>
      </c>
      <c r="D50" s="466">
        <v>7404</v>
      </c>
      <c r="E50" s="466">
        <v>5480</v>
      </c>
      <c r="F50" s="466">
        <v>6670</v>
      </c>
      <c r="G50" s="466"/>
      <c r="H50" s="466">
        <v>1173</v>
      </c>
      <c r="I50" s="467"/>
      <c r="J50" s="467"/>
      <c r="K50" s="1694">
        <f>SUM(C50:J50)</f>
        <v>61152</v>
      </c>
      <c r="L50" s="466">
        <v>53277</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41325</v>
      </c>
      <c r="D53" s="1692">
        <f t="shared" ref="D53:L53" si="5">SUM(D49:D52)</f>
        <v>7404</v>
      </c>
      <c r="E53" s="1692">
        <f t="shared" si="5"/>
        <v>48909</v>
      </c>
      <c r="F53" s="1692">
        <f t="shared" si="5"/>
        <v>7111</v>
      </c>
      <c r="G53" s="1692">
        <f t="shared" si="5"/>
        <v>0</v>
      </c>
      <c r="H53" s="1692">
        <f t="shared" si="5"/>
        <v>1173</v>
      </c>
      <c r="I53" s="1692">
        <f t="shared" si="5"/>
        <v>0</v>
      </c>
      <c r="J53" s="1692">
        <f t="shared" si="5"/>
        <v>0</v>
      </c>
      <c r="K53" s="1692">
        <f t="shared" si="5"/>
        <v>105922</v>
      </c>
      <c r="L53" s="1692">
        <f t="shared" si="5"/>
        <v>106786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61305</v>
      </c>
      <c r="D55" s="481">
        <v>4673</v>
      </c>
      <c r="E55" s="481">
        <v>884</v>
      </c>
      <c r="F55" s="481">
        <v>1779</v>
      </c>
      <c r="G55" s="481"/>
      <c r="H55" s="481">
        <v>3553</v>
      </c>
      <c r="I55" s="467"/>
      <c r="J55" s="467"/>
      <c r="K55" s="1694">
        <f>SUM(C55:J55)</f>
        <v>72194</v>
      </c>
      <c r="L55" s="481">
        <v>110600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61305</v>
      </c>
      <c r="D57" s="1696">
        <f t="shared" ref="D57:K57" si="6">SUM(D55:D56)</f>
        <v>4673</v>
      </c>
      <c r="E57" s="1696">
        <f t="shared" si="6"/>
        <v>884</v>
      </c>
      <c r="F57" s="1696">
        <f t="shared" si="6"/>
        <v>1779</v>
      </c>
      <c r="G57" s="1696">
        <f t="shared" si="6"/>
        <v>0</v>
      </c>
      <c r="H57" s="1696">
        <f t="shared" si="6"/>
        <v>3553</v>
      </c>
      <c r="I57" s="1696">
        <f t="shared" si="6"/>
        <v>0</v>
      </c>
      <c r="J57" s="1696">
        <f t="shared" si="6"/>
        <v>0</v>
      </c>
      <c r="K57" s="1696">
        <f t="shared" si="6"/>
        <v>72194</v>
      </c>
      <c r="L57" s="1692">
        <f>SUM(L55:L56)</f>
        <v>110600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41846</v>
      </c>
      <c r="D60" s="466">
        <v>100</v>
      </c>
      <c r="E60" s="466">
        <v>580</v>
      </c>
      <c r="F60" s="466">
        <v>774</v>
      </c>
      <c r="G60" s="466"/>
      <c r="H60" s="466"/>
      <c r="I60" s="467"/>
      <c r="J60" s="467"/>
      <c r="K60" s="1694">
        <f t="shared" si="7"/>
        <v>43300</v>
      </c>
      <c r="L60" s="466">
        <v>46402</v>
      </c>
      <c r="M60" s="610"/>
      <c r="N60" s="610"/>
    </row>
    <row r="61" spans="1:14" s="343" customFormat="1" x14ac:dyDescent="0.2">
      <c r="A61" s="1526" t="s">
        <v>206</v>
      </c>
      <c r="B61" s="615">
        <v>2540</v>
      </c>
      <c r="C61" s="466">
        <v>23147</v>
      </c>
      <c r="D61" s="466"/>
      <c r="E61" s="466">
        <v>3968</v>
      </c>
      <c r="F61" s="466"/>
      <c r="G61" s="466"/>
      <c r="H61" s="466">
        <v>161</v>
      </c>
      <c r="I61" s="467"/>
      <c r="J61" s="467"/>
      <c r="K61" s="1694">
        <f t="shared" si="7"/>
        <v>27276</v>
      </c>
      <c r="L61" s="466">
        <v>40000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64912</v>
      </c>
      <c r="D63" s="466"/>
      <c r="E63" s="466">
        <v>616</v>
      </c>
      <c r="F63" s="466">
        <v>48188</v>
      </c>
      <c r="G63" s="466"/>
      <c r="H63" s="466">
        <v>225</v>
      </c>
      <c r="I63" s="467"/>
      <c r="J63" s="467"/>
      <c r="K63" s="1694">
        <f t="shared" si="7"/>
        <v>113941</v>
      </c>
      <c r="L63" s="466">
        <v>97350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129905</v>
      </c>
      <c r="D65" s="1692">
        <f t="shared" ref="D65:L65" si="8">SUM(D59:D64)</f>
        <v>100</v>
      </c>
      <c r="E65" s="1692">
        <f t="shared" si="8"/>
        <v>5164</v>
      </c>
      <c r="F65" s="1692">
        <f t="shared" si="8"/>
        <v>48962</v>
      </c>
      <c r="G65" s="1692">
        <f t="shared" si="8"/>
        <v>0</v>
      </c>
      <c r="H65" s="1692">
        <f t="shared" si="8"/>
        <v>386</v>
      </c>
      <c r="I65" s="1692">
        <f t="shared" si="8"/>
        <v>0</v>
      </c>
      <c r="J65" s="1692">
        <f t="shared" si="8"/>
        <v>0</v>
      </c>
      <c r="K65" s="1692">
        <f t="shared" si="8"/>
        <v>184517</v>
      </c>
      <c r="L65" s="1692">
        <f t="shared" si="8"/>
        <v>183752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247862</v>
      </c>
      <c r="D74" s="1699">
        <f t="shared" ref="D74:K74" si="10">SUM(D42,D47,D53,D57,D65,D72,D73)</f>
        <v>12177</v>
      </c>
      <c r="E74" s="1699">
        <f t="shared" si="10"/>
        <v>62316</v>
      </c>
      <c r="F74" s="1699">
        <f t="shared" si="10"/>
        <v>59369</v>
      </c>
      <c r="G74" s="1699">
        <f t="shared" si="10"/>
        <v>0</v>
      </c>
      <c r="H74" s="1699">
        <f t="shared" si="10"/>
        <v>5222</v>
      </c>
      <c r="I74" s="1699">
        <f t="shared" si="10"/>
        <v>0</v>
      </c>
      <c r="J74" s="1699">
        <f t="shared" si="10"/>
        <v>0</v>
      </c>
      <c r="K74" s="1699">
        <f t="shared" si="10"/>
        <v>386946</v>
      </c>
      <c r="L74" s="1699">
        <f>SUM(L42,L47,L53,L57,L65,L72,L73)</f>
        <v>455638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483258</v>
      </c>
      <c r="F78" s="617"/>
      <c r="G78" s="617"/>
      <c r="H78" s="635"/>
      <c r="I78" s="477"/>
      <c r="J78" s="477"/>
      <c r="K78" s="1693">
        <f t="shared" ref="K78:K83" si="11">SUM(C78:J78)</f>
        <v>483258</v>
      </c>
      <c r="L78" s="481">
        <v>525000</v>
      </c>
    </row>
    <row r="79" spans="1:14" x14ac:dyDescent="0.2">
      <c r="A79" s="1526" t="s">
        <v>322</v>
      </c>
      <c r="B79" s="615">
        <v>4120</v>
      </c>
      <c r="C79" s="617"/>
      <c r="D79" s="617"/>
      <c r="E79" s="466">
        <v>15482</v>
      </c>
      <c r="F79" s="617"/>
      <c r="G79" s="617"/>
      <c r="H79" s="466"/>
      <c r="I79" s="477"/>
      <c r="J79" s="477"/>
      <c r="K79" s="1693">
        <f t="shared" si="11"/>
        <v>15482</v>
      </c>
      <c r="L79" s="466">
        <v>15000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460</v>
      </c>
      <c r="F81" s="617"/>
      <c r="G81" s="617"/>
      <c r="H81" s="466"/>
      <c r="I81" s="477"/>
      <c r="J81" s="477"/>
      <c r="K81" s="1693">
        <f t="shared" si="11"/>
        <v>460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499200</v>
      </c>
      <c r="F84" s="617"/>
      <c r="G84" s="617"/>
      <c r="H84" s="1692">
        <f>SUM(H78:H83)</f>
        <v>0</v>
      </c>
      <c r="I84" s="477"/>
      <c r="J84" s="477"/>
      <c r="K84" s="1692">
        <f>SUM(K78:K83)</f>
        <v>499200</v>
      </c>
      <c r="L84" s="1692">
        <f>SUM(L78:L83)</f>
        <v>540000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560</v>
      </c>
      <c r="F101" s="617"/>
      <c r="G101" s="617"/>
      <c r="H101" s="531"/>
      <c r="I101" s="477"/>
      <c r="J101" s="477"/>
      <c r="K101" s="1701">
        <f>SUM(C101:J101)</f>
        <v>560</v>
      </c>
      <c r="L101" s="530"/>
    </row>
    <row r="102" spans="1:14" ht="12.75" customHeight="1" thickTop="1" thickBot="1" x14ac:dyDescent="0.25">
      <c r="A102" s="1690" t="s">
        <v>1567</v>
      </c>
      <c r="B102" s="1700">
        <v>4000</v>
      </c>
      <c r="C102" s="617"/>
      <c r="D102" s="617"/>
      <c r="E102" s="1699">
        <f>SUM(E84,E92,E100,E101)</f>
        <v>499760</v>
      </c>
      <c r="F102" s="617"/>
      <c r="G102" s="617"/>
      <c r="H102" s="1699">
        <f>SUM(H84,H92,H100,H101)</f>
        <v>0</v>
      </c>
      <c r="I102" s="477"/>
      <c r="J102" s="477"/>
      <c r="K102" s="1699">
        <f>SUM(K84,K92,K100,K101)</f>
        <v>499760</v>
      </c>
      <c r="L102" s="1699">
        <f>SUM(L84,L92,L100,L101)</f>
        <v>540000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855443</v>
      </c>
      <c r="D114" s="1692">
        <f t="shared" ref="D114:K114" si="13">SUM(D33,D74,D75,D102,D112,D113)</f>
        <v>81689</v>
      </c>
      <c r="E114" s="1692">
        <f t="shared" si="13"/>
        <v>572063</v>
      </c>
      <c r="F114" s="1692">
        <f t="shared" si="13"/>
        <v>84099</v>
      </c>
      <c r="G114" s="1692">
        <f t="shared" si="13"/>
        <v>0</v>
      </c>
      <c r="H114" s="1692">
        <f>SUM(H33,H74,H75,H102,H112,H113)</f>
        <v>22953</v>
      </c>
      <c r="I114" s="1692">
        <f t="shared" si="13"/>
        <v>0</v>
      </c>
      <c r="J114" s="1692">
        <f t="shared" si="13"/>
        <v>0</v>
      </c>
      <c r="K114" s="1692">
        <f t="shared" si="13"/>
        <v>1616247</v>
      </c>
      <c r="L114" s="1692">
        <f>SUM(L33,L74,L75,L102,L112,L113)</f>
        <v>1717568</v>
      </c>
    </row>
    <row r="115" spans="1:14" ht="13.5" thickTop="1" x14ac:dyDescent="0.2">
      <c r="A115" s="2198" t="s">
        <v>1053</v>
      </c>
      <c r="B115" s="2199"/>
      <c r="C115" s="619"/>
      <c r="D115" s="619"/>
      <c r="E115" s="619"/>
      <c r="F115" s="619"/>
      <c r="G115" s="619"/>
      <c r="H115" s="619"/>
      <c r="I115" s="619"/>
      <c r="J115" s="619"/>
      <c r="K115" s="1706">
        <f>'Revenues 9-14'!C275-'Expenditures 15-22'!K114</f>
        <v>234520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41605</v>
      </c>
      <c r="F124" s="466">
        <v>13422</v>
      </c>
      <c r="G124" s="466">
        <v>12004</v>
      </c>
      <c r="H124" s="466">
        <v>1904</v>
      </c>
      <c r="I124" s="467"/>
      <c r="J124" s="467"/>
      <c r="K124" s="1692">
        <f>SUM(C124:J124)</f>
        <v>68935</v>
      </c>
      <c r="L124" s="466">
        <v>81792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41605</v>
      </c>
      <c r="F127" s="1692">
        <f t="shared" si="14"/>
        <v>13422</v>
      </c>
      <c r="G127" s="1692">
        <f t="shared" si="14"/>
        <v>12004</v>
      </c>
      <c r="H127" s="1692">
        <f t="shared" si="14"/>
        <v>1904</v>
      </c>
      <c r="I127" s="1692">
        <f t="shared" si="14"/>
        <v>0</v>
      </c>
      <c r="J127" s="1692">
        <f t="shared" si="14"/>
        <v>0</v>
      </c>
      <c r="K127" s="1692">
        <f t="shared" si="14"/>
        <v>68935</v>
      </c>
      <c r="L127" s="1692">
        <f t="shared" si="14"/>
        <v>81792</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41605</v>
      </c>
      <c r="F129" s="1699">
        <f t="shared" si="15"/>
        <v>13422</v>
      </c>
      <c r="G129" s="1699">
        <f t="shared" si="15"/>
        <v>12004</v>
      </c>
      <c r="H129" s="1699">
        <f t="shared" si="15"/>
        <v>1904</v>
      </c>
      <c r="I129" s="1699">
        <f t="shared" si="15"/>
        <v>0</v>
      </c>
      <c r="J129" s="1699">
        <f t="shared" si="15"/>
        <v>0</v>
      </c>
      <c r="K129" s="1699">
        <f t="shared" si="15"/>
        <v>68935</v>
      </c>
      <c r="L129" s="1699">
        <f t="shared" si="15"/>
        <v>81792</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0</v>
      </c>
      <c r="D151" s="1692">
        <f t="shared" ref="D151:K151" si="16">SUM(D129,D130,D139,D149,D150)</f>
        <v>0</v>
      </c>
      <c r="E151" s="1692">
        <f t="shared" si="16"/>
        <v>41605</v>
      </c>
      <c r="F151" s="1692">
        <f t="shared" si="16"/>
        <v>13422</v>
      </c>
      <c r="G151" s="1692">
        <f t="shared" si="16"/>
        <v>12004</v>
      </c>
      <c r="H151" s="1692">
        <f t="shared" si="16"/>
        <v>1904</v>
      </c>
      <c r="I151" s="1692">
        <f t="shared" si="16"/>
        <v>0</v>
      </c>
      <c r="J151" s="1692">
        <f t="shared" si="16"/>
        <v>0</v>
      </c>
      <c r="K151" s="1692">
        <f t="shared" si="16"/>
        <v>68935</v>
      </c>
      <c r="L151" s="1692">
        <f>SUM(L129,L130,L139,L149,L150)</f>
        <v>81792</v>
      </c>
    </row>
    <row r="152" spans="1:14" ht="12.75" customHeight="1" thickTop="1" x14ac:dyDescent="0.2">
      <c r="A152" s="2191" t="s">
        <v>1240</v>
      </c>
      <c r="B152" s="2192"/>
      <c r="C152" s="619"/>
      <c r="D152" s="619"/>
      <c r="E152" s="619"/>
      <c r="F152" s="619"/>
      <c r="G152" s="619"/>
      <c r="H152" s="619"/>
      <c r="I152" s="619"/>
      <c r="J152" s="617"/>
      <c r="K152" s="1706">
        <f>'Revenues 9-14'!D275-'Expenditures 15-22'!K151</f>
        <v>40277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25789</v>
      </c>
      <c r="I169" s="617"/>
      <c r="J169" s="617"/>
      <c r="K169" s="1693">
        <f>SUM(C169:H169)</f>
        <v>25789</v>
      </c>
      <c r="L169" s="657">
        <v>21634</v>
      </c>
    </row>
    <row r="170" spans="1:14" ht="33.75" customHeight="1" x14ac:dyDescent="0.2">
      <c r="A170" s="670" t="s">
        <v>1769</v>
      </c>
      <c r="B170" s="672" t="s">
        <v>31</v>
      </c>
      <c r="C170" s="617"/>
      <c r="D170" s="617"/>
      <c r="E170" s="617"/>
      <c r="F170" s="617"/>
      <c r="G170" s="617"/>
      <c r="H170" s="569">
        <v>100000</v>
      </c>
      <c r="I170" s="617"/>
      <c r="J170" s="617"/>
      <c r="K170" s="1693">
        <f>SUM(C170:J170)</f>
        <v>100000</v>
      </c>
      <c r="L170" s="569">
        <v>100000</v>
      </c>
    </row>
    <row r="171" spans="1:14" ht="15.75" customHeight="1" x14ac:dyDescent="0.2">
      <c r="A171" s="622" t="s">
        <v>790</v>
      </c>
      <c r="B171" s="673" t="s">
        <v>86</v>
      </c>
      <c r="C171" s="617"/>
      <c r="D171" s="617"/>
      <c r="E171" s="466"/>
      <c r="F171" s="617"/>
      <c r="G171" s="617"/>
      <c r="H171" s="569">
        <v>1900</v>
      </c>
      <c r="I171" s="477"/>
      <c r="J171" s="617"/>
      <c r="K171" s="1693">
        <f>SUM(C171:J171)</f>
        <v>1900</v>
      </c>
      <c r="L171" s="569"/>
    </row>
    <row r="172" spans="1:14" ht="12.75" customHeight="1" thickBot="1" x14ac:dyDescent="0.25">
      <c r="A172" s="1690" t="s">
        <v>659</v>
      </c>
      <c r="B172" s="1691" t="s">
        <v>513</v>
      </c>
      <c r="C172" s="617"/>
      <c r="D172" s="617"/>
      <c r="E172" s="1699">
        <f>SUM(E168,E169,E170,E171)</f>
        <v>0</v>
      </c>
      <c r="F172" s="617"/>
      <c r="G172" s="617"/>
      <c r="H172" s="1699">
        <f>SUM(H168,H169,H170,H171)</f>
        <v>127689</v>
      </c>
      <c r="I172" s="639"/>
      <c r="J172" s="617"/>
      <c r="K172" s="1699">
        <f>SUM(K168,K169,K170,K171)</f>
        <v>127689</v>
      </c>
      <c r="L172" s="1699">
        <f>SUM(L168,L169,L170,L171)</f>
        <v>121634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127689</v>
      </c>
      <c r="I174" s="639"/>
      <c r="J174" s="617"/>
      <c r="K174" s="1699">
        <f>SUM(K160,K172,K173)</f>
        <v>127689</v>
      </c>
      <c r="L174" s="1699">
        <f>SUM(L160,L172,L173)</f>
        <v>121634</v>
      </c>
    </row>
    <row r="175" spans="1:14" ht="13.5" thickTop="1" x14ac:dyDescent="0.2">
      <c r="A175" s="2198" t="s">
        <v>1053</v>
      </c>
      <c r="B175" s="2199"/>
      <c r="C175" s="617"/>
      <c r="D175" s="617"/>
      <c r="E175" s="617"/>
      <c r="F175" s="617"/>
      <c r="G175" s="617"/>
      <c r="H175" s="619"/>
      <c r="I175" s="617"/>
      <c r="J175" s="617"/>
      <c r="K175" s="1706">
        <f>'Revenues 9-14'!E275-'Expenditures 15-22'!K174</f>
        <v>-190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44202</v>
      </c>
      <c r="D182" s="466">
        <v>1001</v>
      </c>
      <c r="E182" s="466">
        <v>28132</v>
      </c>
      <c r="F182" s="466">
        <v>12403</v>
      </c>
      <c r="G182" s="466"/>
      <c r="H182" s="466">
        <v>812</v>
      </c>
      <c r="I182" s="467"/>
      <c r="J182" s="467"/>
      <c r="K182" s="1693">
        <f>SUM(C182:J182)</f>
        <v>86550</v>
      </c>
      <c r="L182" s="466">
        <v>92846</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44202</v>
      </c>
      <c r="D184" s="1699">
        <f t="shared" ref="D184:J184" si="17">SUM(D180,D182,D183)</f>
        <v>1001</v>
      </c>
      <c r="E184" s="1699">
        <f t="shared" si="17"/>
        <v>28132</v>
      </c>
      <c r="F184" s="1699">
        <f t="shared" si="17"/>
        <v>12403</v>
      </c>
      <c r="G184" s="1699">
        <f t="shared" si="17"/>
        <v>0</v>
      </c>
      <c r="H184" s="1699">
        <f t="shared" si="17"/>
        <v>812</v>
      </c>
      <c r="I184" s="1699">
        <f t="shared" si="17"/>
        <v>0</v>
      </c>
      <c r="J184" s="1699">
        <f t="shared" si="17"/>
        <v>0</v>
      </c>
      <c r="K184" s="1699">
        <f>SUM(K180,K182,K183)</f>
        <v>86550</v>
      </c>
      <c r="L184" s="1699">
        <f>SUM(L180, L182:L183)</f>
        <v>92846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44202</v>
      </c>
      <c r="D210" s="1692">
        <f>SUM(D184,D185)</f>
        <v>1001</v>
      </c>
      <c r="E210" s="1692">
        <f>SUM(E184,E185,E196)</f>
        <v>28132</v>
      </c>
      <c r="F210" s="1692">
        <f>SUM(F184,F185)</f>
        <v>12403</v>
      </c>
      <c r="G210" s="1692">
        <f>SUM(G184,G185)</f>
        <v>0</v>
      </c>
      <c r="H210" s="1692">
        <f>SUM(H184,H185,H196,H208,H209)</f>
        <v>812</v>
      </c>
      <c r="I210" s="1692">
        <f>SUM(I184,I185)</f>
        <v>0</v>
      </c>
      <c r="J210" s="1692">
        <f>SUM(J184,J185)</f>
        <v>0</v>
      </c>
      <c r="K210" s="1693">
        <f>SUM(K184,K185,K196,K208,K209)</f>
        <v>86550</v>
      </c>
      <c r="L210" s="1692">
        <f>SUM(L184,L185,L196,L208,L209)</f>
        <v>92846</v>
      </c>
    </row>
    <row r="211" spans="1:14" ht="13.5" thickTop="1" x14ac:dyDescent="0.2">
      <c r="A211" s="2198" t="s">
        <v>1053</v>
      </c>
      <c r="B211" s="2199"/>
      <c r="C211" s="619"/>
      <c r="D211" s="619"/>
      <c r="E211" s="619"/>
      <c r="F211" s="619"/>
      <c r="G211" s="619"/>
      <c r="H211" s="619"/>
      <c r="I211" s="617"/>
      <c r="J211" s="617"/>
      <c r="K211" s="1706">
        <f>'Revenues 9-14'!F275-'Expenditures 15-22'!K210</f>
        <v>18534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7111</v>
      </c>
      <c r="E215" s="617"/>
      <c r="F215" s="617"/>
      <c r="G215" s="617"/>
      <c r="H215" s="617"/>
      <c r="I215" s="617"/>
      <c r="J215" s="617"/>
      <c r="K215" s="1693">
        <f>D215</f>
        <v>7111</v>
      </c>
      <c r="L215" s="466">
        <v>46455</v>
      </c>
    </row>
    <row r="216" spans="1:14" x14ac:dyDescent="0.2">
      <c r="A216" s="1526" t="s">
        <v>165</v>
      </c>
      <c r="B216" s="615" t="s">
        <v>1024</v>
      </c>
      <c r="C216" s="617"/>
      <c r="D216" s="467">
        <v>1893</v>
      </c>
      <c r="E216" s="617"/>
      <c r="F216" s="617"/>
      <c r="G216" s="617"/>
      <c r="H216" s="617"/>
      <c r="I216" s="617"/>
      <c r="J216" s="617"/>
      <c r="K216" s="1693">
        <f t="shared" ref="K216:K228" si="19">D216</f>
        <v>1893</v>
      </c>
      <c r="L216" s="466"/>
    </row>
    <row r="217" spans="1:14" x14ac:dyDescent="0.2">
      <c r="A217" s="1526" t="s">
        <v>166</v>
      </c>
      <c r="B217" s="615">
        <v>1200</v>
      </c>
      <c r="C217" s="617"/>
      <c r="D217" s="466">
        <v>2881</v>
      </c>
      <c r="E217" s="617"/>
      <c r="F217" s="617"/>
      <c r="G217" s="617"/>
      <c r="H217" s="617"/>
      <c r="I217" s="617"/>
      <c r="J217" s="617"/>
      <c r="K217" s="1693">
        <f t="shared" si="19"/>
        <v>2881</v>
      </c>
      <c r="L217" s="466"/>
    </row>
    <row r="218" spans="1:14" x14ac:dyDescent="0.2">
      <c r="A218" s="1526" t="s">
        <v>296</v>
      </c>
      <c r="B218" s="615" t="s">
        <v>1025</v>
      </c>
      <c r="C218" s="617"/>
      <c r="D218" s="467">
        <v>176</v>
      </c>
      <c r="E218" s="617"/>
      <c r="F218" s="617"/>
      <c r="G218" s="617"/>
      <c r="H218" s="617"/>
      <c r="I218" s="617"/>
      <c r="J218" s="617"/>
      <c r="K218" s="1693">
        <f t="shared" si="19"/>
        <v>176</v>
      </c>
      <c r="L218" s="466"/>
    </row>
    <row r="219" spans="1:14" x14ac:dyDescent="0.2">
      <c r="A219" s="1526" t="s">
        <v>297</v>
      </c>
      <c r="B219" s="615">
        <v>1250</v>
      </c>
      <c r="C219" s="617"/>
      <c r="D219" s="466">
        <v>2252</v>
      </c>
      <c r="E219" s="617"/>
      <c r="F219" s="617"/>
      <c r="G219" s="617"/>
      <c r="H219" s="617"/>
      <c r="I219" s="617"/>
      <c r="J219" s="617"/>
      <c r="K219" s="1693">
        <f t="shared" si="19"/>
        <v>2252</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891</v>
      </c>
      <c r="E223" s="617"/>
      <c r="F223" s="617"/>
      <c r="G223" s="617"/>
      <c r="H223" s="617"/>
      <c r="I223" s="617"/>
      <c r="J223" s="617"/>
      <c r="K223" s="1693">
        <f t="shared" si="19"/>
        <v>891</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15204</v>
      </c>
      <c r="E229" s="617"/>
      <c r="F229" s="617"/>
      <c r="G229" s="617"/>
      <c r="H229" s="617"/>
      <c r="I229" s="617"/>
      <c r="J229" s="617"/>
      <c r="K229" s="1692">
        <f>SUM(K215:K228)</f>
        <v>15204</v>
      </c>
      <c r="L229" s="1692">
        <f>SUM(L215:L228)</f>
        <v>46455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222</v>
      </c>
      <c r="E236" s="617"/>
      <c r="F236" s="617"/>
      <c r="G236" s="617"/>
      <c r="H236" s="617"/>
      <c r="I236" s="617"/>
      <c r="J236" s="617"/>
      <c r="K236" s="1693">
        <f t="shared" si="20"/>
        <v>222</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222</v>
      </c>
      <c r="E238" s="617"/>
      <c r="F238" s="617"/>
      <c r="G238" s="617"/>
      <c r="H238" s="617"/>
      <c r="I238" s="617"/>
      <c r="J238" s="617"/>
      <c r="K238" s="1692">
        <f>SUM(K232:K237)</f>
        <v>222</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552</v>
      </c>
      <c r="E245" s="617"/>
      <c r="F245" s="617"/>
      <c r="G245" s="617"/>
      <c r="H245" s="617"/>
      <c r="I245" s="617"/>
      <c r="J245" s="617"/>
      <c r="K245" s="1694">
        <f>D245</f>
        <v>552</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552</v>
      </c>
      <c r="E257" s="617"/>
      <c r="F257" s="617"/>
      <c r="G257" s="617"/>
      <c r="H257" s="617"/>
      <c r="I257" s="617"/>
      <c r="J257" s="617"/>
      <c r="K257" s="1692">
        <f>SUM(K245:K256)</f>
        <v>552</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4074</v>
      </c>
      <c r="E263" s="617"/>
      <c r="F263" s="617"/>
      <c r="G263" s="617"/>
      <c r="H263" s="617"/>
      <c r="I263" s="617"/>
      <c r="J263" s="617"/>
      <c r="K263" s="1694">
        <f>D263</f>
        <v>4074</v>
      </c>
      <c r="L263" s="481"/>
    </row>
    <row r="264" spans="1:14" x14ac:dyDescent="0.2">
      <c r="A264" s="1526" t="s">
        <v>483</v>
      </c>
      <c r="B264" s="686">
        <v>2520</v>
      </c>
      <c r="C264" s="617"/>
      <c r="D264" s="466">
        <v>6619</v>
      </c>
      <c r="E264" s="617"/>
      <c r="F264" s="617"/>
      <c r="G264" s="617"/>
      <c r="H264" s="617"/>
      <c r="I264" s="617"/>
      <c r="J264" s="617"/>
      <c r="K264" s="1694">
        <f t="shared" ref="K264:K269" si="22">D264</f>
        <v>6619</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5546</v>
      </c>
      <c r="E266" s="617"/>
      <c r="F266" s="617"/>
      <c r="G266" s="617"/>
      <c r="H266" s="617"/>
      <c r="I266" s="617"/>
      <c r="J266" s="617"/>
      <c r="K266" s="1694">
        <f t="shared" si="22"/>
        <v>5546</v>
      </c>
      <c r="L266" s="466"/>
    </row>
    <row r="267" spans="1:14" x14ac:dyDescent="0.2">
      <c r="A267" s="1526" t="s">
        <v>1010</v>
      </c>
      <c r="B267" s="615">
        <v>2550</v>
      </c>
      <c r="C267" s="617"/>
      <c r="D267" s="466">
        <v>3133</v>
      </c>
      <c r="E267" s="617"/>
      <c r="F267" s="617"/>
      <c r="G267" s="617"/>
      <c r="H267" s="617"/>
      <c r="I267" s="617"/>
      <c r="J267" s="617"/>
      <c r="K267" s="1694">
        <f t="shared" si="22"/>
        <v>3133</v>
      </c>
      <c r="L267" s="466"/>
    </row>
    <row r="268" spans="1:14" x14ac:dyDescent="0.2">
      <c r="A268" s="1526" t="s">
        <v>102</v>
      </c>
      <c r="B268" s="615">
        <v>2560</v>
      </c>
      <c r="C268" s="617"/>
      <c r="D268" s="466">
        <v>8596</v>
      </c>
      <c r="E268" s="617"/>
      <c r="F268" s="617"/>
      <c r="G268" s="617"/>
      <c r="H268" s="617"/>
      <c r="I268" s="617"/>
      <c r="J268" s="617"/>
      <c r="K268" s="1694">
        <f t="shared" si="22"/>
        <v>8596</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27968</v>
      </c>
      <c r="E270" s="617"/>
      <c r="F270" s="617"/>
      <c r="G270" s="617"/>
      <c r="H270" s="617"/>
      <c r="I270" s="617"/>
      <c r="J270" s="617"/>
      <c r="K270" s="1692">
        <f>SUM(K263:K269)</f>
        <v>27968</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28742</v>
      </c>
      <c r="E279" s="617"/>
      <c r="F279" s="617"/>
      <c r="G279" s="617"/>
      <c r="H279" s="617"/>
      <c r="I279" s="617"/>
      <c r="J279" s="617"/>
      <c r="K279" s="1699">
        <f>SUM(K238,K243,K257,K261,K270,K277,K278)</f>
        <v>28742</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43946</v>
      </c>
      <c r="E295" s="617"/>
      <c r="F295" s="617"/>
      <c r="G295" s="617"/>
      <c r="H295" s="1692">
        <f>H293</f>
        <v>0</v>
      </c>
      <c r="I295" s="617"/>
      <c r="J295" s="617"/>
      <c r="K295" s="1692">
        <f>SUM(K229,K279,K280,K285,K293,K294)</f>
        <v>43946</v>
      </c>
      <c r="L295" s="1692">
        <f>SUM(L229,L279,L280,L285,L293,L294)</f>
        <v>46455</v>
      </c>
    </row>
    <row r="296" spans="1:14" ht="13.5" thickTop="1" x14ac:dyDescent="0.2">
      <c r="A296" s="2198" t="s">
        <v>1053</v>
      </c>
      <c r="B296" s="2199"/>
      <c r="C296" s="617"/>
      <c r="D296" s="619"/>
      <c r="E296" s="617"/>
      <c r="F296" s="617"/>
      <c r="G296" s="617"/>
      <c r="H296" s="688"/>
      <c r="I296" s="617"/>
      <c r="J296" s="617"/>
      <c r="K296" s="1706">
        <f>'Revenues 9-14'!G275-'Expenditures 15-22'!K295</f>
        <v>11494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10045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18212</v>
      </c>
      <c r="F322" s="467"/>
      <c r="G322" s="467"/>
      <c r="H322" s="467"/>
      <c r="I322" s="467"/>
      <c r="J322" s="467"/>
      <c r="K322" s="1693">
        <f t="shared" si="24"/>
        <v>18212</v>
      </c>
      <c r="L322" s="467"/>
      <c r="M322" s="666"/>
      <c r="N322" s="666"/>
    </row>
    <row r="323" spans="1:14" s="675" customFormat="1" x14ac:dyDescent="0.2">
      <c r="A323" s="1541" t="s">
        <v>726</v>
      </c>
      <c r="B323" s="698" t="s">
        <v>303</v>
      </c>
      <c r="C323" s="467">
        <v>94972</v>
      </c>
      <c r="D323" s="467"/>
      <c r="E323" s="467"/>
      <c r="F323" s="467"/>
      <c r="G323" s="467"/>
      <c r="H323" s="467"/>
      <c r="I323" s="467"/>
      <c r="J323" s="467"/>
      <c r="K323" s="1693">
        <f t="shared" si="24"/>
        <v>94972</v>
      </c>
      <c r="L323" s="467">
        <v>100000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94972</v>
      </c>
      <c r="D330" s="1692">
        <f t="shared" ref="D330:J330" si="25">SUM(D319:D329)</f>
        <v>0</v>
      </c>
      <c r="E330" s="1692">
        <f t="shared" si="25"/>
        <v>18212</v>
      </c>
      <c r="F330" s="1692">
        <f t="shared" si="25"/>
        <v>0</v>
      </c>
      <c r="G330" s="1692">
        <f t="shared" si="25"/>
        <v>0</v>
      </c>
      <c r="H330" s="1692">
        <f t="shared" si="25"/>
        <v>0</v>
      </c>
      <c r="I330" s="1692">
        <f t="shared" si="25"/>
        <v>0</v>
      </c>
      <c r="J330" s="1692">
        <f t="shared" si="25"/>
        <v>0</v>
      </c>
      <c r="K330" s="1692">
        <f>SUM(K319:K329)</f>
        <v>113184</v>
      </c>
      <c r="L330" s="1692">
        <f>SUM(L319:L329)</f>
        <v>100000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94972</v>
      </c>
      <c r="D342" s="1692">
        <f>SUM(D330)</f>
        <v>0</v>
      </c>
      <c r="E342" s="1692">
        <f>SUM(E330)</f>
        <v>18212</v>
      </c>
      <c r="F342" s="1692">
        <f>SUM(F330)</f>
        <v>0</v>
      </c>
      <c r="G342" s="1692">
        <f>SUM(G330)</f>
        <v>0</v>
      </c>
      <c r="H342" s="1692">
        <f>SUM(H330,H334,H340)</f>
        <v>0</v>
      </c>
      <c r="I342" s="1692">
        <f>SUM(I330)</f>
        <v>0</v>
      </c>
      <c r="J342" s="1692">
        <f>SUM(J330)</f>
        <v>0</v>
      </c>
      <c r="K342" s="1692">
        <f>SUM(K330,K334,K340)</f>
        <v>113184</v>
      </c>
      <c r="L342" s="1699">
        <f>SUM(L330,L340,L341)</f>
        <v>100000</v>
      </c>
    </row>
    <row r="343" spans="1:14" ht="12.75" customHeight="1" thickTop="1" x14ac:dyDescent="0.2">
      <c r="A343" s="2184" t="s">
        <v>1053</v>
      </c>
      <c r="B343" s="2185"/>
      <c r="C343" s="617"/>
      <c r="D343" s="617"/>
      <c r="E343" s="617"/>
      <c r="F343" s="617"/>
      <c r="G343" s="617"/>
      <c r="H343" s="617"/>
      <c r="I343" s="617"/>
      <c r="J343" s="617"/>
      <c r="K343" s="1706">
        <f>'Revenues 9-14'!J275-'Expenditures 15-22'!K342</f>
        <v>-13713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294</v>
      </c>
      <c r="F349" s="466">
        <v>6703</v>
      </c>
      <c r="G349" s="466"/>
      <c r="H349" s="466">
        <v>8500</v>
      </c>
      <c r="I349" s="467"/>
      <c r="J349" s="467"/>
      <c r="K349" s="1693">
        <f>SUM(C349:J349)</f>
        <v>15497</v>
      </c>
      <c r="L349" s="466"/>
    </row>
    <row r="350" spans="1:14" ht="12.75" customHeight="1" thickBot="1" x14ac:dyDescent="0.25">
      <c r="A350" s="1690" t="s">
        <v>743</v>
      </c>
      <c r="B350" s="1691" t="s">
        <v>35</v>
      </c>
      <c r="C350" s="1692">
        <f>SUM(C348:C349)</f>
        <v>0</v>
      </c>
      <c r="D350" s="1692">
        <f t="shared" ref="D350:L350" si="26">SUM(D348:D349)</f>
        <v>0</v>
      </c>
      <c r="E350" s="1692">
        <f t="shared" si="26"/>
        <v>294</v>
      </c>
      <c r="F350" s="1692">
        <f t="shared" si="26"/>
        <v>6703</v>
      </c>
      <c r="G350" s="1692">
        <f t="shared" si="26"/>
        <v>0</v>
      </c>
      <c r="H350" s="1692">
        <f t="shared" si="26"/>
        <v>8500</v>
      </c>
      <c r="I350" s="1692">
        <f t="shared" si="26"/>
        <v>0</v>
      </c>
      <c r="J350" s="1692">
        <f t="shared" si="26"/>
        <v>0</v>
      </c>
      <c r="K350" s="1692">
        <f t="shared" si="26"/>
        <v>15497</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294</v>
      </c>
      <c r="F352" s="1692">
        <f t="shared" si="27"/>
        <v>6703</v>
      </c>
      <c r="G352" s="1692">
        <f t="shared" si="27"/>
        <v>0</v>
      </c>
      <c r="H352" s="1692">
        <f t="shared" si="27"/>
        <v>8500</v>
      </c>
      <c r="I352" s="1692">
        <f t="shared" si="27"/>
        <v>0</v>
      </c>
      <c r="J352" s="1692">
        <f t="shared" si="27"/>
        <v>0</v>
      </c>
      <c r="K352" s="1692">
        <f t="shared" si="27"/>
        <v>15497</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294</v>
      </c>
      <c r="F367" s="1692">
        <f t="shared" si="28"/>
        <v>6703</v>
      </c>
      <c r="G367" s="1692">
        <f t="shared" si="28"/>
        <v>0</v>
      </c>
      <c r="H367" s="1692">
        <f t="shared" si="28"/>
        <v>8500</v>
      </c>
      <c r="I367" s="1692">
        <f t="shared" si="28"/>
        <v>0</v>
      </c>
      <c r="J367" s="1692">
        <f t="shared" si="28"/>
        <v>0</v>
      </c>
      <c r="K367" s="1692">
        <f t="shared" si="28"/>
        <v>15497</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-5321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schemas.microsoft.com/office/2006/metadata/properties"/>
    <ds:schemaRef ds:uri="http://www.w3.org/XML/1998/namespace"/>
    <ds:schemaRef ds:uri="http://purl.org/dc/dcmitype/"/>
    <ds:schemaRef ds:uri="http://schemas.microsoft.com/office/infopath/2007/PartnerControls"/>
    <ds:schemaRef ds:uri="http://schemas.microsoft.com/office/2006/documentManagement/types"/>
    <ds:schemaRef ds:uri="http://purl.org/dc/elements/1.1/"/>
    <ds:schemaRef ds:uri="4d435f69-8686-490b-bd6d-b153bf22ab50"/>
    <ds:schemaRef ds:uri="http://schemas.openxmlformats.org/package/2006/metadata/core-properties"/>
    <ds:schemaRef ds:uri="http://schemas.microsoft.com/sharepoint/v3"/>
    <ds:schemaRef ds:uri="d21dc803-237d-4c68-8692-8d731fd29118"/>
    <ds:schemaRef ds:uri="6ce3111e-7420-4802-b50a-75d4e9a0b980"/>
    <ds:schemaRef ds:uri="http://purl.org/dc/terms/"/>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2018-09-11T14:52:39Z</cp:lastPrinted>
  <dcterms:created xsi:type="dcterms:W3CDTF">2003-10-29T19:06:34Z</dcterms:created>
  <dcterms:modified xsi:type="dcterms:W3CDTF">2018-09-21T20:56:28Z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