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2)" sheetId="18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27" i="183" l="1"/>
  <c r="L25"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s="1"/>
  <c r="B5115" i="106"/>
  <c r="D5115" i="106" s="1"/>
  <c r="B5116" i="106"/>
  <c r="D5116" i="106" s="1"/>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5" i="127"/>
  <c r="B66" i="127"/>
  <c r="D26" i="108"/>
  <c r="E26" i="108"/>
  <c r="F26" i="108"/>
  <c r="G26" i="108"/>
  <c r="D27" i="108"/>
  <c r="E27" i="108"/>
  <c r="F27" i="108"/>
  <c r="G27" i="108"/>
  <c r="E28" i="108"/>
  <c r="F28"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C172" i="5"/>
  <c r="B5214" i="106" s="1"/>
  <c r="D5214" i="106" s="1"/>
  <c r="H109" i="5"/>
  <c r="B6025" i="106" s="1"/>
  <c r="D6025" i="106" s="1"/>
  <c r="F106" i="34"/>
  <c r="H6" i="4"/>
  <c r="B2656" i="106" s="1"/>
  <c r="D2656" i="106" s="1"/>
  <c r="B1746" i="106"/>
  <c r="D1746" i="106" s="1"/>
  <c r="D17" i="7"/>
  <c r="B4104" i="106" s="1"/>
  <c r="D4104" i="106" s="1"/>
  <c r="D11" i="7"/>
  <c r="B1768" i="106" s="1"/>
  <c r="D1768" i="106" s="1"/>
  <c r="D15" i="7"/>
  <c r="B1772" i="106" s="1"/>
  <c r="D1772" i="106" s="1"/>
  <c r="B6261" i="106" l="1"/>
  <c r="D6261" i="106" s="1"/>
  <c r="J77" i="4"/>
  <c r="B6262" i="106" s="1"/>
  <c r="D6262" i="106" s="1"/>
  <c r="B6191" i="106"/>
  <c r="D6191" i="106" s="1"/>
  <c r="J41" i="3"/>
  <c r="I173" i="5"/>
  <c r="B4216" i="106" s="1"/>
  <c r="D4216" i="106" s="1"/>
  <c r="D109" i="5"/>
  <c r="B5356" i="106" s="1"/>
  <c r="D5356" i="106" s="1"/>
  <c r="L367" i="29"/>
  <c r="D7245" i="106"/>
  <c r="K24" i="12"/>
  <c r="B7733" i="106" s="1"/>
  <c r="D7733" i="106" s="1"/>
  <c r="B4268" i="106"/>
  <c r="D4268" i="106" s="1"/>
  <c r="B3647" i="106"/>
  <c r="D3647" i="106" s="1"/>
  <c r="C352" i="29"/>
  <c r="K41" i="3"/>
  <c r="B3568" i="106" s="1"/>
  <c r="D3568" i="106" s="1"/>
  <c r="L15" i="11"/>
  <c r="B3459" i="106" s="1"/>
  <c r="D3459" i="106" s="1"/>
  <c r="H76" i="4"/>
  <c r="B3298" i="106" s="1"/>
  <c r="D3298" i="106" s="1"/>
  <c r="K285" i="29"/>
  <c r="E174" i="29"/>
  <c r="B1309" i="106" s="1"/>
  <c r="D1309" i="106" s="1"/>
  <c r="E29" i="108"/>
  <c r="L13" i="11"/>
  <c r="B2060" i="106" s="1"/>
  <c r="D2060" i="106" s="1"/>
  <c r="K26" i="12"/>
  <c r="B7743" i="106" s="1"/>
  <c r="D7743" i="106" s="1"/>
  <c r="L342" i="29"/>
  <c r="B3649" i="106"/>
  <c r="D3649" i="106" s="1"/>
  <c r="G367" i="29"/>
  <c r="K350" i="29"/>
  <c r="D12" i="7"/>
  <c r="B1769" i="106" s="1"/>
  <c r="D1769" i="106" s="1"/>
  <c r="D52" i="36"/>
  <c r="C342" i="29"/>
  <c r="B7216" i="106" s="1"/>
  <c r="D7216" i="106" s="1"/>
  <c r="H4" i="4"/>
  <c r="B2655" i="106" s="1"/>
  <c r="D2655" i="106" s="1"/>
  <c r="F67" i="34"/>
  <c r="B1410" i="106"/>
  <c r="D1410" i="106" s="1"/>
  <c r="G109" i="5"/>
  <c r="B6024" i="106" s="1"/>
  <c r="D6024" i="106" s="1"/>
  <c r="G29" i="108"/>
  <c r="K184" i="29"/>
  <c r="F13" i="4" s="1"/>
  <c r="B2596" i="106" s="1"/>
  <c r="D2596" i="106" s="1"/>
  <c r="G210" i="29"/>
  <c r="D7" i="7"/>
  <c r="B1763" i="106" s="1"/>
  <c r="D1763" i="106" s="1"/>
  <c r="B1329" i="106"/>
  <c r="D1329" i="106" s="1"/>
  <c r="F61" i="34"/>
  <c r="D4" i="4"/>
  <c r="B2564" i="106" s="1"/>
  <c r="D2564" i="106" s="1"/>
  <c r="B6995" i="106"/>
  <c r="D6995" i="106" s="1"/>
  <c r="G30" i="108"/>
  <c r="E30" i="108"/>
  <c r="F35" i="34"/>
  <c r="C173" i="5"/>
  <c r="B5223" i="106" s="1"/>
  <c r="D5223" i="106" s="1"/>
  <c r="C109" i="5"/>
  <c r="B5121" i="106" s="1"/>
  <c r="D5121" i="106" s="1"/>
  <c r="B5066" i="106"/>
  <c r="D5066" i="106" s="1"/>
  <c r="F19" i="7"/>
  <c r="B1807" i="106" s="1"/>
  <c r="D1807" i="106" s="1"/>
  <c r="H29" i="118"/>
  <c r="K28" i="118" s="1"/>
  <c r="O27" i="118" s="1"/>
  <c r="O29" i="118" s="1"/>
  <c r="D31"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D7254" i="106" l="1"/>
  <c r="D7256" i="106"/>
  <c r="D7251" i="106"/>
  <c r="D7250" i="106"/>
  <c r="F274" i="5"/>
  <c r="B5653" i="106"/>
  <c r="D5653" i="106" s="1"/>
  <c r="F73" i="34"/>
  <c r="G15" i="4"/>
  <c r="B6032" i="106" s="1"/>
  <c r="D6032" i="106" s="1"/>
  <c r="B3621" i="106"/>
  <c r="D3621" i="106" s="1"/>
  <c r="C367" i="29"/>
  <c r="B3622" i="106" s="1"/>
  <c r="D3622" i="106" s="1"/>
  <c r="H367" i="29"/>
  <c r="B3660" i="106" s="1"/>
  <c r="D3660" i="106" s="1"/>
  <c r="L114" i="29"/>
  <c r="B1381" i="106"/>
  <c r="D1381" i="106" s="1"/>
  <c r="L16" i="11"/>
  <c r="B2061" i="106" s="1"/>
  <c r="D2061" i="106" s="1"/>
  <c r="B3670" i="106"/>
  <c r="D3670" i="106" s="1"/>
  <c r="K352" i="29"/>
  <c r="K342" i="29"/>
  <c r="F13" i="34" s="1"/>
  <c r="G4" i="4"/>
  <c r="B2603" i="106" s="1"/>
  <c r="D2603" i="106" s="1"/>
  <c r="B1365" i="106"/>
  <c r="D1365" i="106" s="1"/>
  <c r="F65" i="34"/>
  <c r="F275" i="5"/>
  <c r="B5720" i="106" s="1"/>
  <c r="D5720" i="106" s="1"/>
  <c r="C114" i="29"/>
  <c r="B757" i="106" s="1"/>
  <c r="D757"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6222" i="106"/>
  <c r="D6222" i="106" s="1"/>
  <c r="J8" i="4"/>
  <c r="B2658" i="106"/>
  <c r="D2658" i="106" s="1"/>
  <c r="H10" i="4"/>
  <c r="B4127" i="106" s="1"/>
  <c r="D4127" i="106" s="1"/>
  <c r="D7" i="4"/>
  <c r="B5507" i="106"/>
  <c r="D5507" i="106" s="1"/>
  <c r="B7298" i="106"/>
  <c r="B7299" i="106"/>
  <c r="K13" i="4" l="1"/>
  <c r="B3572" i="106" s="1"/>
  <c r="D3572" i="106" s="1"/>
  <c r="B3672" i="106"/>
  <c r="D3672" i="106" s="1"/>
  <c r="K367" i="29"/>
  <c r="K368" i="29" s="1"/>
  <c r="B3681" i="106" s="1"/>
  <c r="D3681" i="106" s="1"/>
  <c r="B7224" i="106"/>
  <c r="D7224" i="106" s="1"/>
  <c r="J17" i="4"/>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K17" i="4"/>
  <c r="K20" i="4" s="1"/>
  <c r="D8" i="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<sst xmlns="http://schemas.openxmlformats.org/spreadsheetml/2006/main" count="5154" uniqueCount="2154">
  <si>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</si>
  <si>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</si>
  <si>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</si>
  <si>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</si>
  <si>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</si>
  <si>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</si>
  <si>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</si>
  <si>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</si>
  <si>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</si>
  <si>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</si>
  <si>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</si>
  <si>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</si>
  <si>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</si>
  <si>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</si>
  <si>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</si>
  <si>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</si>
  <si>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</si>
  <si>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</si>
  <si>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</si>
  <si>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</si>
  <si>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</si>
  <si>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</si>
  <si>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</si>
  <si>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</si>
  <si>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</si>
  <si>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</si>
  <si>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</si>
  <si>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</si>
  <si>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</si>
  <si>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</si>
  <si>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</si>
  <si>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</si>
  <si>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</si>
  <si>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</si>
  <si>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</si>
  <si>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</si>
  <si>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</si>
  <si>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</si>
  <si>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</si>
  <si>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</si>
  <si>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</si>
  <si>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</si>
  <si>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</si>
  <si>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</si>
  <si>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</si>
  <si>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</si>
  <si>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</si>
  <si>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</si>
  <si>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</si>
  <si>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</si>
  <si>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</si>
  <si>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</si>
  <si>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</si>
  <si>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</si>
  <si>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</si>
  <si>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</si>
  <si>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</si>
  <si>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</si>
  <si>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</si>
  <si>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</si>
  <si>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</si>
  <si>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</si>
  <si>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</si>
  <si>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</si>
  <si>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</si>
  <si>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</si>
  <si>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</si>
  <si>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</si>
  <si>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</si>
  <si>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</si>
  <si>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</si>
  <si>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</si>
  <si>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</si>
  <si>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</si>
  <si>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</si>
  <si>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</si>
  <si>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</si>
  <si>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</si>
  <si>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</si>
  <si>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</si>
  <si>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</si>
  <si>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</si>
  <si>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</si>
  <si>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</si>
  <si>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</si>
  <si>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</si>
  <si>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</si>
  <si>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</si>
  <si>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</si>
  <si>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</si>
  <si>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</si>
  <si>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</si>
  <si>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</si>
  <si>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</si>
  <si>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</si>
  <si>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</si>
  <si>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</si>
  <si>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</si>
  <si>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</si>
  <si>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</si>
  <si>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</si>
  <si>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</si>
  <si>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</si>
  <si>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</si>
  <si>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</si>
  <si>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</si>
  <si>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</si>
  <si>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</si>
  <si>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</si>
  <si>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</si>
  <si>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</si>
  <si>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</si>
  <si>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</si>
  <si>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</si>
  <si>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</si>
  <si>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</si>
  <si>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</si>
  <si>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</si>
  <si>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</si>
  <si>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</si>
  <si>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</si>
  <si>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</si>
  <si>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</si>
  <si>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</si>
  <si>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</si>
  <si>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</si>
  <si>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</si>
  <si>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</si>
  <si>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</si>
  <si>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</si>
  <si>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</si>
  <si>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</si>
  <si>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</si>
  <si>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</si>
  <si>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</si>
  <si>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</si>
  <si>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</si>
  <si>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</si>
  <si>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</si>
  <si>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</si>
  <si>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</si>
  <si>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</si>
  <si>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</si>
  <si>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</si>
  <si>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</si>
  <si>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</si>
  <si>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</si>
  <si>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</si>
  <si>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</si>
  <si>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</si>
  <si>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</si>
  <si>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</si>
  <si>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</si>
  <si>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</si>
  <si>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</si>
  <si>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</si>
  <si>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</si>
  <si>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</si>
  <si>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</si>
  <si>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</si>
  <si>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</si>
  <si>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</si>
  <si>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</si>
  <si>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</si>
  <si>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</si>
  <si>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</si>
  <si>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</si>
  <si>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</si>
  <si>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</si>
  <si>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</si>
  <si>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</si>
  <si>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</si>
  <si>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</si>
  <si>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</si>
  <si>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</si>
  <si>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</si>
  <si>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</si>
  <si>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</si>
  <si>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</si>
  <si>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</si>
  <si>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</si>
  <si>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</si>
  <si>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</si>
  <si>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</si>
  <si>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</si>
  <si>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</si>
  <si>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</si>
  <si>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</si>
  <si>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</si>
  <si>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</si>
  <si>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</si>
  <si>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</si>
  <si>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</si>
  <si>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</si>
  <si>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</si>
  <si>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</si>
  <si>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</si>
  <si>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</si>
  <si>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</si>
  <si>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</si>
  <si>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</si>
  <si>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</si>
  <si>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</si>
  <si>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</si>
  <si>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</si>
  <si>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</si>
  <si>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</si>
  <si>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</si>
  <si>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</si>
  <si>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</si>
  <si>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</si>
  <si>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</si>
  <si>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</si>
  <si>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</si>
  <si>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</si>
  <si>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</si>
  <si>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</si>
  <si>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</si>
  <si>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</si>
  <si>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</si>
  <si>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</si>
  <si>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</si>
  <si>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</si>
  <si>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</si>
  <si>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</si>
  <si>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</si>
  <si>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</si>
  <si>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</si>
  <si>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</si>
  <si>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</si>
  <si>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</si>
  <si>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</si>
  <si>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</si>
  <si>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</si>
  <si>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</si>
  <si>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</si>
  <si>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</si>
  <si>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</si>
  <si>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</si>
  <si>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</si>
  <si>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</si>
  <si>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</si>
  <si>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</si>
  <si>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</si>
  <si>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</si>
  <si>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</si>
  <si>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</si>
  <si>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</si>
  <si>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</si>
  <si>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</si>
  <si>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</si>
  <si>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</si>
  <si>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</si>
  <si>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</si>
  <si>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</si>
  <si>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</si>
  <si>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</si>
  <si>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</si>
  <si>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</si>
  <si>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</si>
  <si>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</si>
  <si>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</si>
  <si>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</si>
  <si>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</si>
  <si>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</si>
  <si>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</si>
  <si>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</si>
  <si>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</si>
  <si>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</si>
  <si>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</si>
  <si>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</si>
  <si>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</si>
  <si>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</si>
  <si>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</si>
  <si>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</si>
  <si>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</si>
  <si>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</si>
  <si>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</si>
  <si>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</si>
  <si>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</si>
  <si>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</si>
  <si>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</si>
  <si>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</si>
  <si>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</si>
  <si>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</si>
  <si>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</si>
  <si>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</si>
  <si>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</si>
  <si>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</si>
  <si>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</si>
  <si>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</si>
  <si>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</si>
  <si>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</si>
  <si>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</si>
  <si>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</si>
  <si>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</si>
  <si>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</si>
  <si>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</si>
  <si>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</si>
  <si>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</si>
  <si>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</si>
  <si>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</si>
  <si>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</si>
  <si>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</si>
  <si>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</si>
  <si>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</si>
  <si>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</si>
  <si>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</si>
  <si>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</si>
  <si>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</si>
  <si>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</si>
  <si>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</si>
  <si>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</si>
  <si>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</si>
  <si>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</si>
  <si>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</si>
  <si>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</si>
  <si>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</si>
  <si>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</si>
  <si>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</si>
  <si>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</si>
  <si>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</si>
  <si>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</si>
  <si>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</si>
  <si>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</si>
  <si>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</si>
  <si>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</si>
  <si>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</si>
  <si>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</si>
  <si>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</si>
  <si>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</si>
  <si>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</si>
  <si>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</si>
  <si>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</si>
  <si>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</si>
  <si>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</si>
  <si>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</si>
  <si>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</si>
  <si>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</si>
  <si>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</si>
  <si>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</si>
  <si>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</si>
  <si>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</si>
  <si>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</si>
  <si>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</si>
  <si>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</si>
  <si>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</si>
  <si>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</si>
  <si>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</si>
  <si>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</si>
  <si>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</si>
  <si>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</si>
  <si>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</si>
  <si>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</si>
  <si>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</si>
  <si>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</si>
  <si>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</si>
  <si>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</si>
  <si>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</si>
  <si>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</si>
  <si>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</si>
  <si>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</si>
  <si>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</si>
  <si>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</si>
  <si>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</si>
  <si>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</si>
  <si>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</si>
  <si>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</si>
  <si>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</si>
  <si>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</si>
  <si>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</si>
  <si>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</si>
  <si>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</si>
  <si>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</si>
  <si>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</si>
  <si>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</si>
  <si>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</si>
  <si>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</si>
  <si>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</si>
  <si>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</si>
  <si>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</si>
  <si>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</si>
  <si>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</si>
  <si>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</si>
  <si>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</si>
  <si>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</si>
  <si>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</si>
  <si>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</si>
  <si>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</si>
  <si>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</si>
  <si>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</si>
  <si>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</si>
  <si>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</si>
  <si>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</si>
  <si>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</si>
  <si>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</si>
  <si>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</si>
  <si>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</si>
  <si>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</si>
  <si>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</si>
  <si>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</si>
  <si>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</si>
  <si>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</si>
  <si>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</si>
  <si>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</si>
  <si>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</si>
  <si>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</si>
  <si>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</si>
  <si>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</si>
  <si>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</si>
  <si>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</si>
  <si>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</si>
  <si>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</si>
  <si>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</si>
  <si>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</si>
  <si>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</si>
  <si>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</si>
  <si>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</si>
  <si>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</si>
  <si>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</si>
  <si>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</si>
  <si>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</si>
  <si>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</si>
  <si>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</si>
  <si>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</si>
  <si>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</si>
  <si>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</si>
  <si>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</si>
  <si>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</si>
  <si>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</si>
  <si>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</si>
  <si>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</si>
  <si>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</si>
  <si>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</si>
  <si>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</si>
  <si>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</si>
  <si>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</si>
  <si>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</si>
  <si>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</si>
  <si>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</si>
  <si>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</si>
  <si>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</si>
  <si>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</si>
  <si>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</si>
  <si>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</si>
  <si>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</si>
  <si>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</si>
  <si>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</si>
  <si>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</si>
  <si>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</si>
  <si>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</si>
  <si>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</si>
  <si>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</si>
  <si>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</si>
  <si>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</si>
  <si>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</si>
  <si>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</si>
  <si>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</si>
  <si>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</si>
  <si>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</si>
  <si>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</si>
  <si>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</si>
  <si>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</si>
  <si>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</si>
  <si>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</si>
  <si>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</si>
  <si>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</si>
  <si>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</si>
  <si>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</si>
  <si>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</si>
  <si>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</si>
  <si>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</si>
  <si>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</si>
  <si>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</si>
  <si>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</si>
  <si>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</si>
  <si>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</si>
  <si>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</si>
  <si>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</si>
  <si>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</si>
  <si>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</si>
  <si>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</si>
  <si>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</si>
  <si>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</si>
  <si>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</si>
  <si>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</si>
  <si>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</si>
  <si>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</si>
  <si>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</si>
  <si>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</si>
  <si>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</si>
  <si>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</si>
  <si>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</si>
  <si>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</si>
  <si>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</si>
  <si>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</si>
  <si>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</si>
  <si>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</si>
  <si>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</si>
  <si>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</si>
  <si>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</si>
  <si>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</si>
  <si>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</si>
  <si>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</si>
  <si>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</si>
  <si>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</si>
  <si>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</si>
  <si>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</si>
  <si>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</si>
  <si>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</si>
  <si>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</si>
  <si>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</si>
  <si>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</si>
  <si>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</si>
  <si>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</si>
  <si>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</si>
  <si>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</si>
  <si>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</si>
  <si>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</si>
  <si>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</si>
  <si>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</si>
  <si>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</si>
  <si>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</si>
  <si>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</si>
  <si>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</si>
  <si>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</si>
  <si>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</si>
  <si>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</si>
  <si>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</si>
  <si>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</si>
  <si>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</si>
  <si>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</si>
  <si>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</si>
  <si>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</si>
  <si>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</si>
  <si>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</si>
  <si>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</si>
  <si>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</si>
  <si>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</si>
  <si>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</si>
  <si>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</si>
  <si>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</si>
  <si>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</si>
  <si>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</si>
  <si>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</si>
  <si>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</si>
  <si>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</si>
  <si>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</si>
  <si>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</si>
  <si>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</si>
  <si>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</si>
  <si>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</si>
  <si>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</si>
  <si>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</si>
  <si>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</si>
  <si>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</si>
  <si>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</si>
  <si>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</si>
  <si>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</si>
  <si>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</si>
  <si>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</si>
  <si>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</si>
  <si>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</si>
  <si>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</si>
  <si>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</si>
  <si>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</si>
  <si>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</si>
  <si>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</si>
  <si>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</si>
  <si>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</si>
  <si>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</si>
  <si>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</si>
  <si>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</si>
  <si>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</si>
  <si>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</si>
  <si>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</si>
  <si>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</si>
  <si>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</si>
  <si>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</si>
  <si>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</si>
  <si>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</si>
  <si>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</si>
  <si>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</si>
  <si>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</si>
  <si>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</si>
  <si>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</si>
  <si>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</si>
  <si>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</si>
  <si>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</si>
  <si>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</si>
  <si>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</si>
  <si>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</si>
  <si>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</si>
  <si>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</si>
  <si>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</si>
  <si>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</si>
  <si>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</si>
  <si>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</si>
  <si>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</si>
  <si>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</si>
  <si>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</si>
  <si>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</si>
  <si>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</si>
  <si>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</si>
  <si>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</si>
  <si>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</si>
  <si>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</si>
  <si>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</si>
  <si>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</si>
  <si>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</si>
  <si>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</si>
  <si>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</si>
  <si>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</si>
  <si>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</si>
  <si>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</si>
  <si>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</si>
  <si>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</si>
  <si>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</si>
  <si>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</si>
  <si>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</si>
  <si>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</si>
  <si>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</si>
  <si>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</si>
  <si>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</si>
  <si>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</si>
  <si>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</si>
  <si>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</si>
  <si>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</si>
  <si>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</si>
  <si>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</si>
  <si>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</si>
  <si>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</si>
  <si>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</si>
  <si>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</si>
  <si>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</si>
  <si>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</si>
  <si>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</si>
  <si>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</si>
  <si>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</si>
  <si>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</si>
  <si>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</si>
  <si>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</si>
  <si>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</si>
  <si>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</si>
  <si>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</si>
  <si>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</si>
  <si>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</si>
  <si>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</si>
  <si>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</si>
  <si>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</si>
  <si>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</si>
  <si>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</si>
  <si>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</si>
  <si>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</si>
  <si>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</si>
  <si>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</si>
  <si>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</si>
  <si>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</si>
  <si>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</si>
  <si>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</si>
  <si>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</si>
  <si>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</si>
  <si>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</si>
  <si>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</si>
  <si>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</si>
  <si>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</si>
  <si>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</si>
  <si>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</si>
  <si>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</si>
  <si>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</si>
  <si>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</si>
  <si>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</si>
  <si>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</si>
  <si>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</si>
  <si>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</si>
  <si>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</si>
  <si>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</si>
  <si>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</si>
  <si>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</si>
  <si>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</si>
  <si>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</si>
  <si>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</si>
  <si>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</si>
  <si>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</si>
  <si>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</si>
  <si>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</si>
  <si>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</si>
  <si>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</si>
  <si>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</si>
  <si>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</si>
  <si>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</si>
  <si>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</si>
  <si>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</si>
  <si>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</si>
  <si>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</si>
  <si>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</si>
  <si>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</si>
  <si>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</si>
  <si>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</si>
  <si>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</si>
  <si>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</si>
  <si>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</si>
  <si>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</si>
  <si>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</si>
  <si>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</si>
  <si>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</si>
  <si>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</si>
  <si>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</si>
  <si>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</si>
  <si>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</si>
  <si>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</si>
  <si>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</si>
  <si>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</si>
  <si>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</si>
  <si>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</si>
  <si>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</si>
  <si>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</si>
  <si>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</si>
  <si>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</si>
  <si>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</si>
  <si>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</si>
  <si>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</si>
  <si>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</si>
  <si>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</si>
  <si>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</si>
  <si>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</si>
  <si>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</si>
  <si>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</si>
  <si>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</si>
  <si>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</si>
  <si>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</si>
  <si>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</si>
  <si>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</si>
  <si>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</si>
  <si>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</si>
  <si>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</si>
  <si>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</si>
  <si>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</si>
  <si>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</si>
  <si>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</si>
  <si>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</si>
  <si>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</si>
  <si>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</si>
  <si>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</si>
  <si>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</si>
  <si>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</si>
  <si>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</si>
  <si>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</si>
  <si>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</si>
  <si>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</si>
  <si>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</si>
  <si>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</si>
  <si>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</si>
  <si>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</si>
  <si>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</si>
  <si>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</si>
  <si>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</si>
  <si>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</si>
  <si>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</si>
  <si>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</si>
  <si>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</si>
  <si>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</si>
  <si>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</si>
  <si>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</si>
  <si>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</si>
  <si>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</si>
  <si>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</si>
  <si>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</si>
  <si>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</si>
  <si>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</si>
  <si>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</si>
  <si>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</si>
  <si>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</si>
  <si>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</si>
  <si>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</si>
  <si>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</si>
  <si>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</si>
  <si>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</si>
  <si>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</si>
  <si>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</si>
  <si>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</si>
  <si>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</si>
  <si>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</si>
  <si>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</si>
  <si>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</si>
  <si>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</si>
  <si>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</si>
  <si>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</si>
  <si>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</si>
  <si>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</si>
  <si>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</si>
  <si>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</si>
  <si>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</si>
  <si>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</si>
  <si>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</si>
  <si>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</si>
  <si>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</si>
  <si>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</si>
  <si>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</si>
  <si>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</si>
  <si>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</si>
  <si>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</si>
  <si>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</si>
  <si>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</si>
  <si>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</si>
  <si>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</si>
  <si>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</si>
  <si>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</si>
  <si>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</si>
  <si>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</si>
  <si>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</si>
  <si>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</si>
  <si>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</si>
  <si>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</si>
  <si>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</si>
  <si>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</si>
  <si>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</si>
  <si>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</si>
  <si>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</si>
  <si>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</si>
  <si>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</si>
  <si>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</si>
  <si>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</si>
  <si>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</si>
  <si>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</si>
  <si>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</si>
  <si>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</si>
  <si>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</si>
  <si>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</si>
  <si>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</si>
  <si>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</si>
  <si>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</si>
  <si>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</si>
  <si>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</si>
  <si>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</si>
  <si>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</si>
  <si>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</si>
  <si>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</si>
  <si>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</si>
  <si>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</si>
  <si>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</si>
  <si>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</si>
  <si>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</si>
  <si>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</si>
  <si>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</si>
  <si>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</si>
  <si>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</si>
  <si>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</si>
  <si>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</si>
  <si>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</si>
  <si>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</si>
  <si>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</si>
  <si>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</si>
  <si>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</si>
  <si>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</si>
  <si>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</si>
  <si>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</si>
  <si>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</si>
  <si>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</si>
  <si>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</si>
  <si>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</si>
  <si>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</si>
  <si>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</si>
  <si>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</si>
  <si>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</si>
  <si>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</si>
  <si>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</si>
  <si>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</si>
  <si>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</si>
  <si>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</si>
  <si>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</si>
  <si>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</si>
  <si>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</si>
  <si>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</si>
  <si>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</si>
  <si>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</si>
  <si>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</si>
  <si>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</si>
  <si>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</si>
  <si>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</si>
  <si>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</si>
  <si>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</si>
  <si>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</si>
  <si>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</si>
  <si>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</si>
  <si>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</si>
  <si>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</si>
  <si>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</si>
  <si>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</si>
  <si>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</si>
  <si>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</si>
  <si>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</si>
  <si>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</si>
  <si>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</si>
  <si>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</si>
  <si>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</si>
  <si>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</si>
  <si>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</si>
  <si>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</si>
  <si>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</si>
  <si>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</si>
  <si>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</si>
  <si>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</si>
  <si>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</si>
  <si>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</si>
  <si>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</si>
  <si>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</si>
  <si>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</si>
  <si>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</si>
  <si>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</si>
  <si>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</si>
  <si>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</si>
  <si>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</si>
  <si>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</si>
  <si>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</si>
  <si>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</si>
  <si>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</si>
  <si>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</si>
  <si>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</si>
  <si>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</si>
  <si>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</si>
  <si>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</si>
  <si>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</si>
  <si>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</si>
  <si>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</si>
  <si>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</si>
  <si>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</si>
  <si>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</si>
  <si>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</si>
  <si>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</si>
  <si>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</si>
  <si>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</si>
  <si>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</si>
  <si>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</si>
  <si>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</si>
  <si>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</si>
  <si>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</si>
  <si>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</si>
  <si>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</si>
  <si>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</si>
  <si>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</si>
  <si>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</si>
  <si>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</si>
  <si>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</si>
  <si>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</si>
  <si>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</si>
  <si>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</si>
  <si>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</si>
  <si>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</si>
  <si>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</si>
  <si>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</si>
  <si>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</si>
  <si>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</si>
  <si>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</si>
  <si>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</si>
  <si>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</si>
  <si>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</si>
  <si>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</si>
  <si>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</si>
  <si>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</si>
  <si>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</si>
  <si>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</si>
  <si>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</si>
  <si>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</si>
  <si>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</si>
  <si>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</si>
  <si>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</si>
  <si>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</si>
  <si>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</si>
  <si>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</si>
  <si>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</si>
  <si>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</si>
  <si>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</si>
  <si>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</si>
  <si>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</si>
  <si>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</si>
  <si>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</si>
  <si>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</si>
  <si>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</si>
  <si>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</si>
  <si>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</si>
  <si>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</si>
  <si>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</si>
  <si>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</si>
  <si>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</si>
  <si>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</si>
  <si>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</si>
  <si>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</si>
  <si>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</si>
  <si>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</si>
  <si>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</si>
  <si>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</si>
  <si>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</si>
  <si>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</si>
  <si>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</si>
  <si>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</si>
  <si>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</si>
  <si>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</si>
  <si>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</si>
  <si>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</si>
  <si>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</si>
  <si>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</si>
  <si>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</si>
  <si>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</si>
  <si>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</si>
  <si>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</si>
  <si>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</si>
  <si>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</si>
  <si>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</si>
  <si>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</si>
  <si>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</si>
  <si>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</si>
  <si>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</si>
  <si>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</si>
  <si>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</si>
  <si>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</si>
  <si>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</si>
  <si>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</si>
  <si>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</si>
  <si>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</si>
  <si>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</si>
  <si>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</si>
  <si>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</si>
  <si>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</si>
  <si>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</si>
  <si>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</si>
  <si>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</si>
  <si>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</si>
  <si>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</si>
  <si>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</si>
  <si>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</si>
  <si>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</si>
  <si>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</si>
  <si>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</si>
  <si>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</si>
  <si>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</si>
  <si>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</si>
  <si>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</si>
  <si>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</si>
  <si>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</si>
  <si>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</si>
  <si>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</si>
  <si>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</si>
  <si>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</si>
  <si>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</si>
  <si>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</si>
  <si>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</si>
  <si>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</si>
  <si>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</si>
  <si>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</si>
  <si>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</si>
  <si>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</si>
  <si>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</si>
  <si>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</si>
  <si>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</si>
  <si>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</si>
  <si>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</si>
  <si>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</si>
  <si>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</si>
  <si>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</si>
  <si>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</si>
  <si>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</si>
  <si>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</si>
  <si>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</si>
  <si>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</si>
  <si>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</si>
  <si>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</si>
  <si>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</si>
  <si>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</si>
  <si>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</si>
  <si>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</si>
  <si>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</si>
  <si>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</si>
  <si>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</si>
  <si>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</si>
  <si>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</si>
  <si>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</si>
  <si>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</si>
  <si>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</si>
  <si>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</si>
  <si>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</si>
  <si>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</si>
  <si>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</si>
  <si>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</si>
  <si>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</si>
  <si>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</si>
  <si>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</si>
  <si>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</si>
  <si>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</si>
  <si>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</si>
  <si>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</si>
  <si>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</si>
  <si>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</si>
  <si>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</si>
  <si>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</si>
  <si>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</si>
  <si>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</si>
  <si>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</si>
  <si>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</si>
  <si>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</si>
  <si>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</si>
  <si>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</si>
  <si>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</si>
  <si>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</si>
  <si>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</si>
  <si>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</si>
  <si>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</si>
  <si>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</si>
  <si>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</si>
  <si>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</si>
  <si>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</si>
  <si>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</si>
  <si>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</si>
  <si>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</si>
  <si>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</si>
  <si>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</si>
  <si>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</si>
  <si>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</si>
  <si>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</si>
  <si>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</si>
  <si>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</si>
  <si>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</si>
  <si>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</si>
  <si>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</si>
  <si>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</si>
  <si>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</si>
  <si>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</si>
  <si>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</si>
  <si>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</si>
  <si>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</si>
  <si>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</si>
  <si>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</si>
  <si>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</si>
  <si>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</si>
  <si>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</si>
  <si>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</si>
  <si>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</si>
  <si>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</si>
  <si>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</si>
  <si>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</si>
  <si>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</si>
  <si>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</si>
  <si>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</si>
  <si>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</si>
  <si>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</si>
  <si>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</si>
  <si>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</si>
  <si>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</si>
  <si>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</si>
  <si>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</si>
  <si>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</si>
  <si>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</si>
  <si>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</si>
  <si>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</si>
  <si>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</si>
  <si>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</si>
  <si>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</si>
  <si>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</si>
  <si>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</si>
  <si>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</si>
  <si>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</si>
  <si>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</si>
  <si>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</si>
  <si>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</si>
  <si>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</si>
  <si>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</si>
  <si>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</si>
  <si>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</si>
  <si>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</si>
  <si>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</si>
  <si>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</si>
  <si>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</si>
  <si>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</si>
  <si>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</si>
  <si>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</si>
  <si>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</si>
  <si>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</si>
  <si>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</si>
  <si>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</si>
  <si>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</si>
  <si>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</si>
  <si>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</si>
  <si>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</si>
  <si>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</si>
  <si>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</si>
  <si>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</si>
  <si>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</si>
  <si>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</si>
  <si>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</si>
  <si>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</si>
  <si>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</si>
  <si>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</si>
  <si>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</si>
  <si>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</si>
  <si>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</si>
  <si>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</si>
  <si>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</si>
  <si>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</si>
  <si>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</si>
  <si>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</si>
  <si>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</si>
  <si>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</si>
  <si>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</si>
  <si>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</si>
  <si>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</si>
  <si>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</si>
  <si>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</si>
  <si>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</si>
  <si>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</si>
  <si>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</si>
  <si>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</si>
  <si>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</si>
  <si>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</si>
  <si>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</si>
  <si>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</si>
  <si>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</si>
  <si>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</si>
  <si>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</si>
  <si>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</si>
  <si>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</si>
  <si>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</si>
  <si>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</si>
  <si>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</si>
  <si>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</si>
  <si>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</si>
  <si>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</si>
  <si>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</si>
  <si>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</si>
  <si>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</si>
  <si>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</si>
  <si>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</si>
  <si>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</si>
  <si>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</si>
  <si>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</si>
  <si>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</si>
  <si>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</si>
  <si>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</si>
  <si>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</si>
  <si>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</si>
  <si>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</si>
  <si>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</si>
  <si>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</si>
  <si>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</si>
  <si>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</si>
  <si>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</si>
  <si>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</si>
  <si>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</si>
  <si>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</si>
  <si>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</si>
  <si>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</si>
  <si>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</si>
  <si>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</si>
  <si>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</si>
  <si>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</si>
  <si>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</si>
  <si>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</si>
  <si>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</si>
  <si>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</si>
  <si>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</si>
  <si>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</si>
  <si>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</si>
  <si>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</si>
  <si>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</si>
  <si>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</si>
  <si>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</si>
  <si>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</si>
  <si>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</si>
  <si>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</si>
  <si>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</si>
  <si>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</si>
  <si>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</si>
  <si>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</si>
  <si>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</si>
  <si>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</si>
  <si>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</si>
  <si>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</si>
  <si>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</si>
  <si>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</si>
  <si>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</si>
  <si>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</si>
  <si>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</si>
  <si>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</si>
  <si>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</si>
  <si>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</si>
  <si>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</si>
  <si>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</si>
  <si>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</si>
  <si>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</si>
  <si>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</si>
  <si>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</si>
  <si>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</si>
  <si>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</si>
  <si>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</si>
  <si>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</si>
  <si>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</si>
  <si>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</si>
  <si>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</si>
  <si>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</si>
  <si>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</si>
  <si>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</si>
  <si>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</si>
  <si>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</si>
  <si>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</si>
  <si>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</si>
  <si>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</si>
  <si>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</si>
  <si>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</si>
  <si>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</si>
  <si>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</si>
  <si>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</si>
  <si>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</si>
  <si>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</si>
  <si>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</si>
  <si>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</si>
  <si>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</si>
  <si>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</si>
  <si>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</si>
  <si>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</si>
  <si>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</si>
  <si>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</si>
  <si>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</si>
  <si>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</si>
  <si>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</si>
  <si>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</si>
  <si>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</si>
  <si>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</si>
  <si>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</si>
  <si>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</si>
  <si>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</si>
  <si>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</si>
  <si>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</si>
  <si>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</si>
  <si>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</si>
  <si>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</si>
  <si>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</si>
  <si>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</si>
  <si>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</si>
  <si>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</si>
  <si>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</si>
  <si>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</si>
  <si>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</si>
  <si>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</si>
  <si>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</si>
  <si>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</si>
  <si>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</si>
  <si>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</si>
  <si>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</si>
  <si>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</si>
  <si>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</si>
  <si>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</si>
  <si>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</si>
  <si>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</si>
  <si>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</si>
  <si>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</si>
  <si>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</si>
  <si>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</si>
  <si>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</si>
  <si>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</si>
  <si>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</si>
  <si>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</si>
  <si>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</si>
  <si>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</si>
  <si>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</si>
  <si>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</si>
  <si>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</si>
  <si>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</si>
  <si>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</si>
  <si>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</si>
  <si>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</si>
  <si>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</si>
  <si>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</si>
  <si>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</si>
  <si>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</si>
  <si>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</si>
  <si>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</si>
  <si>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</si>
  <si>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</si>
  <si>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</si>
  <si>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</si>
  <si>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</si>
  <si>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</si>
  <si>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</si>
  <si>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</si>
  <si>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</si>
  <si>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</si>
  <si>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</si>
  <si>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</si>
  <si>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</si>
  <si>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</si>
  <si>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</si>
  <si>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</si>
  <si>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</si>
  <si>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</si>
  <si>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</si>
  <si>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</si>
  <si>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</si>
  <si>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</si>
  <si>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</si>
  <si>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</si>
  <si>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</si>
  <si>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</si>
  <si>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</si>
  <si>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</si>
  <si>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</si>
  <si>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</si>
  <si>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</si>
  <si>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</si>
  <si>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</si>
  <si>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</si>
  <si>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</si>
  <si>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</si>
  <si>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</si>
  <si>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</si>
  <si>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</si>
  <si>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</si>
  <si>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</si>
  <si>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</si>
  <si>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</si>
  <si>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</si>
  <si>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</si>
  <si>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</si>
  <si>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</si>
  <si>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</si>
  <si>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</si>
  <si>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</si>
  <si>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</si>
  <si>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</si>
  <si>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</si>
  <si>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</si>
  <si>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</si>
  <si>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</si>
  <si>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</si>
  <si>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</si>
  <si>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</si>
  <si>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</si>
  <si>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</si>
  <si>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</si>
  <si>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</si>
  <si>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</si>
  <si>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</si>
  <si>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</si>
  <si>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</si>
  <si>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</si>
  <si>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</si>
  <si>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</si>
  <si>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</si>
  <si>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</si>
  <si>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</si>
  <si>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</si>
  <si>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</si>
  <si>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</si>
  <si>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</si>
  <si>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</si>
  <si>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</si>
  <si>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</si>
  <si>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</si>
  <si>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</si>
  <si>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</si>
  <si>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</si>
  <si>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</si>
  <si>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</si>
  <si>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</si>
  <si>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</si>
  <si>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</si>
  <si>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</si>
  <si>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</si>
  <si>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</si>
  <si>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</si>
  <si>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</si>
  <si>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</si>
  <si>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</si>
  <si>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</si>
  <si>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</si>
  <si>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</si>
  <si>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</si>
  <si>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</si>
  <si>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</si>
  <si>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</si>
  <si>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</si>
  <si>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</si>
  <si>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</si>
  <si>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</si>
  <si>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</si>
  <si>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</si>
  <si>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</si>
  <si>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</si>
  <si>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</si>
  <si>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</si>
  <si>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</si>
  <si>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</si>
  <si>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</si>
  <si>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</si>
  <si>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</si>
  <si>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</si>
  <si>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</si>
  <si>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</si>
  <si>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</si>
  <si>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</si>
  <si>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</si>
  <si>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</si>
  <si>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</si>
  <si>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</si>
  <si>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</si>
  <si>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</si>
  <si>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</si>
  <si>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</si>
  <si>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</si>
  <si>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</si>
  <si>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</si>
  <si>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</si>
  <si>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</si>
  <si>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</si>
  <si>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</si>
  <si>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</si>
  <si>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</si>
  <si>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</si>
  <si>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</si>
  <si>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</si>
  <si>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</si>
  <si>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</si>
  <si>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</si>
  <si>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</si>
  <si>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</si>
  <si>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</si>
  <si>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</si>
  <si>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</si>
  <si>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</si>
  <si>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</si>
  <si>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</si>
  <si>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</si>
  <si>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</si>
  <si>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</si>
  <si>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</si>
  <si>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</si>
  <si>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</si>
  <si>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</si>
  <si>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</si>
  <si>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</si>
  <si>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</si>
  <si>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</si>
  <si>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</si>
  <si>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</si>
  <si>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</si>
  <si>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</si>
  <si>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</si>
  <si>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</si>
  <si>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</si>
  <si>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</si>
  <si>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</si>
  <si>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</si>
  <si>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</si>
  <si>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</si>
  <si>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</si>
  <si>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</si>
  <si>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</si>
  <si>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</si>
  <si>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</si>
  <si>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</si>
  <si>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</si>
  <si>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</si>
  <si>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</si>
  <si>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</si>
  <si>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</si>
  <si>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</si>
  <si>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</si>
  <si>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</si>
  <si>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</si>
  <si>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</si>
  <si>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</si>
  <si>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</si>
  <si>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</si>
  <si>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</si>
  <si>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</si>
  <si>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</si>
  <si>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</si>
  <si>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</si>
  <si>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</si>
  <si>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</si>
  <si>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</si>
  <si>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</si>
  <si>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</si>
  <si>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</si>
  <si>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</si>
  <si>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</si>
  <si>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</si>
  <si>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</si>
  <si>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</si>
  <si>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</si>
  <si>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</si>
  <si>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</si>
  <si>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</si>
  <si>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</si>
  <si>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</si>
  <si>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</si>
  <si>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</si>
  <si>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</si>
  <si>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</si>
  <si>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</si>
  <si>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</si>
  <si>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</si>
  <si>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</si>
  <si>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</si>
  <si>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</si>
  <si>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</si>
  <si>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</si>
  <si>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</si>
  <si>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</si>
  <si>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</si>
  <si>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</si>
  <si>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</si>
  <si>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</si>
  <si>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</si>
  <si>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</si>
  <si>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</si>
  <si>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</si>
  <si>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</si>
  <si>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</si>
  <si>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</si>
  <si>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</si>
  <si>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</si>
  <si>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</si>
  <si>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</si>
  <si>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</si>
  <si>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</si>
  <si>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</si>
  <si>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</si>
  <si>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</si>
  <si>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</si>
  <si>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</si>
  <si>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</si>
  <si>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</si>
  <si>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</si>
  <si>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</si>
  <si>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</si>
  <si>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</si>
  <si>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</si>
  <si>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</si>
  <si>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</si>
  <si>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</si>
  <si>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</si>
  <si>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</si>
  <si>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</si>
  <si>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</si>
  <si>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</si>
  <si>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</si>
  <si>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</si>
  <si>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</si>
  <si>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</si>
  <si>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</si>
  <si>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</si>
  <si>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</si>
  <si>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</si>
  <si>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</si>
  <si>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</si>
  <si>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</si>
  <si>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</si>
  <si>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</si>
  <si>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</si>
  <si>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</si>
  <si>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</si>
  <si>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</si>
  <si>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</si>
  <si>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</si>
  <si>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</si>
  <si>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</si>
  <si>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</si>
  <si>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</si>
  <si>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</si>
  <si>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</si>
  <si>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</si>
  <si>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</si>
  <si>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</si>
  <si>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</si>
  <si>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</si>
  <si>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</si>
  <si>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</si>
  <si>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</si>
  <si>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</si>
  <si>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</si>
  <si>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</si>
  <si>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</si>
  <si>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</si>
  <si>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</si>
  <si>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</si>
  <si>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</si>
  <si>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</si>
  <si>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</si>
  <si>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</si>
  <si>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</si>
  <si>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</si>
  <si>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</si>
  <si>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</si>
  <si>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</si>
  <si>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</si>
  <si>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</si>
  <si>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</si>
  <si>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</si>
  <si>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</si>
  <si>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</si>
  <si>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</si>
  <si>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</si>
  <si>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</si>
  <si>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</si>
  <si>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</si>
  <si>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</si>
  <si>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</si>
  <si>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</si>
  <si>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</si>
  <si>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</si>
  <si>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</si>
  <si>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</si>
  <si>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</si>
  <si>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</si>
  <si>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</si>
  <si>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</si>
  <si>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</si>
  <si>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</si>
  <si>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</si>
  <si>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</si>
  <si>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</si>
  <si>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</si>
  <si>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</si>
  <si>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</si>
  <si>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</si>
  <si>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</si>
  <si>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</si>
  <si>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</si>
  <si>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</si>
  <si>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</si>
  <si>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</si>
  <si>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</si>
  <si>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</si>
  <si>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</si>
  <si>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</si>
  <si>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</si>
  <si>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</si>
  <si>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</si>
  <si>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</si>
  <si>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</si>
  <si>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</si>
  <si>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</si>
  <si>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</si>
  <si>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</si>
  <si>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</si>
  <si>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</si>
  <si>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</si>
  <si>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</si>
  <si>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</si>
  <si>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</si>
  <si>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</si>
  <si>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</si>
  <si>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</si>
  <si>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</si>
  <si>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</si>
  <si>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</si>
  <si>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</si>
  <si>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</si>
  <si>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</si>
  <si>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</si>
  <si>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</si>
  <si>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</si>
  <si>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</si>
  <si>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</si>
  <si>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</si>
  <si>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</si>
  <si>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</si>
  <si>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</si>
  <si>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</si>
  <si>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</si>
  <si>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</si>
  <si>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</si>
  <si>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</si>
  <si>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</si>
  <si>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</si>
  <si>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</si>
  <si>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</si>
  <si>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</si>
  <si>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</si>
  <si>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</si>
  <si>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</si>
  <si>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</si>
  <si>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</si>
  <si>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</si>
  <si>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</si>
  <si>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</si>
  <si>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</si>
  <si>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</si>
  <si>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</si>
  <si>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</si>
  <si>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</si>
  <si>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</si>
  <si>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</si>
  <si>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</si>
  <si>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</si>
  <si>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</si>
  <si>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</si>
  <si>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</si>
  <si>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</si>
  <si>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</si>
  <si>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</si>
  <si>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</si>
  <si>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</si>
  <si>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</si>
  <si>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</si>
  <si>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</si>
  <si>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</si>
  <si>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</si>
  <si>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</si>
  <si>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</si>
  <si>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</si>
  <si>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</si>
  <si>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</si>
  <si>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</si>
  <si>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</si>
  <si>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</si>
  <si>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</si>
  <si>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</si>
  <si>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</si>
  <si>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</si>
  <si>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</si>
  <si>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</si>
  <si>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</si>
  <si>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</si>
  <si>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</si>
  <si>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</si>
  <si>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</si>
  <si>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</si>
  <si>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</si>
  <si>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</si>
  <si>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</si>
  <si>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</si>
  <si>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</si>
  <si>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</si>
  <si>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</si>
  <si>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</si>
  <si>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</si>
  <si>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</si>
  <si>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</si>
  <si>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</si>
  <si>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</si>
  <si>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</si>
  <si>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</si>
  <si>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</si>
  <si>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</si>
  <si>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</si>
  <si>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</si>
  <si>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</si>
  <si>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</si>
  <si>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</si>
  <si>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</si>
  <si>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</si>
  <si>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</si>
  <si>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</si>
  <si>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</si>
  <si>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</si>
  <si>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</si>
  <si>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</si>
  <si>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</si>
  <si>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</si>
  <si>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</si>
  <si>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</si>
  <si>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</si>
  <si>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</si>
  <si>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</si>
  <si>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</si>
  <si>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</si>
  <si>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</si>
  <si>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</si>
  <si>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</si>
  <si>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</si>
  <si>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</si>
  <si>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</si>
  <si>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</si>
  <si>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</si>
  <si>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</si>
  <si>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</si>
  <si>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</si>
  <si>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</si>
  <si>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</si>
  <si>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</si>
  <si>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</si>
  <si>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</si>
  <si>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</si>
  <si>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</si>
  <si>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</si>
  <si>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</si>
  <si>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</si>
  <si>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</si>
  <si>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</si>
  <si>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</si>
  <si>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</si>
  <si>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</si>
  <si>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</si>
  <si>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</si>
  <si>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</si>
  <si>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</si>
  <si>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</si>
  <si>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</si>
  <si>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</si>
  <si>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</si>
  <si>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</si>
  <si>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</si>
  <si>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</si>
  <si>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</si>
  <si>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</si>
  <si>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</si>
  <si>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</si>
  <si>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</si>
  <si>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</si>
  <si>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</si>
  <si>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</si>
  <si>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</si>
  <si>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</si>
  <si>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</si>
  <si>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</si>
  <si>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</si>
  <si>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</si>
  <si>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</si>
  <si>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</si>
  <si>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</si>
  <si>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</si>
  <si>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</si>
  <si>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</si>
  <si>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</si>
  <si>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</si>
  <si>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</si>
  <si>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</si>
  <si>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</si>
  <si>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</si>
  <si>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</si>
  <si>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</si>
  <si>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</si>
  <si>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</si>
  <si>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</si>
  <si>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</si>
  <si>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</si>
  <si>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</si>
  <si>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</si>
  <si>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</si>
  <si>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</si>
  <si>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</si>
  <si>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</si>
  <si>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</si>
  <si>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</si>
  <si>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</si>
  <si>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</si>
  <si>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</si>
  <si>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</si>
  <si>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</si>
  <si>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</si>
  <si>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</si>
  <si>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</si>
  <si>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</si>
  <si>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</si>
  <si>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</si>
  <si>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</si>
  <si>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</si>
  <si>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</si>
  <si>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</si>
  <si>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</si>
  <si>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</si>
  <si>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</si>
  <si>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</si>
  <si>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</si>
  <si>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</si>
  <si>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</si>
  <si>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</si>
  <si>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</si>
  <si>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</si>
  <si>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</si>
  <si>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</si>
  <si>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</si>
  <si>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</si>
  <si>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</si>
  <si>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</si>
  <si>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</si>
  <si>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</si>
  <si>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</si>
  <si>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</si>
  <si>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</si>
  <si>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</si>
  <si>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</si>
  <si>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</si>
  <si>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</si>
  <si>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</si>
  <si>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</si>
  <si>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</si>
  <si>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</si>
  <si>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</si>
  <si>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</si>
  <si>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</si>
  <si>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</si>
  <si>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</si>
  <si>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</si>
  <si>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</si>
  <si>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</si>
  <si>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</si>
  <si>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</si>
  <si>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</si>
  <si>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</si>
  <si>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</si>
  <si>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</si>
  <si>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</si>
  <si>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</si>
  <si>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</si>
  <si>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</si>
  <si>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</si>
  <si>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</si>
  <si>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</si>
  <si>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</si>
  <si>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</si>
  <si>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</si>
  <si>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</si>
  <si>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</si>
  <si>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</si>
  <si>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</si>
  <si>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</si>
  <si>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</si>
  <si>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</si>
  <si>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</si>
  <si>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</si>
  <si>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</si>
  <si>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</si>
  <si>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</si>
  <si>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</si>
  <si>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</si>
  <si>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</si>
  <si>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</si>
  <si>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</si>
  <si>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</si>
  <si>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</si>
  <si>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</si>
  <si>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</si>
  <si>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</si>
  <si>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</si>
  <si>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</si>
  <si>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</si>
  <si>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</si>
  <si>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</si>
  <si>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</si>
  <si>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</si>
  <si>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</si>
  <si>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</si>
  <si>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</si>
  <si>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</si>
  <si>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</si>
  <si>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</si>
  <si>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</si>
  <si>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</si>
  <si>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</si>
  <si>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</si>
  <si>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</si>
  <si>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</si>
  <si>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</si>
  <si>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</si>
  <si>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</si>
  <si>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</si>
  <si>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</si>
  <si>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</si>
  <si>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</si>
  <si>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</si>
  <si>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</si>
  <si>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</si>
  <si>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</si>
  <si>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</si>
  <si>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</si>
  <si>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</si>
  <si>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</si>
  <si>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</si>
  <si>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</si>
  <si>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</si>
  <si>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</si>
  <si>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</si>
  <si>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</si>
  <si>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</si>
  <si>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VERMILION</t>
  </si>
  <si>
    <t>502 W MULBERRY ST</t>
  </si>
  <si>
    <t>GEORGETOWN</t>
  </si>
  <si>
    <t>JEAN NEAL</t>
  </si>
  <si>
    <t>jneal@gobuffaloes.org</t>
  </si>
  <si>
    <t>217-662-8488</t>
  </si>
  <si>
    <t>217-662-3402</t>
  </si>
  <si>
    <t>RUSSELL LEIGH &amp; ASSOCIATES</t>
  </si>
  <si>
    <t>RUSS LEIGH</t>
  </si>
  <si>
    <t>228 E MAIN ST</t>
  </si>
  <si>
    <t>HOOPESTON</t>
  </si>
  <si>
    <t>IL</t>
  </si>
  <si>
    <t>217-283-9336</t>
  </si>
  <si>
    <t>217-283-9736</t>
  </si>
  <si>
    <t>065.018319</t>
  </si>
  <si>
    <t>admin@russleigh.com</t>
  </si>
  <si>
    <t>2014 W/C AND REFUNDING BONDS</t>
  </si>
  <si>
    <t>2014 LIFE SAFETY BONDS</t>
  </si>
  <si>
    <t>2016 WORKING CASH FUND BONDS</t>
  </si>
  <si>
    <t>2016 LIFE SAFETY BONDS</t>
  </si>
  <si>
    <t>1, 3</t>
  </si>
  <si>
    <t>No applicable contracts paid in current year.</t>
  </si>
  <si>
    <t>x</t>
  </si>
  <si>
    <t>Vermilion Association for Special Education</t>
  </si>
  <si>
    <t>Page 2 - Auditor's Questionnaire</t>
  </si>
  <si>
    <t>Part C - #20 - Other Findings</t>
  </si>
  <si>
    <t>District did not follow risk management plan in allocating salaries to Tort Fund</t>
  </si>
  <si>
    <t>Page 11 - Acct 1990 - Other Local Revenues</t>
  </si>
  <si>
    <t>Col 10 - Educational</t>
  </si>
  <si>
    <t>Col 20 - Operations &amp; Maintenance</t>
  </si>
  <si>
    <t>Pages 15 and 19 - Acct 2190 - Other Support Services - Pupils</t>
  </si>
  <si>
    <t>Playground Supervision</t>
  </si>
  <si>
    <t>Page 18 - Debt Service Fund</t>
  </si>
  <si>
    <t>Acct 5400 - Debt Services - Other</t>
  </si>
  <si>
    <t>Bond Fees - $1,000</t>
  </si>
  <si>
    <t>AUDITCHECK Tab - #13 Contracts Paid Error</t>
  </si>
  <si>
    <t>E-Rate Receipts - $61,420</t>
  </si>
  <si>
    <t>Refunds &amp; Reimbursements - $1,304</t>
  </si>
  <si>
    <t>Student Incentive Program Receipts - $10,373</t>
  </si>
  <si>
    <t>Refunds &amp; Reimbursements - $43,787</t>
  </si>
  <si>
    <t>The accompanying Schedule of Expenditures of Federal Awards includes the federal grant activity of Georgetown-Ridgefarm Community Unit School District #4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</si>
  <si>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 xml:space="preserve"> x</t>
  </si>
  <si>
    <t>Of the federal expenditures presented in the schedule, Georgetown-Ridgefarm Community Unit #4 provided federal awards to subrecipients as follows:</t>
  </si>
  <si>
    <t>none</t>
  </si>
  <si>
    <r>
      <t xml:space="preserve">The following amounts were expended in the form of non-cash assistance by Georgetown Ridgefarm Community Unit #4  and </t>
    </r>
    <r>
      <rPr>
        <b/>
        <sz val="9"/>
        <rFont val="Calibri"/>
        <family val="2"/>
        <scheme val="minor"/>
      </rPr>
      <t>should be</t>
    </r>
    <r>
      <rPr>
        <sz val="9"/>
        <rFont val="Calibri"/>
        <family val="2"/>
        <scheme val="minor"/>
      </rPr>
      <t xml:space="preserve"> included in the Schedule of Expenditures of Federal Awards:</t>
    </r>
  </si>
  <si>
    <t>no</t>
  </si>
  <si>
    <t>U.S. Department of Agriculture</t>
  </si>
  <si>
    <t xml:space="preserve">     Passed Through the Illinois State Board of Education</t>
  </si>
  <si>
    <t>(M)  School Lunch-Regular</t>
  </si>
  <si>
    <t>17-4210</t>
  </si>
  <si>
    <t>18-4210</t>
  </si>
  <si>
    <t xml:space="preserve">          School Breakfast</t>
  </si>
  <si>
    <t xml:space="preserve">          School Commodities</t>
  </si>
  <si>
    <t>18-4250</t>
  </si>
  <si>
    <t xml:space="preserve">          Freah Fruits and Vegtables</t>
  </si>
  <si>
    <t xml:space="preserve">           Total U.S. Department of Agriculture</t>
  </si>
  <si>
    <t>U.S. Department of Education</t>
  </si>
  <si>
    <t>17-4300</t>
  </si>
  <si>
    <t>18-4300</t>
  </si>
  <si>
    <t xml:space="preserve">          Title II-Math/Science</t>
  </si>
  <si>
    <t>17-4932</t>
  </si>
  <si>
    <t>18-4932</t>
  </si>
  <si>
    <t xml:space="preserve">      Passed Through the Illinois State Board of Education</t>
  </si>
  <si>
    <t xml:space="preserve">(M)  Title 1-Regular  </t>
  </si>
  <si>
    <t xml:space="preserve">       IDEA Room and Board</t>
  </si>
  <si>
    <t>84.027a</t>
  </si>
  <si>
    <t>18-4625</t>
  </si>
  <si>
    <t xml:space="preserve">          Total U.S. Department of Education</t>
  </si>
  <si>
    <t>U.S. Department of Health and Human Services</t>
  </si>
  <si>
    <t xml:space="preserve">     Passed Through the Illinois Department of Healthcare and Family Services</t>
  </si>
  <si>
    <t xml:space="preserve">       Medicare-Admin Outreach</t>
  </si>
  <si>
    <t>18-4901</t>
  </si>
  <si>
    <t xml:space="preserve">         Total U.S. Department of Health and Human Services</t>
  </si>
  <si>
    <t xml:space="preserve">          Total Federal Financial Assistance</t>
  </si>
  <si>
    <t>Qualified-Regulatory/Adverse-Gaap</t>
  </si>
  <si>
    <t>Unmodidfied</t>
  </si>
  <si>
    <t>School Lunch-Regular</t>
  </si>
  <si>
    <t>Title 1-Regular</t>
  </si>
  <si>
    <t>Georgetown-Ridge Farm CUD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</si>
</sst>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64" fillId="0" borderId="0" xfId="0" applyFont="1"/>
    <xf numFmtId="0" fontId="73" fillId="0" borderId="0" xfId="0"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5" t="s">
        <v>425</v>
      </c>
      <c r="J1" s="2036"/>
      <c r="K1" s="2036"/>
      <c r="L1" s="2036"/>
      <c r="M1" s="2036"/>
      <c r="N1" s="2036"/>
      <c r="O1" s="2036"/>
      <c r="P1" s="2036"/>
      <c r="Q1" s="2036"/>
      <c r="R1" s="2036"/>
      <c r="S1" s="2036"/>
    </row>
    <row r="2" spans="1:28" ht="12" customHeight="1" x14ac:dyDescent="0.2">
      <c r="A2" s="47" t="s">
        <v>1684</v>
      </c>
      <c r="D2" s="48"/>
      <c r="I2" s="2037" t="s">
        <v>1036</v>
      </c>
      <c r="J2" s="2036"/>
      <c r="K2" s="2036"/>
      <c r="L2" s="2036"/>
      <c r="M2" s="2036"/>
      <c r="N2" s="2036"/>
      <c r="O2" s="2036"/>
      <c r="P2" s="2036"/>
      <c r="Q2" s="2036"/>
      <c r="R2" s="2036"/>
      <c r="S2" s="2036"/>
    </row>
    <row r="3" spans="1:28" ht="12" customHeight="1" x14ac:dyDescent="0.2">
      <c r="A3" s="155" t="s">
        <v>1685</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2074</v>
      </c>
      <c r="C5" s="26" t="s">
        <v>966</v>
      </c>
      <c r="D5" s="84"/>
      <c r="E5" s="84"/>
      <c r="H5" s="38"/>
      <c r="I5" s="2044" t="s">
        <v>701</v>
      </c>
      <c r="J5" s="1988"/>
      <c r="K5" s="1988"/>
      <c r="L5" s="1988"/>
      <c r="M5" s="1988"/>
      <c r="N5" s="1988"/>
      <c r="O5" s="1988"/>
      <c r="P5" s="1988"/>
      <c r="Q5" s="1988"/>
      <c r="R5" s="1988"/>
      <c r="S5" s="1988"/>
    </row>
    <row r="6" spans="1:28" ht="14.1" customHeight="1" x14ac:dyDescent="0.2">
      <c r="B6" s="104"/>
      <c r="C6" s="26" t="s">
        <v>967</v>
      </c>
      <c r="D6" s="84"/>
      <c r="E6" s="84"/>
      <c r="I6" s="2043" t="s">
        <v>938</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2074</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54092004026</v>
      </c>
      <c r="B13" s="2005"/>
      <c r="C13" s="2005"/>
      <c r="D13" s="2005"/>
      <c r="E13" s="2005"/>
      <c r="F13" s="2005"/>
      <c r="G13" s="2005"/>
      <c r="H13" s="2006"/>
      <c r="I13" s="31"/>
      <c r="J13" s="30"/>
      <c r="K13" s="28"/>
      <c r="L13" s="30"/>
      <c r="M13" s="30"/>
      <c r="N13" s="30"/>
      <c r="O13" s="30"/>
      <c r="P13" s="30"/>
      <c r="Q13" s="30"/>
      <c r="R13" s="30"/>
      <c r="S13" s="30"/>
      <c r="T13" s="2009" t="s">
        <v>2082</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2075</v>
      </c>
      <c r="B15" s="2007"/>
      <c r="C15" s="2007"/>
      <c r="D15" s="2007"/>
      <c r="E15" s="2007"/>
      <c r="F15" s="2007"/>
      <c r="G15" s="2007"/>
      <c r="H15" s="2008"/>
      <c r="T15" s="1970" t="s">
        <v>2083</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2" t="s">
        <v>2153</v>
      </c>
      <c r="B17" s="2033"/>
      <c r="C17" s="2033"/>
      <c r="D17" s="2033"/>
      <c r="E17" s="2033"/>
      <c r="F17" s="2033"/>
      <c r="G17" s="2033"/>
      <c r="H17" s="2034"/>
      <c r="T17" s="2019" t="s">
        <v>2084</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2076</v>
      </c>
      <c r="B19" s="2003"/>
      <c r="C19" s="2003"/>
      <c r="D19" s="2003"/>
      <c r="E19" s="2003"/>
      <c r="F19" s="2003"/>
      <c r="G19" s="2003"/>
      <c r="H19" s="2001"/>
      <c r="I19" s="30"/>
      <c r="J19" s="99"/>
      <c r="K19" s="40"/>
      <c r="L19" s="38"/>
      <c r="M19" s="112" t="s">
        <v>333</v>
      </c>
      <c r="P19" s="27"/>
      <c r="Q19" s="27"/>
      <c r="R19" s="27"/>
      <c r="S19" s="31"/>
      <c r="T19" s="2002" t="s">
        <v>2085</v>
      </c>
      <c r="U19" s="2000"/>
      <c r="V19" s="2000"/>
      <c r="W19" s="2001"/>
      <c r="X19" s="2017" t="s">
        <v>2086</v>
      </c>
      <c r="Y19" s="2018"/>
      <c r="Z19" s="2015">
        <v>60942</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2077</v>
      </c>
      <c r="B21" s="2000"/>
      <c r="C21" s="2000"/>
      <c r="D21" s="2000"/>
      <c r="E21" s="2000"/>
      <c r="F21" s="2000"/>
      <c r="G21" s="2000"/>
      <c r="H21" s="2001"/>
      <c r="I21" s="2025" t="s">
        <v>699</v>
      </c>
      <c r="J21" s="1988"/>
      <c r="K21" s="1988"/>
      <c r="L21" s="1988"/>
      <c r="M21" s="1988"/>
      <c r="N21" s="1988"/>
      <c r="O21" s="1988"/>
      <c r="P21" s="1988"/>
      <c r="Q21" s="1988"/>
      <c r="R21" s="1988"/>
      <c r="S21" s="1989"/>
      <c r="T21" s="1967" t="s">
        <v>2087</v>
      </c>
      <c r="U21" s="1968"/>
      <c r="V21" s="1968"/>
      <c r="W21" s="1968"/>
      <c r="X21" s="1981" t="s">
        <v>2088</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c r="B23" s="2023"/>
      <c r="C23" s="2023"/>
      <c r="D23" s="2023"/>
      <c r="E23" s="2023"/>
      <c r="F23" s="2023"/>
      <c r="G23" s="2023"/>
      <c r="H23" s="2024"/>
      <c r="T23" s="1962" t="s">
        <v>2089</v>
      </c>
      <c r="U23" s="1963"/>
      <c r="V23" s="1963"/>
      <c r="W23" s="1963"/>
      <c r="X23" s="1978">
        <v>44469</v>
      </c>
      <c r="Y23" s="1979"/>
      <c r="Z23" s="1979"/>
      <c r="AA23" s="1980"/>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1999">
        <v>61846</v>
      </c>
      <c r="B25" s="2000"/>
      <c r="C25" s="2000"/>
      <c r="D25" s="2000"/>
      <c r="E25" s="2000"/>
      <c r="F25" s="2000"/>
      <c r="G25" s="2000"/>
      <c r="H25" s="2001"/>
      <c r="I25" s="113"/>
      <c r="J25" s="2067"/>
      <c r="K25" s="2067"/>
      <c r="L25" s="2067"/>
      <c r="M25" s="2067"/>
      <c r="N25" s="2067"/>
      <c r="O25" s="2067"/>
      <c r="P25" s="2067"/>
      <c r="Q25" s="2067"/>
      <c r="R25" s="2067"/>
      <c r="S25" s="2068"/>
      <c r="T25" s="1959" t="s">
        <v>2090</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2" t="s">
        <v>2078</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2079</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2080</v>
      </c>
      <c r="B42" s="2050"/>
      <c r="C42" s="2051"/>
      <c r="D42" s="2064" t="s">
        <v>2081</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9" t="s">
        <v>1709</v>
      </c>
    </row>
    <row r="23" spans="1:5" x14ac:dyDescent="0.2">
      <c r="A23" s="168"/>
      <c r="B23" s="162" t="s">
        <v>1965</v>
      </c>
      <c r="D23" s="167" t="s">
        <v>658</v>
      </c>
      <c r="E23" s="1859"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2074</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t="s">
        <v>2074</v>
      </c>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67197113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0.02</v>
      </c>
      <c r="E10" s="356" t="s">
        <v>1062</v>
      </c>
      <c r="F10" s="355">
        <v>5.0000000000000001E-3</v>
      </c>
      <c r="G10" s="356" t="s">
        <v>1062</v>
      </c>
      <c r="H10" s="355">
        <v>2E-3</v>
      </c>
      <c r="I10" s="356" t="s">
        <v>1063</v>
      </c>
      <c r="J10" s="1754">
        <f>ROUND(D10+F10+H10,5)</f>
        <v>2.7E-2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9489509</v>
      </c>
      <c r="E16" s="356"/>
      <c r="F16" s="1755">
        <f>SUM('Acct Summary 7-8'!C17,'Acct Summary 7-8'!D17,'Acct Summary 7-8'!F17)</f>
        <v>8675357</v>
      </c>
      <c r="G16" s="356"/>
      <c r="H16" s="1755">
        <f>SUM(D16-F16)</f>
        <v>814152</v>
      </c>
      <c r="I16" s="222"/>
      <c r="J16" s="1755">
        <f>SUM('Acct Summary 7-8'!C81,'Acct Summary 7-8'!D81,'Acct Summary 7-8'!F81,'Acct Summary 7-8'!I81)</f>
        <v>2557121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9273201.5940000005</v>
      </c>
      <c r="I31" s="368"/>
      <c r="J31" s="222"/>
      <c r="K31" s="222"/>
      <c r="L31" s="222"/>
      <c r="M31" s="222"/>
    </row>
    <row r="32" spans="1:13" ht="13.35" customHeight="1" x14ac:dyDescent="0.2">
      <c r="B32" s="369" t="s">
        <v>2074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4185000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Georgetown-Ridge Farm CUD 4</v>
      </c>
      <c r="E7" s="391"/>
      <c r="G7" s="252"/>
      <c r="H7" s="387"/>
      <c r="I7" s="387"/>
      <c r="J7" s="387"/>
      <c r="K7" s="387"/>
      <c r="L7" s="329"/>
      <c r="M7" s="329"/>
      <c r="N7" s="329"/>
      <c r="O7" s="329"/>
      <c r="P7" s="329"/>
    </row>
    <row r="8" spans="1:18" ht="12.75" x14ac:dyDescent="0.2">
      <c r="A8" s="329"/>
      <c r="B8" s="329"/>
      <c r="C8" s="389" t="s">
        <v>1187</v>
      </c>
      <c r="D8" s="392">
        <f>COVER!A13</f>
        <v>54092004026</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2557121</v>
      </c>
      <c r="I12" s="404"/>
      <c r="J12" s="404"/>
      <c r="K12" s="405">
        <f>TRUNC((H12/H13*100000),5)/100000</f>
        <v>0.2694682095</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9489509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8675357</v>
      </c>
      <c r="I17" s="404"/>
      <c r="J17" s="416"/>
      <c r="K17" s="405">
        <f>TRUNC((H17/H18*100000),5)/100000</f>
        <v>0.91420504469999997</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9489509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2557121</v>
      </c>
      <c r="I24" s="422"/>
      <c r="J24" s="422"/>
      <c r="K24" s="423">
        <f>TRUNC(((H24/H25*100000)/100000),2)</f>
        <v>106.11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24098.213889999999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1542173.7433499999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4185000</v>
      </c>
      <c r="I32" s="420"/>
      <c r="J32" s="420"/>
      <c r="K32" s="423">
        <f>TRUNC(100-((((H32/H33*100))*100)/100),2)</f>
        <v>54.86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9273201.5940000005</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1672498</v>
      </c>
      <c r="D4" s="466">
        <v>206532</v>
      </c>
      <c r="E4" s="466">
        <v>112519</v>
      </c>
      <c r="F4" s="466">
        <v>299718</v>
      </c>
      <c r="G4" s="466">
        <v>268197</v>
      </c>
      <c r="H4" s="466"/>
      <c r="I4" s="466">
        <v>378373</v>
      </c>
      <c r="J4" s="467">
        <v>246150</v>
      </c>
      <c r="K4" s="466">
        <v>2039524</v>
      </c>
      <c r="L4" s="466">
        <v>65970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1672498</v>
      </c>
      <c r="D13" s="1759">
        <f t="shared" ref="D13:L13" si="0">SUM(D4:D12)</f>
        <v>206532</v>
      </c>
      <c r="E13" s="1759">
        <f t="shared" si="0"/>
        <v>112519</v>
      </c>
      <c r="F13" s="1759">
        <f t="shared" si="0"/>
        <v>299718</v>
      </c>
      <c r="G13" s="1759">
        <f t="shared" si="0"/>
        <v>268197</v>
      </c>
      <c r="H13" s="1759">
        <f t="shared" si="0"/>
        <v>0</v>
      </c>
      <c r="I13" s="1759">
        <f t="shared" si="0"/>
        <v>378373</v>
      </c>
      <c r="J13" s="1759">
        <f t="shared" si="0"/>
        <v>246150</v>
      </c>
      <c r="K13" s="1759">
        <f t="shared" si="0"/>
        <v>2039524</v>
      </c>
      <c r="L13" s="1759">
        <f t="shared" si="0"/>
        <v>65970</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224718</v>
      </c>
      <c r="N16" s="484"/>
    </row>
    <row r="17" spans="1:14" s="485" customFormat="1" ht="12.75" customHeight="1" x14ac:dyDescent="0.2">
      <c r="A17" s="482" t="s">
        <v>1470</v>
      </c>
      <c r="B17" s="483">
        <v>230</v>
      </c>
      <c r="C17" s="477"/>
      <c r="D17" s="477"/>
      <c r="E17" s="477"/>
      <c r="F17" s="477"/>
      <c r="G17" s="477"/>
      <c r="H17" s="477"/>
      <c r="I17" s="477"/>
      <c r="J17" s="477"/>
      <c r="K17" s="477"/>
      <c r="L17" s="477"/>
      <c r="M17" s="467">
        <v>10948766</v>
      </c>
      <c r="N17" s="484"/>
    </row>
    <row r="18" spans="1:14" s="485" customFormat="1" ht="12.75" customHeight="1" x14ac:dyDescent="0.2">
      <c r="A18" s="482" t="s">
        <v>1471</v>
      </c>
      <c r="B18" s="483">
        <v>240</v>
      </c>
      <c r="C18" s="477"/>
      <c r="D18" s="477"/>
      <c r="E18" s="477"/>
      <c r="F18" s="477"/>
      <c r="G18" s="477"/>
      <c r="H18" s="477"/>
      <c r="I18" s="477"/>
      <c r="J18" s="477"/>
      <c r="K18" s="477"/>
      <c r="L18" s="477"/>
      <c r="M18" s="467">
        <v>2148462</v>
      </c>
      <c r="N18" s="484"/>
    </row>
    <row r="19" spans="1:14" s="485" customFormat="1" ht="12.75" customHeight="1" x14ac:dyDescent="0.2">
      <c r="A19" s="482" t="s">
        <v>1472</v>
      </c>
      <c r="B19" s="483">
        <v>250</v>
      </c>
      <c r="C19" s="477"/>
      <c r="D19" s="477"/>
      <c r="E19" s="477"/>
      <c r="F19" s="477"/>
      <c r="G19" s="477"/>
      <c r="H19" s="477"/>
      <c r="I19" s="477"/>
      <c r="J19" s="477"/>
      <c r="K19" s="477"/>
      <c r="L19" s="477"/>
      <c r="M19" s="467">
        <v>2877128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112519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4072481</v>
      </c>
    </row>
    <row r="23" spans="1:14" ht="13.5" customHeight="1" thickBot="1" x14ac:dyDescent="0.25">
      <c r="A23" s="1758" t="s">
        <v>664</v>
      </c>
      <c r="B23" s="1763"/>
      <c r="C23" s="468"/>
      <c r="D23" s="468"/>
      <c r="E23" s="468"/>
      <c r="F23" s="468"/>
      <c r="G23" s="468"/>
      <c r="H23" s="468"/>
      <c r="I23" s="468"/>
      <c r="J23" s="468"/>
      <c r="K23" s="468"/>
      <c r="L23" s="468"/>
      <c r="M23" s="1710">
        <f>SUM(M15:M22)</f>
        <v>16199074</v>
      </c>
      <c r="N23" s="1710">
        <f>SUM(N21:N22)</f>
        <v>4185000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65970</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65970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4185000</v>
      </c>
    </row>
    <row r="37" spans="1:14" ht="13.5" thickBot="1" x14ac:dyDescent="0.25">
      <c r="A37" s="1758" t="s">
        <v>674</v>
      </c>
      <c r="B37" s="1763"/>
      <c r="C37" s="477"/>
      <c r="D37" s="477"/>
      <c r="E37" s="477"/>
      <c r="F37" s="477"/>
      <c r="G37" s="477"/>
      <c r="H37" s="477"/>
      <c r="I37" s="477"/>
      <c r="J37" s="477"/>
      <c r="K37" s="477"/>
      <c r="L37" s="480"/>
      <c r="M37" s="468"/>
      <c r="N37" s="1710">
        <f>SUM(N36:N36)</f>
        <v>4185000</v>
      </c>
    </row>
    <row r="38" spans="1:14" s="329" customFormat="1" ht="13.5" customHeight="1" thickTop="1" x14ac:dyDescent="0.2">
      <c r="A38" s="496" t="s">
        <v>440</v>
      </c>
      <c r="B38" s="483">
        <v>714</v>
      </c>
      <c r="C38" s="466"/>
      <c r="D38" s="466"/>
      <c r="E38" s="466"/>
      <c r="F38" s="466"/>
      <c r="G38" s="466">
        <v>268197</v>
      </c>
      <c r="H38" s="466"/>
      <c r="I38" s="466"/>
      <c r="J38" s="467"/>
      <c r="K38" s="466"/>
      <c r="L38" s="481"/>
      <c r="M38" s="497"/>
      <c r="N38" s="497"/>
    </row>
    <row r="39" spans="1:14" s="329" customFormat="1" ht="13.5" customHeight="1" x14ac:dyDescent="0.2">
      <c r="A39" s="496" t="s">
        <v>360</v>
      </c>
      <c r="B39" s="483">
        <v>730</v>
      </c>
      <c r="C39" s="466">
        <v>1672498</v>
      </c>
      <c r="D39" s="466">
        <v>206532</v>
      </c>
      <c r="E39" s="466">
        <v>112519</v>
      </c>
      <c r="F39" s="466">
        <v>299718</v>
      </c>
      <c r="G39" s="466"/>
      <c r="H39" s="466"/>
      <c r="I39" s="466">
        <v>378373</v>
      </c>
      <c r="J39" s="467">
        <v>246150</v>
      </c>
      <c r="K39" s="466">
        <v>2039524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16199074</v>
      </c>
      <c r="N40" s="497"/>
    </row>
    <row r="41" spans="1:14" ht="13.5" customHeight="1" thickBot="1" x14ac:dyDescent="0.25">
      <c r="A41" s="1758" t="s">
        <v>676</v>
      </c>
      <c r="B41" s="1728"/>
      <c r="C41" s="1710">
        <f>(SUM(C34,C37,C38,C39))</f>
        <v>1672498</v>
      </c>
      <c r="D41" s="1710">
        <f t="shared" ref="D41:L41" si="2">SUM(D34,D37,D38:D39)</f>
        <v>206532</v>
      </c>
      <c r="E41" s="1710">
        <f t="shared" si="2"/>
        <v>112519</v>
      </c>
      <c r="F41" s="1710">
        <f t="shared" si="2"/>
        <v>299718</v>
      </c>
      <c r="G41" s="1710">
        <f t="shared" si="2"/>
        <v>268197</v>
      </c>
      <c r="H41" s="1710">
        <f t="shared" si="2"/>
        <v>0</v>
      </c>
      <c r="I41" s="1710">
        <f t="shared" si="2"/>
        <v>378373</v>
      </c>
      <c r="J41" s="1710">
        <f t="shared" si="2"/>
        <v>246150</v>
      </c>
      <c r="K41" s="1710">
        <f t="shared" si="2"/>
        <v>2039524</v>
      </c>
      <c r="L41" s="1710">
        <f t="shared" si="2"/>
        <v>65970</v>
      </c>
      <c r="M41" s="1710">
        <f>SUM(M40)</f>
        <v>16199074</v>
      </c>
      <c r="N41" s="1710">
        <f>SUM(N37)</f>
        <v>4185000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4" t="s">
        <v>1579</v>
      </c>
      <c r="B4" s="1955">
        <v>1000</v>
      </c>
      <c r="C4" s="1764">
        <f>'Revenues 9-14'!C109</f>
        <v>1703885</v>
      </c>
      <c r="D4" s="1764">
        <f>'Revenues 9-14'!D109</f>
        <v>382252</v>
      </c>
      <c r="E4" s="1764">
        <f>'Revenues 9-14'!E109</f>
        <v>766936</v>
      </c>
      <c r="F4" s="1764">
        <f>'Revenues 9-14'!F109</f>
        <v>127813</v>
      </c>
      <c r="G4" s="1764">
        <f>'Revenues 9-14'!G109</f>
        <v>389270</v>
      </c>
      <c r="H4" s="1764">
        <f>'Revenues 9-14'!H109</f>
        <v>524</v>
      </c>
      <c r="I4" s="1764">
        <f>'Revenues 9-14'!I109</f>
        <v>31953</v>
      </c>
      <c r="J4" s="1764">
        <f>'Revenues 9-14'!J109</f>
        <v>548866</v>
      </c>
      <c r="K4" s="1764">
        <f>'Revenues 9-14'!K109</f>
        <v>31953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5356208</v>
      </c>
      <c r="D6" s="1765">
        <f>'Revenues 9-14'!D173</f>
        <v>472893</v>
      </c>
      <c r="E6" s="1765">
        <f>'Revenues 9-14'!E173</f>
        <v>0</v>
      </c>
      <c r="F6" s="1765">
        <f>'Revenues 9-14'!F173</f>
        <v>439008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975497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8035590</v>
      </c>
      <c r="D8" s="1710">
        <f t="shared" ref="D8:K8" si="0">SUM(D4:D7)</f>
        <v>855145</v>
      </c>
      <c r="E8" s="1710">
        <f t="shared" si="0"/>
        <v>766936</v>
      </c>
      <c r="F8" s="1710">
        <f t="shared" si="0"/>
        <v>566821</v>
      </c>
      <c r="G8" s="1710">
        <f t="shared" si="0"/>
        <v>389270</v>
      </c>
      <c r="H8" s="1710">
        <f t="shared" si="0"/>
        <v>524</v>
      </c>
      <c r="I8" s="1710">
        <f t="shared" si="0"/>
        <v>31953</v>
      </c>
      <c r="J8" s="1710">
        <f t="shared" si="0"/>
        <v>548866</v>
      </c>
      <c r="K8" s="1710">
        <f t="shared" si="0"/>
        <v>31953</v>
      </c>
      <c r="L8" s="347"/>
    </row>
    <row r="9" spans="1:13" ht="15.75" thickTop="1" x14ac:dyDescent="0.2">
      <c r="A9" s="514" t="s">
        <v>1752</v>
      </c>
      <c r="B9" s="515">
        <v>3998</v>
      </c>
      <c r="C9" s="481">
        <v>3038477</v>
      </c>
      <c r="D9" s="516"/>
      <c r="E9" s="481"/>
      <c r="F9" s="481"/>
      <c r="G9" s="517"/>
      <c r="H9" s="481"/>
      <c r="I9" s="509" t="s">
        <v>1231</v>
      </c>
      <c r="J9" s="478"/>
      <c r="K9" s="481"/>
      <c r="L9" s="347"/>
    </row>
    <row r="10" spans="1:13" s="519" customFormat="1" ht="13.5" thickBot="1" x14ac:dyDescent="0.25">
      <c r="A10" s="1758" t="s">
        <v>1235</v>
      </c>
      <c r="B10" s="1731"/>
      <c r="C10" s="1710">
        <f>SUM(C8:C9)</f>
        <v>11074067</v>
      </c>
      <c r="D10" s="1710">
        <f t="shared" ref="D10:K10" si="1">SUM(D8:D9)</f>
        <v>855145</v>
      </c>
      <c r="E10" s="1710">
        <f t="shared" si="1"/>
        <v>766936</v>
      </c>
      <c r="F10" s="1710">
        <f t="shared" si="1"/>
        <v>566821</v>
      </c>
      <c r="G10" s="1710">
        <f t="shared" si="1"/>
        <v>389270</v>
      </c>
      <c r="H10" s="1710">
        <f t="shared" si="1"/>
        <v>524</v>
      </c>
      <c r="I10" s="1710">
        <f t="shared" si="1"/>
        <v>31953</v>
      </c>
      <c r="J10" s="1710">
        <f t="shared" si="1"/>
        <v>548866</v>
      </c>
      <c r="K10" s="1710">
        <f t="shared" si="1"/>
        <v>31953</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4">
        <f>'Expenditures 15-22'!K33</f>
        <v>5197635</v>
      </c>
      <c r="D12" s="520" t="s">
        <v>1231</v>
      </c>
      <c r="E12" s="468" t="s">
        <v>1231</v>
      </c>
      <c r="F12" s="468" t="s">
        <v>1231</v>
      </c>
      <c r="G12" s="1764">
        <f>'Expenditures 15-22'!K229</f>
        <v>140271</v>
      </c>
      <c r="H12" s="521"/>
      <c r="I12" s="468" t="s">
        <v>1231</v>
      </c>
      <c r="J12" s="468" t="s">
        <v>1231</v>
      </c>
      <c r="K12" s="521" t="s">
        <v>1231</v>
      </c>
      <c r="L12" s="347"/>
    </row>
    <row r="13" spans="1:13" ht="15.75" customHeight="1" x14ac:dyDescent="0.2">
      <c r="A13" s="1598" t="s">
        <v>477</v>
      </c>
      <c r="B13" s="1600">
        <v>2000</v>
      </c>
      <c r="C13" s="1765">
        <f>'Expenditures 15-22'!K74</f>
        <v>1683904</v>
      </c>
      <c r="D13" s="1765">
        <f>'Expenditures 15-22'!K129</f>
        <v>753876</v>
      </c>
      <c r="E13" s="469" t="s">
        <v>1231</v>
      </c>
      <c r="F13" s="1765">
        <f>'Expenditures 15-22'!K184</f>
        <v>471531</v>
      </c>
      <c r="G13" s="1765">
        <f>'Expenditures 15-22'!K279</f>
        <v>253787</v>
      </c>
      <c r="H13" s="1765">
        <f>'Expenditures 15-22'!K303</f>
        <v>524</v>
      </c>
      <c r="I13" s="468" t="s">
        <v>1231</v>
      </c>
      <c r="J13" s="1765">
        <f>'Expenditures 15-22'!K330</f>
        <v>475667</v>
      </c>
      <c r="K13" s="1769">
        <f>'Expenditures 15-22'!K352</f>
        <v>859611</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568411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769133</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7449950</v>
      </c>
      <c r="D17" s="1710">
        <f t="shared" si="2"/>
        <v>753876</v>
      </c>
      <c r="E17" s="1710">
        <f t="shared" si="2"/>
        <v>769133</v>
      </c>
      <c r="F17" s="1710">
        <f t="shared" si="2"/>
        <v>471531</v>
      </c>
      <c r="G17" s="1710">
        <f t="shared" si="2"/>
        <v>394058</v>
      </c>
      <c r="H17" s="1710">
        <f t="shared" si="2"/>
        <v>524</v>
      </c>
      <c r="I17" s="468"/>
      <c r="J17" s="1710">
        <f>SUM(J12:J16)</f>
        <v>475667</v>
      </c>
      <c r="K17" s="1710">
        <f>SUM(K12:K16)</f>
        <v>859611</v>
      </c>
      <c r="L17" s="347"/>
    </row>
    <row r="18" spans="1:12" ht="15" customHeight="1" thickTop="1" x14ac:dyDescent="0.2">
      <c r="A18" s="1766" t="s">
        <v>1753</v>
      </c>
      <c r="B18" s="1767">
        <v>4180</v>
      </c>
      <c r="C18" s="1764">
        <f t="shared" ref="C18:H18" si="3">C9</f>
        <v>3038477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10488427</v>
      </c>
      <c r="D19" s="1710">
        <f t="shared" si="4"/>
        <v>753876</v>
      </c>
      <c r="E19" s="1710">
        <f t="shared" si="4"/>
        <v>769133</v>
      </c>
      <c r="F19" s="1710">
        <f t="shared" si="4"/>
        <v>471531</v>
      </c>
      <c r="G19" s="1710">
        <f t="shared" si="4"/>
        <v>394058</v>
      </c>
      <c r="H19" s="1710">
        <f t="shared" si="4"/>
        <v>524</v>
      </c>
      <c r="I19" s="468"/>
      <c r="J19" s="1710">
        <f>SUM(J17:J18)</f>
        <v>475667</v>
      </c>
      <c r="K19" s="1710">
        <f>SUM(K17:K18)</f>
        <v>859611</v>
      </c>
      <c r="L19" s="347"/>
    </row>
    <row r="20" spans="1:12" ht="16.5" thickTop="1" thickBot="1" x14ac:dyDescent="0.25">
      <c r="A20" s="2145" t="s">
        <v>1754</v>
      </c>
      <c r="B20" s="2146"/>
      <c r="C20" s="1768">
        <f>C8-C17</f>
        <v>585640</v>
      </c>
      <c r="D20" s="1768">
        <f t="shared" ref="D20:K20" si="5">D8-D17</f>
        <v>101269</v>
      </c>
      <c r="E20" s="1768">
        <f t="shared" si="5"/>
        <v>-2197</v>
      </c>
      <c r="F20" s="1768">
        <f t="shared" si="5"/>
        <v>95290</v>
      </c>
      <c r="G20" s="1768">
        <f t="shared" si="5"/>
        <v>-4788</v>
      </c>
      <c r="H20" s="1768">
        <f t="shared" si="5"/>
        <v>0</v>
      </c>
      <c r="I20" s="1768">
        <f t="shared" si="5"/>
        <v>31953</v>
      </c>
      <c r="J20" s="1768">
        <f t="shared" si="5"/>
        <v>73199</v>
      </c>
      <c r="K20" s="1768">
        <f t="shared" si="5"/>
        <v>-827658</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7" t="s">
        <v>1239</v>
      </c>
      <c r="B77" s="2138"/>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1" t="s">
        <v>618</v>
      </c>
      <c r="B78" s="2142"/>
      <c r="C78" s="1724">
        <f t="shared" ref="C78:K78" si="9">C20+C77</f>
        <v>585640</v>
      </c>
      <c r="D78" s="1724">
        <f t="shared" si="9"/>
        <v>101269</v>
      </c>
      <c r="E78" s="1724">
        <f t="shared" si="9"/>
        <v>-2197</v>
      </c>
      <c r="F78" s="1724">
        <f t="shared" si="9"/>
        <v>95290</v>
      </c>
      <c r="G78" s="1724">
        <f t="shared" si="9"/>
        <v>-4788</v>
      </c>
      <c r="H78" s="1724">
        <f t="shared" si="9"/>
        <v>0</v>
      </c>
      <c r="I78" s="1724">
        <f t="shared" si="9"/>
        <v>31953</v>
      </c>
      <c r="J78" s="1724">
        <f t="shared" si="9"/>
        <v>73199</v>
      </c>
      <c r="K78" s="1724">
        <f t="shared" si="9"/>
        <v>-827658</v>
      </c>
      <c r="L78" s="533"/>
    </row>
    <row r="79" spans="1:12" ht="13.5" thickTop="1" x14ac:dyDescent="0.2">
      <c r="A79" s="1516" t="s">
        <v>2068</v>
      </c>
      <c r="B79" s="534"/>
      <c r="C79" s="478">
        <v>1086858</v>
      </c>
      <c r="D79" s="535">
        <v>105263</v>
      </c>
      <c r="E79" s="535">
        <v>114716</v>
      </c>
      <c r="F79" s="535">
        <v>204428</v>
      </c>
      <c r="G79" s="535">
        <v>272985</v>
      </c>
      <c r="H79" s="535"/>
      <c r="I79" s="535">
        <v>346420</v>
      </c>
      <c r="J79" s="535">
        <v>172951</v>
      </c>
      <c r="K79" s="535">
        <v>2867182</v>
      </c>
      <c r="L79" s="347"/>
    </row>
    <row r="80" spans="1:12" x14ac:dyDescent="0.2">
      <c r="A80" s="2147" t="s">
        <v>1895</v>
      </c>
      <c r="B80" s="2148"/>
      <c r="C80" s="467"/>
      <c r="D80" s="467"/>
      <c r="E80" s="467"/>
      <c r="F80" s="467"/>
      <c r="G80" s="467"/>
      <c r="H80" s="467"/>
      <c r="I80" s="467"/>
      <c r="J80" s="467"/>
      <c r="K80" s="467"/>
      <c r="L80" s="347"/>
    </row>
    <row r="81" spans="1:12" ht="13.5" thickBot="1" x14ac:dyDescent="0.25">
      <c r="A81" s="2139" t="s">
        <v>2069</v>
      </c>
      <c r="B81" s="2140"/>
      <c r="C81" s="1710">
        <f>(SUM(C78:C80))</f>
        <v>1672498</v>
      </c>
      <c r="D81" s="1710">
        <f>SUM(D78:D80)</f>
        <v>206532</v>
      </c>
      <c r="E81" s="1710">
        <f t="shared" ref="E81:K81" si="10">SUM(E78:E80)</f>
        <v>112519</v>
      </c>
      <c r="F81" s="1710">
        <f t="shared" si="10"/>
        <v>299718</v>
      </c>
      <c r="G81" s="1710">
        <f t="shared" si="10"/>
        <v>268197</v>
      </c>
      <c r="H81" s="1710">
        <f t="shared" si="10"/>
        <v>0</v>
      </c>
      <c r="I81" s="1710">
        <f t="shared" si="10"/>
        <v>378373</v>
      </c>
      <c r="J81" s="1710">
        <f t="shared" si="10"/>
        <v>246150</v>
      </c>
      <c r="K81" s="1710">
        <f t="shared" si="10"/>
        <v>2039524</v>
      </c>
      <c r="L81" s="347"/>
    </row>
    <row r="82" spans="1:12" ht="0.75" customHeight="1" thickTop="1" thickBot="1" x14ac:dyDescent="0.25">
      <c r="A82" s="536" t="s">
        <v>361</v>
      </c>
      <c r="B82" s="537"/>
      <c r="C82" s="538">
        <f>(C81-C79)</f>
        <v>585640</v>
      </c>
      <c r="D82" s="538">
        <f t="shared" ref="D82:K82" si="11">(D81-D79)</f>
        <v>101269</v>
      </c>
      <c r="E82" s="538">
        <f t="shared" si="11"/>
        <v>-2197</v>
      </c>
      <c r="F82" s="538">
        <f t="shared" si="11"/>
        <v>95290</v>
      </c>
      <c r="G82" s="538">
        <f t="shared" si="11"/>
        <v>-4788</v>
      </c>
      <c r="H82" s="538">
        <f t="shared" si="11"/>
        <v>0</v>
      </c>
      <c r="I82" s="538">
        <f t="shared" si="11"/>
        <v>31953</v>
      </c>
      <c r="J82" s="538">
        <f t="shared" si="11"/>
        <v>73199</v>
      </c>
      <c r="K82" s="538">
        <f t="shared" si="11"/>
        <v>-827658</v>
      </c>
    </row>
    <row r="83" spans="1:12" ht="14.25" hidden="1" thickTop="1" thickBot="1" x14ac:dyDescent="0.25">
      <c r="A83" s="539" t="s">
        <v>362</v>
      </c>
      <c r="B83" s="464"/>
      <c r="C83" s="540">
        <f>C82/C81</f>
        <v>0.35015886416605579</v>
      </c>
      <c r="D83" s="540">
        <f t="shared" ref="D83:K83" si="12">D82/D81</f>
        <v>0.4903307961962311</v>
      </c>
      <c r="E83" s="540">
        <f t="shared" si="12"/>
        <v>-1.9525591233480567E-2</v>
      </c>
      <c r="F83" s="540">
        <f t="shared" si="12"/>
        <v>0.3179321895915494</v>
      </c>
      <c r="G83" s="540">
        <f t="shared" si="12"/>
        <v>-1.7852548686226915E-2</v>
      </c>
      <c r="H83" s="540" t="e">
        <f t="shared" si="12"/>
        <v>#DIV/0!</v>
      </c>
      <c r="I83" s="540">
        <f t="shared" si="12"/>
        <v>8.4448414659608381E-2</v>
      </c>
      <c r="J83" s="540">
        <f t="shared" si="12"/>
        <v>0.29737558399349989</v>
      </c>
      <c r="K83" s="540">
        <f t="shared" si="12"/>
        <v>-0.40580939474112587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46" activePane="bottomLeft" state="frozen"/>
      <selection pane="bottomLeft" sqref="A1:A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1902</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1276890</v>
      </c>
      <c r="D5" s="481">
        <v>319224</v>
      </c>
      <c r="E5" s="466">
        <v>766208</v>
      </c>
      <c r="F5" s="548">
        <v>127691</v>
      </c>
      <c r="G5" s="466">
        <v>174474</v>
      </c>
      <c r="H5" s="466"/>
      <c r="I5" s="466">
        <v>31923</v>
      </c>
      <c r="J5" s="467">
        <v>548345</v>
      </c>
      <c r="K5" s="466">
        <v>31923</v>
      </c>
    </row>
    <row r="6" spans="1:12" ht="15" x14ac:dyDescent="0.2">
      <c r="A6" s="463" t="s">
        <v>1761</v>
      </c>
      <c r="B6" s="470">
        <v>1130</v>
      </c>
      <c r="C6" s="466">
        <v>51784</v>
      </c>
      <c r="D6" s="466"/>
      <c r="E6" s="475"/>
      <c r="F6" s="475"/>
      <c r="G6" s="468"/>
      <c r="H6" s="468"/>
      <c r="I6" s="468"/>
      <c r="J6" s="468"/>
      <c r="K6" s="468"/>
    </row>
    <row r="7" spans="1:12" x14ac:dyDescent="0.2">
      <c r="A7" s="463" t="s">
        <v>112</v>
      </c>
      <c r="B7" s="549">
        <v>1140</v>
      </c>
      <c r="C7" s="466">
        <v>25539</v>
      </c>
      <c r="D7" s="466"/>
      <c r="E7" s="468"/>
      <c r="F7" s="467"/>
      <c r="G7" s="467"/>
      <c r="H7" s="467"/>
      <c r="I7" s="468"/>
      <c r="J7" s="468"/>
      <c r="K7" s="468"/>
    </row>
    <row r="8" spans="1:12" x14ac:dyDescent="0.2">
      <c r="A8" s="463" t="s">
        <v>433</v>
      </c>
      <c r="B8" s="470">
        <v>1150</v>
      </c>
      <c r="C8" s="475"/>
      <c r="D8" s="475"/>
      <c r="E8" s="477"/>
      <c r="F8" s="477"/>
      <c r="G8" s="481">
        <v>209370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1354213</v>
      </c>
      <c r="D12" s="1729">
        <f t="shared" si="0"/>
        <v>319224</v>
      </c>
      <c r="E12" s="1729">
        <f t="shared" si="0"/>
        <v>766208</v>
      </c>
      <c r="F12" s="1729">
        <f t="shared" si="0"/>
        <v>127691</v>
      </c>
      <c r="G12" s="1729">
        <f t="shared" si="0"/>
        <v>383844</v>
      </c>
      <c r="H12" s="1729">
        <f t="shared" si="0"/>
        <v>0</v>
      </c>
      <c r="I12" s="1729">
        <f t="shared" si="0"/>
        <v>31923</v>
      </c>
      <c r="J12" s="1729">
        <f t="shared" si="0"/>
        <v>548345</v>
      </c>
      <c r="K12" s="1710">
        <f t="shared" si="0"/>
        <v>31923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1195</v>
      </c>
      <c r="D14" s="466">
        <v>282</v>
      </c>
      <c r="E14" s="466">
        <v>675</v>
      </c>
      <c r="F14" s="466">
        <v>113</v>
      </c>
      <c r="G14" s="466">
        <v>338</v>
      </c>
      <c r="H14" s="466"/>
      <c r="I14" s="466">
        <v>28</v>
      </c>
      <c r="J14" s="467">
        <v>483</v>
      </c>
      <c r="K14" s="466">
        <v>28</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131802</v>
      </c>
      <c r="D16" s="466"/>
      <c r="E16" s="466"/>
      <c r="F16" s="466"/>
      <c r="G16" s="466">
        <v>5062</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132997</v>
      </c>
      <c r="D18" s="1732">
        <f t="shared" ref="D18:K18" si="1">SUM(D14:D17)</f>
        <v>282</v>
      </c>
      <c r="E18" s="1732">
        <f t="shared" si="1"/>
        <v>675</v>
      </c>
      <c r="F18" s="1732">
        <f t="shared" si="1"/>
        <v>113</v>
      </c>
      <c r="G18" s="1732">
        <f t="shared" si="1"/>
        <v>5400</v>
      </c>
      <c r="H18" s="1732">
        <f t="shared" si="1"/>
        <v>0</v>
      </c>
      <c r="I18" s="1732">
        <f t="shared" si="1"/>
        <v>28</v>
      </c>
      <c r="J18" s="1732">
        <f t="shared" si="1"/>
        <v>483</v>
      </c>
      <c r="K18" s="1733">
        <f t="shared" si="1"/>
        <v>28</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20962</v>
      </c>
      <c r="D65" s="466">
        <v>22</v>
      </c>
      <c r="E65" s="466">
        <v>53</v>
      </c>
      <c r="F65" s="467">
        <v>9</v>
      </c>
      <c r="G65" s="466">
        <v>26</v>
      </c>
      <c r="H65" s="466"/>
      <c r="I65" s="466">
        <v>2</v>
      </c>
      <c r="J65" s="467">
        <v>38</v>
      </c>
      <c r="K65" s="466">
        <v>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20962</v>
      </c>
      <c r="D67" s="1710">
        <f t="shared" ref="D67:K67" si="2">SUM(D65:D66)</f>
        <v>22</v>
      </c>
      <c r="E67" s="1710">
        <f t="shared" si="2"/>
        <v>53</v>
      </c>
      <c r="F67" s="1710">
        <f t="shared" si="2"/>
        <v>9</v>
      </c>
      <c r="G67" s="1710">
        <f t="shared" si="2"/>
        <v>26</v>
      </c>
      <c r="H67" s="1710">
        <f t="shared" si="2"/>
        <v>0</v>
      </c>
      <c r="I67" s="1710">
        <f t="shared" si="2"/>
        <v>2</v>
      </c>
      <c r="J67" s="1710">
        <f t="shared" si="2"/>
        <v>38</v>
      </c>
      <c r="K67" s="1710">
        <f t="shared" si="2"/>
        <v>2</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1217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27740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5274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34231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54329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19386</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73715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985</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27764</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4858</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524</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54160</v>
      </c>
      <c r="D107" s="466">
        <v>62724</v>
      </c>
      <c r="E107" s="466"/>
      <c r="F107" s="466"/>
      <c r="G107" s="466"/>
      <c r="H107" s="466"/>
      <c r="I107" s="466"/>
      <c r="J107" s="467"/>
      <c r="K107" s="466"/>
    </row>
    <row r="108" spans="1:12" ht="12.75" customHeight="1" thickBot="1" x14ac:dyDescent="0.25">
      <c r="A108" s="1730" t="s">
        <v>508</v>
      </c>
      <c r="B108" s="1734"/>
      <c r="C108" s="1729">
        <f>SUM(C95:C107)</f>
        <v>87767</v>
      </c>
      <c r="D108" s="1729">
        <f t="shared" ref="D108:K108" si="3">SUM(D95:D107)</f>
        <v>62724</v>
      </c>
      <c r="E108" s="1729">
        <f t="shared" si="3"/>
        <v>0</v>
      </c>
      <c r="F108" s="1729">
        <f t="shared" si="3"/>
        <v>0</v>
      </c>
      <c r="G108" s="1729">
        <f t="shared" si="3"/>
        <v>0</v>
      </c>
      <c r="H108" s="1729">
        <f t="shared" si="3"/>
        <v>524</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1703885</v>
      </c>
      <c r="D109" s="1737">
        <f t="shared" si="4"/>
        <v>382252</v>
      </c>
      <c r="E109" s="1737">
        <f t="shared" si="4"/>
        <v>766936</v>
      </c>
      <c r="F109" s="1737">
        <f t="shared" si="4"/>
        <v>127813</v>
      </c>
      <c r="G109" s="1737">
        <f t="shared" si="4"/>
        <v>389270</v>
      </c>
      <c r="H109" s="1737">
        <f t="shared" si="4"/>
        <v>524</v>
      </c>
      <c r="I109" s="1737">
        <f t="shared" si="4"/>
        <v>31953</v>
      </c>
      <c r="J109" s="1737">
        <f t="shared" si="4"/>
        <v>548866</v>
      </c>
      <c r="K109" s="1724">
        <f t="shared" si="4"/>
        <v>31953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5113379</v>
      </c>
      <c r="D117" s="481">
        <v>472893</v>
      </c>
      <c r="E117" s="466"/>
      <c r="F117" s="481">
        <v>85000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5113379</v>
      </c>
      <c r="D121" s="1729">
        <f t="shared" si="5"/>
        <v>472893</v>
      </c>
      <c r="E121" s="1729">
        <f t="shared" si="5"/>
        <v>0</v>
      </c>
      <c r="F121" s="1729">
        <f t="shared" si="5"/>
        <v>85000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15367</v>
      </c>
      <c r="D124" s="561"/>
      <c r="E124" s="468"/>
      <c r="F124" s="548"/>
      <c r="G124" s="468"/>
      <c r="H124" s="468"/>
      <c r="I124" s="468"/>
      <c r="J124" s="468"/>
      <c r="K124" s="468"/>
    </row>
    <row r="125" spans="1:11" ht="12.75" customHeight="1" x14ac:dyDescent="0.2">
      <c r="A125" s="463" t="s">
        <v>1521</v>
      </c>
      <c r="B125" s="562">
        <v>3105</v>
      </c>
      <c r="C125" s="466">
        <v>73063</v>
      </c>
      <c r="D125" s="561"/>
      <c r="E125" s="468"/>
      <c r="F125" s="466"/>
      <c r="G125" s="468"/>
      <c r="H125" s="468"/>
      <c r="I125" s="468"/>
      <c r="J125" s="468"/>
      <c r="K125" s="468"/>
    </row>
    <row r="126" spans="1:11" ht="12.75" customHeight="1" x14ac:dyDescent="0.2">
      <c r="A126" s="463" t="s">
        <v>922</v>
      </c>
      <c r="B126" s="562">
        <v>3110</v>
      </c>
      <c r="C126" s="551">
        <v>98625</v>
      </c>
      <c r="D126" s="466"/>
      <c r="E126" s="468"/>
      <c r="F126" s="466"/>
      <c r="G126" s="468"/>
      <c r="H126" s="468"/>
      <c r="I126" s="468"/>
      <c r="J126" s="468"/>
      <c r="K126" s="468"/>
    </row>
    <row r="127" spans="1:11" ht="12.75" customHeight="1" x14ac:dyDescent="0.2">
      <c r="A127" s="463" t="s">
        <v>107</v>
      </c>
      <c r="B127" s="562">
        <v>3120</v>
      </c>
      <c r="C127" s="466">
        <v>27140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568</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214763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5067</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5067</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8412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14587</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230699</v>
      </c>
      <c r="G151" s="467"/>
      <c r="H151" s="468"/>
      <c r="I151" s="468"/>
      <c r="J151" s="468"/>
      <c r="K151" s="468"/>
    </row>
    <row r="152" spans="1:11" ht="12.75" customHeight="1" x14ac:dyDescent="0.2">
      <c r="A152" s="463" t="s">
        <v>1117</v>
      </c>
      <c r="B152" s="562">
        <v>3510</v>
      </c>
      <c r="C152" s="551"/>
      <c r="D152" s="466"/>
      <c r="E152" s="561"/>
      <c r="F152" s="466">
        <v>110909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341608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v>12400</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242829</v>
      </c>
      <c r="D172" s="1744">
        <f t="shared" si="6"/>
        <v>0</v>
      </c>
      <c r="E172" s="1744">
        <f t="shared" si="6"/>
        <v>0</v>
      </c>
      <c r="F172" s="1744">
        <f t="shared" si="6"/>
        <v>354008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5356208</v>
      </c>
      <c r="D173" s="1737">
        <f>SUM(D121,D172)</f>
        <v>472893</v>
      </c>
      <c r="E173" s="1737">
        <f>SUM(E121,E172)</f>
        <v>0</v>
      </c>
      <c r="F173" s="1737">
        <f t="shared" ref="F173:K173" si="7">SUM(F121,F172)</f>
        <v>439008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1903</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358584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109995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468579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306657</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306657</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11191</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11191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8562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118536</v>
      </c>
      <c r="D270" s="576"/>
      <c r="E270" s="468"/>
      <c r="F270" s="576"/>
      <c r="G270" s="576"/>
      <c r="H270" s="468"/>
      <c r="I270" s="468"/>
      <c r="J270" s="468"/>
      <c r="K270" s="468"/>
    </row>
    <row r="271" spans="1:11" ht="12.75" customHeight="1" thickTop="1" thickBot="1" x14ac:dyDescent="0.25">
      <c r="A271" s="463" t="s">
        <v>395</v>
      </c>
      <c r="B271" s="470">
        <v>4992</v>
      </c>
      <c r="C271" s="575">
        <v>61972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975497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975497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8035590</v>
      </c>
      <c r="D275" s="1737">
        <f t="shared" si="12"/>
        <v>855145</v>
      </c>
      <c r="E275" s="1737">
        <f t="shared" si="12"/>
        <v>766936</v>
      </c>
      <c r="F275" s="1737">
        <f t="shared" si="12"/>
        <v>566821</v>
      </c>
      <c r="G275" s="1737">
        <f t="shared" si="12"/>
        <v>389270</v>
      </c>
      <c r="H275" s="1737">
        <f t="shared" si="12"/>
        <v>524</v>
      </c>
      <c r="I275" s="1737">
        <f t="shared" si="12"/>
        <v>31953</v>
      </c>
      <c r="J275" s="1737">
        <f t="shared" si="12"/>
        <v>548866</v>
      </c>
      <c r="K275" s="1724">
        <f t="shared" si="12"/>
        <v>31953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0" activePane="bottomLeft" state="frozen"/>
      <selection pane="bottomLeft"/>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2040820</v>
      </c>
      <c r="D5" s="466">
        <v>577057</v>
      </c>
      <c r="E5" s="466">
        <v>361856</v>
      </c>
      <c r="F5" s="466">
        <v>38111</v>
      </c>
      <c r="G5" s="466"/>
      <c r="H5" s="466">
        <v>665</v>
      </c>
      <c r="I5" s="467"/>
      <c r="J5" s="467"/>
      <c r="K5" s="1693">
        <f>SUM(C5:J5)</f>
        <v>3018509</v>
      </c>
      <c r="L5" s="466">
        <v>2965908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64645</v>
      </c>
      <c r="D7" s="467">
        <v>20006</v>
      </c>
      <c r="E7" s="467"/>
      <c r="F7" s="467">
        <v>5283</v>
      </c>
      <c r="G7" s="467"/>
      <c r="H7" s="467"/>
      <c r="I7" s="467"/>
      <c r="J7" s="467"/>
      <c r="K7" s="1693">
        <f t="shared" ref="K7:K32" si="0">SUM(C7:J7)</f>
        <v>89934</v>
      </c>
      <c r="L7" s="466">
        <v>90045</v>
      </c>
    </row>
    <row r="8" spans="1:14" x14ac:dyDescent="0.2">
      <c r="A8" s="1526" t="s">
        <v>166</v>
      </c>
      <c r="B8" s="615">
        <v>1200</v>
      </c>
      <c r="C8" s="466">
        <v>826888</v>
      </c>
      <c r="D8" s="466">
        <v>198383</v>
      </c>
      <c r="E8" s="466">
        <v>499</v>
      </c>
      <c r="F8" s="466">
        <v>2827</v>
      </c>
      <c r="G8" s="466"/>
      <c r="H8" s="466">
        <v>2651</v>
      </c>
      <c r="I8" s="467"/>
      <c r="J8" s="467"/>
      <c r="K8" s="1693">
        <f t="shared" si="0"/>
        <v>1031248</v>
      </c>
      <c r="L8" s="466">
        <v>1021641</v>
      </c>
    </row>
    <row r="9" spans="1:14" x14ac:dyDescent="0.2">
      <c r="A9" s="1526" t="s">
        <v>745</v>
      </c>
      <c r="B9" s="615" t="s">
        <v>1025</v>
      </c>
      <c r="C9" s="467">
        <v>20333</v>
      </c>
      <c r="D9" s="467">
        <v>8167</v>
      </c>
      <c r="E9" s="467"/>
      <c r="F9" s="467"/>
      <c r="G9" s="467"/>
      <c r="H9" s="467"/>
      <c r="I9" s="467"/>
      <c r="J9" s="467"/>
      <c r="K9" s="1693">
        <f t="shared" si="0"/>
        <v>28500</v>
      </c>
      <c r="L9" s="466">
        <v>34872</v>
      </c>
    </row>
    <row r="10" spans="1:14" x14ac:dyDescent="0.2">
      <c r="A10" s="1526" t="s">
        <v>746</v>
      </c>
      <c r="B10" s="615">
        <v>1250</v>
      </c>
      <c r="C10" s="466">
        <v>140446</v>
      </c>
      <c r="D10" s="466">
        <v>29065</v>
      </c>
      <c r="E10" s="466">
        <v>67772</v>
      </c>
      <c r="F10" s="466">
        <v>129468</v>
      </c>
      <c r="G10" s="466">
        <v>20016</v>
      </c>
      <c r="H10" s="466">
        <v>3807</v>
      </c>
      <c r="I10" s="467"/>
      <c r="J10" s="467"/>
      <c r="K10" s="1693">
        <f t="shared" si="0"/>
        <v>390574</v>
      </c>
      <c r="L10" s="466">
        <v>286748</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176569</v>
      </c>
      <c r="D13" s="466">
        <v>37401</v>
      </c>
      <c r="E13" s="466">
        <v>5458</v>
      </c>
      <c r="F13" s="466">
        <v>464</v>
      </c>
      <c r="G13" s="466"/>
      <c r="H13" s="466"/>
      <c r="I13" s="467"/>
      <c r="J13" s="467"/>
      <c r="K13" s="1693">
        <f t="shared" si="0"/>
        <v>219892</v>
      </c>
      <c r="L13" s="466">
        <v>214285</v>
      </c>
    </row>
    <row r="14" spans="1:14" x14ac:dyDescent="0.2">
      <c r="A14" s="1526" t="s">
        <v>1020</v>
      </c>
      <c r="B14" s="615">
        <v>1500</v>
      </c>
      <c r="C14" s="466">
        <v>242799</v>
      </c>
      <c r="D14" s="466">
        <v>46921</v>
      </c>
      <c r="E14" s="466">
        <v>33543</v>
      </c>
      <c r="F14" s="466">
        <v>61734</v>
      </c>
      <c r="G14" s="466"/>
      <c r="H14" s="466">
        <v>100</v>
      </c>
      <c r="I14" s="467"/>
      <c r="J14" s="467"/>
      <c r="K14" s="1693">
        <f t="shared" si="0"/>
        <v>385097</v>
      </c>
      <c r="L14" s="466">
        <v>342986</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27343</v>
      </c>
      <c r="D17" s="467">
        <v>6538</v>
      </c>
      <c r="E17" s="467"/>
      <c r="F17" s="467"/>
      <c r="G17" s="467"/>
      <c r="H17" s="467"/>
      <c r="I17" s="467"/>
      <c r="J17" s="467"/>
      <c r="K17" s="1693">
        <f t="shared" si="0"/>
        <v>33881</v>
      </c>
      <c r="L17" s="466">
        <v>34836</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3539843</v>
      </c>
      <c r="D33" s="1692">
        <f t="shared" ref="D33:L33" si="1">SUM(D5:D32)</f>
        <v>923538</v>
      </c>
      <c r="E33" s="1692">
        <f t="shared" si="1"/>
        <v>469128</v>
      </c>
      <c r="F33" s="1692">
        <f t="shared" si="1"/>
        <v>237887</v>
      </c>
      <c r="G33" s="1692">
        <f t="shared" si="1"/>
        <v>20016</v>
      </c>
      <c r="H33" s="1692">
        <f t="shared" si="1"/>
        <v>7223</v>
      </c>
      <c r="I33" s="1692">
        <f t="shared" si="1"/>
        <v>0</v>
      </c>
      <c r="J33" s="1692">
        <f t="shared" si="1"/>
        <v>0</v>
      </c>
      <c r="K33" s="1692">
        <f t="shared" si="1"/>
        <v>5197635</v>
      </c>
      <c r="L33" s="1692">
        <f t="shared" si="1"/>
        <v>4991321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65349</v>
      </c>
      <c r="D37" s="466">
        <v>9095</v>
      </c>
      <c r="E37" s="466"/>
      <c r="F37" s="466"/>
      <c r="G37" s="466"/>
      <c r="H37" s="466"/>
      <c r="I37" s="467"/>
      <c r="J37" s="467"/>
      <c r="K37" s="1693">
        <f t="shared" si="2"/>
        <v>74444</v>
      </c>
      <c r="L37" s="466">
        <v>74450</v>
      </c>
    </row>
    <row r="38" spans="1:14" x14ac:dyDescent="0.2">
      <c r="A38" s="1526" t="s">
        <v>207</v>
      </c>
      <c r="B38" s="615">
        <v>2130</v>
      </c>
      <c r="C38" s="466">
        <v>15501</v>
      </c>
      <c r="D38" s="466">
        <v>1408</v>
      </c>
      <c r="E38" s="466">
        <v>402</v>
      </c>
      <c r="F38" s="466">
        <v>1436</v>
      </c>
      <c r="G38" s="466"/>
      <c r="H38" s="466"/>
      <c r="I38" s="467"/>
      <c r="J38" s="467"/>
      <c r="K38" s="1693">
        <f t="shared" si="2"/>
        <v>18747</v>
      </c>
      <c r="L38" s="466">
        <v>18885</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v>9974</v>
      </c>
      <c r="D41" s="466"/>
      <c r="E41" s="466"/>
      <c r="F41" s="466"/>
      <c r="G41" s="466"/>
      <c r="H41" s="466"/>
      <c r="I41" s="467"/>
      <c r="J41" s="467"/>
      <c r="K41" s="1693">
        <f t="shared" si="2"/>
        <v>9974</v>
      </c>
      <c r="L41" s="466">
        <v>10620</v>
      </c>
    </row>
    <row r="42" spans="1:14" ht="12.75" customHeight="1" thickBot="1" x14ac:dyDescent="0.25">
      <c r="A42" s="1690" t="s">
        <v>581</v>
      </c>
      <c r="B42" s="1691" t="s">
        <v>740</v>
      </c>
      <c r="C42" s="1692">
        <f>SUM(C36:C41)</f>
        <v>90824</v>
      </c>
      <c r="D42" s="1692">
        <f t="shared" ref="D42:L42" si="3">SUM(D36:D41)</f>
        <v>10503</v>
      </c>
      <c r="E42" s="1692">
        <f t="shared" si="3"/>
        <v>402</v>
      </c>
      <c r="F42" s="1692">
        <f t="shared" si="3"/>
        <v>1436</v>
      </c>
      <c r="G42" s="1692">
        <f t="shared" si="3"/>
        <v>0</v>
      </c>
      <c r="H42" s="1692">
        <f t="shared" si="3"/>
        <v>0</v>
      </c>
      <c r="I42" s="1692">
        <f t="shared" si="3"/>
        <v>0</v>
      </c>
      <c r="J42" s="1692">
        <f t="shared" si="3"/>
        <v>0</v>
      </c>
      <c r="K42" s="1692">
        <f t="shared" si="3"/>
        <v>103165</v>
      </c>
      <c r="L42" s="1692">
        <f t="shared" si="3"/>
        <v>103955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v>58092</v>
      </c>
    </row>
    <row r="45" spans="1:14" x14ac:dyDescent="0.2">
      <c r="A45" s="1526" t="s">
        <v>869</v>
      </c>
      <c r="B45" s="615">
        <v>2220</v>
      </c>
      <c r="C45" s="466"/>
      <c r="D45" s="466"/>
      <c r="E45" s="466"/>
      <c r="F45" s="466"/>
      <c r="G45" s="466"/>
      <c r="H45" s="466"/>
      <c r="I45" s="467"/>
      <c r="J45" s="467"/>
      <c r="K45" s="1694">
        <f>SUM(C45:J45)</f>
        <v>0</v>
      </c>
      <c r="L45" s="466">
        <v>96678</v>
      </c>
    </row>
    <row r="46" spans="1:14" x14ac:dyDescent="0.2">
      <c r="A46" s="1526" t="s">
        <v>870</v>
      </c>
      <c r="B46" s="615">
        <v>2230</v>
      </c>
      <c r="C46" s="466"/>
      <c r="D46" s="466"/>
      <c r="E46" s="466"/>
      <c r="F46" s="466"/>
      <c r="G46" s="466"/>
      <c r="H46" s="466"/>
      <c r="I46" s="467"/>
      <c r="J46" s="467"/>
      <c r="K46" s="1694">
        <f>SUM(C46:J46)</f>
        <v>0</v>
      </c>
      <c r="L46" s="466">
        <v>18000</v>
      </c>
    </row>
    <row r="47" spans="1:14" ht="12.75" customHeight="1" thickBot="1" x14ac:dyDescent="0.25">
      <c r="A47" s="1690" t="s">
        <v>582</v>
      </c>
      <c r="B47" s="1691" t="s">
        <v>32</v>
      </c>
      <c r="C47" s="1692">
        <f>SUM(C44:C46)</f>
        <v>0</v>
      </c>
      <c r="D47" s="1692">
        <f t="shared" ref="D47:K47" si="4">SUM(D44:D46)</f>
        <v>0</v>
      </c>
      <c r="E47" s="1692">
        <f t="shared" si="4"/>
        <v>0</v>
      </c>
      <c r="F47" s="1692">
        <f t="shared" si="4"/>
        <v>0</v>
      </c>
      <c r="G47" s="1692">
        <f t="shared" si="4"/>
        <v>0</v>
      </c>
      <c r="H47" s="1692">
        <f t="shared" si="4"/>
        <v>0</v>
      </c>
      <c r="I47" s="1692">
        <f t="shared" si="4"/>
        <v>0</v>
      </c>
      <c r="J47" s="1692">
        <f t="shared" si="4"/>
        <v>0</v>
      </c>
      <c r="K47" s="1692">
        <f t="shared" si="4"/>
        <v>0</v>
      </c>
      <c r="L47" s="1692">
        <f>SUM(L44:L46)</f>
        <v>172770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4171</v>
      </c>
      <c r="D49" s="481"/>
      <c r="E49" s="481">
        <v>34557</v>
      </c>
      <c r="F49" s="481">
        <v>49655</v>
      </c>
      <c r="G49" s="481"/>
      <c r="H49" s="481">
        <v>18736</v>
      </c>
      <c r="I49" s="467"/>
      <c r="J49" s="467"/>
      <c r="K49" s="1694">
        <f>SUM(C49:J49)</f>
        <v>107119</v>
      </c>
      <c r="L49" s="481">
        <v>80380</v>
      </c>
    </row>
    <row r="50" spans="1:14" x14ac:dyDescent="0.2">
      <c r="A50" s="1526" t="s">
        <v>872</v>
      </c>
      <c r="B50" s="615">
        <v>2320</v>
      </c>
      <c r="C50" s="466">
        <v>142532</v>
      </c>
      <c r="D50" s="466">
        <v>43741</v>
      </c>
      <c r="E50" s="466">
        <v>20168</v>
      </c>
      <c r="F50" s="466">
        <v>5555</v>
      </c>
      <c r="G50" s="466"/>
      <c r="H50" s="466">
        <v>1489</v>
      </c>
      <c r="I50" s="467"/>
      <c r="J50" s="467"/>
      <c r="K50" s="1694">
        <f>SUM(C50:J50)</f>
        <v>213485</v>
      </c>
      <c r="L50" s="466">
        <v>209680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146703</v>
      </c>
      <c r="D53" s="1692">
        <f t="shared" ref="D53:L53" si="5">SUM(D49:D52)</f>
        <v>43741</v>
      </c>
      <c r="E53" s="1692">
        <f t="shared" si="5"/>
        <v>54725</v>
      </c>
      <c r="F53" s="1692">
        <f t="shared" si="5"/>
        <v>55210</v>
      </c>
      <c r="G53" s="1692">
        <f t="shared" si="5"/>
        <v>0</v>
      </c>
      <c r="H53" s="1692">
        <f t="shared" si="5"/>
        <v>20225</v>
      </c>
      <c r="I53" s="1692">
        <f t="shared" si="5"/>
        <v>0</v>
      </c>
      <c r="J53" s="1692">
        <f t="shared" si="5"/>
        <v>0</v>
      </c>
      <c r="K53" s="1692">
        <f t="shared" si="5"/>
        <v>320604</v>
      </c>
      <c r="L53" s="1692">
        <f t="shared" si="5"/>
        <v>290060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549916</v>
      </c>
      <c r="D55" s="481">
        <v>148120</v>
      </c>
      <c r="E55" s="481">
        <v>7264</v>
      </c>
      <c r="F55" s="481">
        <v>580</v>
      </c>
      <c r="G55" s="481"/>
      <c r="H55" s="481"/>
      <c r="I55" s="467"/>
      <c r="J55" s="467"/>
      <c r="K55" s="1694">
        <f>SUM(C55:J55)</f>
        <v>705880</v>
      </c>
      <c r="L55" s="481">
        <v>711770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549916</v>
      </c>
      <c r="D57" s="1696">
        <f t="shared" ref="D57:K57" si="6">SUM(D55:D56)</f>
        <v>148120</v>
      </c>
      <c r="E57" s="1696">
        <f t="shared" si="6"/>
        <v>7264</v>
      </c>
      <c r="F57" s="1696">
        <f t="shared" si="6"/>
        <v>580</v>
      </c>
      <c r="G57" s="1696">
        <f t="shared" si="6"/>
        <v>0</v>
      </c>
      <c r="H57" s="1696">
        <f t="shared" si="6"/>
        <v>0</v>
      </c>
      <c r="I57" s="1696">
        <f t="shared" si="6"/>
        <v>0</v>
      </c>
      <c r="J57" s="1696">
        <f t="shared" si="6"/>
        <v>0</v>
      </c>
      <c r="K57" s="1696">
        <f t="shared" si="6"/>
        <v>705880</v>
      </c>
      <c r="L57" s="1692">
        <f>SUM(L55:L56)</f>
        <v>711770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81641</v>
      </c>
      <c r="D60" s="466">
        <v>2817</v>
      </c>
      <c r="E60" s="466">
        <v>70</v>
      </c>
      <c r="F60" s="466">
        <v>902</v>
      </c>
      <c r="G60" s="466"/>
      <c r="H60" s="466"/>
      <c r="I60" s="467"/>
      <c r="J60" s="467"/>
      <c r="K60" s="1694">
        <f t="shared" si="7"/>
        <v>85430</v>
      </c>
      <c r="L60" s="466">
        <v>85440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v>600</v>
      </c>
      <c r="M62" s="610"/>
      <c r="N62" s="610"/>
    </row>
    <row r="63" spans="1:14" s="610" customFormat="1" x14ac:dyDescent="0.2">
      <c r="A63" s="1526" t="s">
        <v>102</v>
      </c>
      <c r="B63" s="615">
        <v>2560</v>
      </c>
      <c r="C63" s="466">
        <v>155828</v>
      </c>
      <c r="D63" s="466">
        <v>35939</v>
      </c>
      <c r="E63" s="466">
        <v>589</v>
      </c>
      <c r="F63" s="466">
        <v>276469</v>
      </c>
      <c r="G63" s="466"/>
      <c r="H63" s="466"/>
      <c r="I63" s="467"/>
      <c r="J63" s="467"/>
      <c r="K63" s="1694">
        <f t="shared" si="7"/>
        <v>468825</v>
      </c>
      <c r="L63" s="466">
        <v>453725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237469</v>
      </c>
      <c r="D65" s="1692">
        <f t="shared" ref="D65:L65" si="8">SUM(D59:D64)</f>
        <v>38756</v>
      </c>
      <c r="E65" s="1692">
        <f t="shared" si="8"/>
        <v>659</v>
      </c>
      <c r="F65" s="1692">
        <f t="shared" si="8"/>
        <v>277371</v>
      </c>
      <c r="G65" s="1692">
        <f t="shared" si="8"/>
        <v>0</v>
      </c>
      <c r="H65" s="1692">
        <f t="shared" si="8"/>
        <v>0</v>
      </c>
      <c r="I65" s="1692">
        <f t="shared" si="8"/>
        <v>0</v>
      </c>
      <c r="J65" s="1692">
        <f t="shared" si="8"/>
        <v>0</v>
      </c>
      <c r="K65" s="1692">
        <f t="shared" si="8"/>
        <v>554255</v>
      </c>
      <c r="L65" s="1692">
        <f t="shared" si="8"/>
        <v>539765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800</v>
      </c>
      <c r="M73" s="610"/>
      <c r="N73" s="610"/>
    </row>
    <row r="74" spans="1:14" ht="12.75" customHeight="1" thickTop="1" thickBot="1" x14ac:dyDescent="0.25">
      <c r="A74" s="1690" t="s">
        <v>865</v>
      </c>
      <c r="B74" s="1698">
        <v>2000</v>
      </c>
      <c r="C74" s="1699">
        <f>SUM(C42,C47,C53,C57,C65,C72,C73)</f>
        <v>1024912</v>
      </c>
      <c r="D74" s="1699">
        <f t="shared" ref="D74:K74" si="10">SUM(D42,D47,D53,D57,D65,D72,D73)</f>
        <v>241120</v>
      </c>
      <c r="E74" s="1699">
        <f t="shared" si="10"/>
        <v>63050</v>
      </c>
      <c r="F74" s="1699">
        <f t="shared" si="10"/>
        <v>334597</v>
      </c>
      <c r="G74" s="1699">
        <f t="shared" si="10"/>
        <v>0</v>
      </c>
      <c r="H74" s="1699">
        <f t="shared" si="10"/>
        <v>20225</v>
      </c>
      <c r="I74" s="1699">
        <f t="shared" si="10"/>
        <v>0</v>
      </c>
      <c r="J74" s="1699">
        <f t="shared" si="10"/>
        <v>0</v>
      </c>
      <c r="K74" s="1699">
        <f t="shared" si="10"/>
        <v>1683904</v>
      </c>
      <c r="L74" s="1699">
        <f>SUM(L42,L47,L53,L57,L65,L72,L73)</f>
        <v>1819120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5000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514362</v>
      </c>
      <c r="I86" s="477"/>
      <c r="J86" s="477"/>
      <c r="K86" s="1699">
        <f t="shared" ref="K86:K98" si="12">H86</f>
        <v>514362</v>
      </c>
      <c r="L86" s="530">
        <v>400000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54049</v>
      </c>
      <c r="I88" s="477"/>
      <c r="J88" s="477"/>
      <c r="K88" s="1699">
        <f t="shared" si="12"/>
        <v>54049</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v>50000</v>
      </c>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568411</v>
      </c>
      <c r="I92" s="477"/>
      <c r="J92" s="477"/>
      <c r="K92" s="1699">
        <f t="shared" si="12"/>
        <v>568411</v>
      </c>
      <c r="L92" s="1692">
        <f>SUM(L85:L91)</f>
        <v>450000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568411</v>
      </c>
      <c r="I102" s="477"/>
      <c r="J102" s="477"/>
      <c r="K102" s="1699">
        <f>SUM(K84,K92,K100,K101)</f>
        <v>568411</v>
      </c>
      <c r="L102" s="1699">
        <f>SUM(L84,L92,L100,L101)</f>
        <v>450000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4564755</v>
      </c>
      <c r="D114" s="1692">
        <f t="shared" ref="D114:K114" si="13">SUM(D33,D74,D75,D102,D112,D113)</f>
        <v>1164658</v>
      </c>
      <c r="E114" s="1692">
        <f t="shared" si="13"/>
        <v>532178</v>
      </c>
      <c r="F114" s="1692">
        <f t="shared" si="13"/>
        <v>572484</v>
      </c>
      <c r="G114" s="1692">
        <f t="shared" si="13"/>
        <v>20016</v>
      </c>
      <c r="H114" s="1692">
        <f>SUM(H33,H74,H75,H102,H112,H113)</f>
        <v>595859</v>
      </c>
      <c r="I114" s="1692">
        <f t="shared" si="13"/>
        <v>0</v>
      </c>
      <c r="J114" s="1692">
        <f t="shared" si="13"/>
        <v>0</v>
      </c>
      <c r="K114" s="1692">
        <f t="shared" si="13"/>
        <v>7449950</v>
      </c>
      <c r="L114" s="1692">
        <f>SUM(L33,L74,L75,L102,L112,L113)</f>
        <v>7265441</v>
      </c>
    </row>
    <row r="115" spans="1:14" ht="13.5" thickTop="1" x14ac:dyDescent="0.2">
      <c r="A115" s="2200" t="s">
        <v>1053</v>
      </c>
      <c r="B115" s="2201"/>
      <c r="C115" s="619"/>
      <c r="D115" s="619"/>
      <c r="E115" s="619"/>
      <c r="F115" s="619"/>
      <c r="G115" s="619"/>
      <c r="H115" s="619"/>
      <c r="I115" s="619"/>
      <c r="J115" s="619"/>
      <c r="K115" s="1706">
        <f>'Revenues 9-14'!C275-'Expenditures 15-22'!K114</f>
        <v>585640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256348</v>
      </c>
      <c r="D124" s="466">
        <v>63148</v>
      </c>
      <c r="E124" s="466">
        <v>93000</v>
      </c>
      <c r="F124" s="466">
        <v>341380</v>
      </c>
      <c r="G124" s="466"/>
      <c r="H124" s="466"/>
      <c r="I124" s="467"/>
      <c r="J124" s="467"/>
      <c r="K124" s="1692">
        <f>SUM(C124:J124)</f>
        <v>753876</v>
      </c>
      <c r="L124" s="466">
        <v>735375</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256348</v>
      </c>
      <c r="D127" s="1692">
        <f t="shared" ref="D127:L127" si="14">SUM(D122:D126)</f>
        <v>63148</v>
      </c>
      <c r="E127" s="1692">
        <f t="shared" si="14"/>
        <v>93000</v>
      </c>
      <c r="F127" s="1692">
        <f t="shared" si="14"/>
        <v>341380</v>
      </c>
      <c r="G127" s="1692">
        <f t="shared" si="14"/>
        <v>0</v>
      </c>
      <c r="H127" s="1692">
        <f t="shared" si="14"/>
        <v>0</v>
      </c>
      <c r="I127" s="1692">
        <f t="shared" si="14"/>
        <v>0</v>
      </c>
      <c r="J127" s="1692">
        <f t="shared" si="14"/>
        <v>0</v>
      </c>
      <c r="K127" s="1692">
        <f t="shared" si="14"/>
        <v>753876</v>
      </c>
      <c r="L127" s="1692">
        <f t="shared" si="14"/>
        <v>735375</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256348</v>
      </c>
      <c r="D129" s="1699">
        <f t="shared" ref="D129:L129" si="15">SUM(D120,D127,D128)</f>
        <v>63148</v>
      </c>
      <c r="E129" s="1699">
        <f t="shared" si="15"/>
        <v>93000</v>
      </c>
      <c r="F129" s="1699">
        <f t="shared" si="15"/>
        <v>341380</v>
      </c>
      <c r="G129" s="1699">
        <f t="shared" si="15"/>
        <v>0</v>
      </c>
      <c r="H129" s="1699">
        <f t="shared" si="15"/>
        <v>0</v>
      </c>
      <c r="I129" s="1699">
        <f t="shared" si="15"/>
        <v>0</v>
      </c>
      <c r="J129" s="1699">
        <f t="shared" si="15"/>
        <v>0</v>
      </c>
      <c r="K129" s="1699">
        <f t="shared" si="15"/>
        <v>753876</v>
      </c>
      <c r="L129" s="1699">
        <f t="shared" si="15"/>
        <v>735375</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1953</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2">
        <f>SUM(C129,C130,C139,C149,C150)</f>
        <v>256348</v>
      </c>
      <c r="D151" s="1692">
        <f t="shared" ref="D151:K151" si="16">SUM(D129,D130,D139,D149,D150)</f>
        <v>63148</v>
      </c>
      <c r="E151" s="1692">
        <f t="shared" si="16"/>
        <v>93000</v>
      </c>
      <c r="F151" s="1692">
        <f t="shared" si="16"/>
        <v>341380</v>
      </c>
      <c r="G151" s="1692">
        <f t="shared" si="16"/>
        <v>0</v>
      </c>
      <c r="H151" s="1692">
        <f t="shared" si="16"/>
        <v>0</v>
      </c>
      <c r="I151" s="1692">
        <f t="shared" si="16"/>
        <v>0</v>
      </c>
      <c r="J151" s="1692">
        <f t="shared" si="16"/>
        <v>0</v>
      </c>
      <c r="K151" s="1692">
        <f t="shared" si="16"/>
        <v>753876</v>
      </c>
      <c r="L151" s="1692">
        <f>SUM(L129,L130,L139,L149,L150)</f>
        <v>735375</v>
      </c>
    </row>
    <row r="152" spans="1:14" ht="12.75" customHeight="1" thickTop="1" x14ac:dyDescent="0.2">
      <c r="A152" s="2193" t="s">
        <v>1240</v>
      </c>
      <c r="B152" s="2194"/>
      <c r="C152" s="619"/>
      <c r="D152" s="619"/>
      <c r="E152" s="619"/>
      <c r="F152" s="619"/>
      <c r="G152" s="619"/>
      <c r="H152" s="619"/>
      <c r="I152" s="619"/>
      <c r="J152" s="617"/>
      <c r="K152" s="1706">
        <f>'Revenues 9-14'!D275-'Expenditures 15-22'!K151</f>
        <v>101269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163133</v>
      </c>
      <c r="I169" s="617"/>
      <c r="J169" s="617"/>
      <c r="K169" s="1693">
        <f>SUM(C169:H169)</f>
        <v>163133</v>
      </c>
      <c r="L169" s="657">
        <v>162307</v>
      </c>
    </row>
    <row r="170" spans="1:14" ht="33.75" customHeight="1" x14ac:dyDescent="0.2">
      <c r="A170" s="670" t="s">
        <v>1769</v>
      </c>
      <c r="B170" s="672" t="s">
        <v>31</v>
      </c>
      <c r="C170" s="617"/>
      <c r="D170" s="617"/>
      <c r="E170" s="617"/>
      <c r="F170" s="617"/>
      <c r="G170" s="617"/>
      <c r="H170" s="569">
        <v>605000</v>
      </c>
      <c r="I170" s="617"/>
      <c r="J170" s="617"/>
      <c r="K170" s="1693">
        <f>SUM(C170:J170)</f>
        <v>605000</v>
      </c>
      <c r="L170" s="569">
        <v>605000</v>
      </c>
    </row>
    <row r="171" spans="1:14" ht="15.75" customHeight="1" x14ac:dyDescent="0.2">
      <c r="A171" s="622" t="s">
        <v>790</v>
      </c>
      <c r="B171" s="673" t="s">
        <v>86</v>
      </c>
      <c r="C171" s="617"/>
      <c r="D171" s="617"/>
      <c r="E171" s="466"/>
      <c r="F171" s="617"/>
      <c r="G171" s="617"/>
      <c r="H171" s="569">
        <v>1000</v>
      </c>
      <c r="I171" s="477"/>
      <c r="J171" s="617"/>
      <c r="K171" s="1693">
        <f>SUM(C171:J171)</f>
        <v>1000</v>
      </c>
      <c r="L171" s="569">
        <v>1000</v>
      </c>
    </row>
    <row r="172" spans="1:14" ht="12.75" customHeight="1" thickBot="1" x14ac:dyDescent="0.25">
      <c r="A172" s="1690" t="s">
        <v>659</v>
      </c>
      <c r="B172" s="1691" t="s">
        <v>513</v>
      </c>
      <c r="C172" s="617"/>
      <c r="D172" s="617"/>
      <c r="E172" s="1699">
        <f>SUM(E168,E169,E170,E171)</f>
        <v>0</v>
      </c>
      <c r="F172" s="617"/>
      <c r="G172" s="617"/>
      <c r="H172" s="1699">
        <f>SUM(H168,H169,H170,H171)</f>
        <v>769133</v>
      </c>
      <c r="I172" s="639"/>
      <c r="J172" s="617"/>
      <c r="K172" s="1699">
        <f>SUM(K168,K169,K170,K171)</f>
        <v>769133</v>
      </c>
      <c r="L172" s="1699">
        <f>SUM(L168,L169,L170,L171)</f>
        <v>768307</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769133</v>
      </c>
      <c r="I174" s="639"/>
      <c r="J174" s="617"/>
      <c r="K174" s="1699">
        <f>SUM(K160,K172,K173)</f>
        <v>769133</v>
      </c>
      <c r="L174" s="1699">
        <f>SUM(L160,L172,L173)</f>
        <v>768307</v>
      </c>
    </row>
    <row r="175" spans="1:14" ht="13.5" thickTop="1" x14ac:dyDescent="0.2">
      <c r="A175" s="2200" t="s">
        <v>1053</v>
      </c>
      <c r="B175" s="2201"/>
      <c r="C175" s="617"/>
      <c r="D175" s="617"/>
      <c r="E175" s="617"/>
      <c r="F175" s="617"/>
      <c r="G175" s="617"/>
      <c r="H175" s="619"/>
      <c r="I175" s="617"/>
      <c r="J175" s="617"/>
      <c r="K175" s="1706">
        <f>'Revenues 9-14'!E275-'Expenditures 15-22'!K174</f>
        <v>-2197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226820</v>
      </c>
      <c r="D182" s="466">
        <v>51558</v>
      </c>
      <c r="E182" s="466">
        <v>144746</v>
      </c>
      <c r="F182" s="466">
        <v>48407</v>
      </c>
      <c r="G182" s="466"/>
      <c r="H182" s="466"/>
      <c r="I182" s="467"/>
      <c r="J182" s="467"/>
      <c r="K182" s="1693">
        <f>SUM(C182:J182)</f>
        <v>471531</v>
      </c>
      <c r="L182" s="466">
        <v>471305</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226820</v>
      </c>
      <c r="D184" s="1699">
        <f t="shared" ref="D184:J184" si="17">SUM(D180,D182,D183)</f>
        <v>51558</v>
      </c>
      <c r="E184" s="1699">
        <f t="shared" si="17"/>
        <v>144746</v>
      </c>
      <c r="F184" s="1699">
        <f t="shared" si="17"/>
        <v>48407</v>
      </c>
      <c r="G184" s="1699">
        <f t="shared" si="17"/>
        <v>0</v>
      </c>
      <c r="H184" s="1699">
        <f t="shared" si="17"/>
        <v>0</v>
      </c>
      <c r="I184" s="1699">
        <f t="shared" si="17"/>
        <v>0</v>
      </c>
      <c r="J184" s="1699">
        <f t="shared" si="17"/>
        <v>0</v>
      </c>
      <c r="K184" s="1699">
        <f>SUM(K180,K182,K183)</f>
        <v>471531</v>
      </c>
      <c r="L184" s="1699">
        <f>SUM(L180, L182:L183)</f>
        <v>471305</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226820</v>
      </c>
      <c r="D210" s="1692">
        <f>SUM(D184,D185)</f>
        <v>51558</v>
      </c>
      <c r="E210" s="1692">
        <f>SUM(E184,E185,E196)</f>
        <v>144746</v>
      </c>
      <c r="F210" s="1692">
        <f>SUM(F184,F185)</f>
        <v>48407</v>
      </c>
      <c r="G210" s="1692">
        <f>SUM(G184,G185)</f>
        <v>0</v>
      </c>
      <c r="H210" s="1692">
        <f>SUM(H184,H185,H196,H208,H209)</f>
        <v>0</v>
      </c>
      <c r="I210" s="1692">
        <f>SUM(I184,I185)</f>
        <v>0</v>
      </c>
      <c r="J210" s="1692">
        <f>SUM(J184,J185)</f>
        <v>0</v>
      </c>
      <c r="K210" s="1693">
        <f>SUM(K184,K185,K196,K208,K209)</f>
        <v>471531</v>
      </c>
      <c r="L210" s="1692">
        <f>SUM(L184,L185,L196,L208,L209)</f>
        <v>471305</v>
      </c>
    </row>
    <row r="211" spans="1:14" ht="13.5" thickTop="1" x14ac:dyDescent="0.2">
      <c r="A211" s="2200" t="s">
        <v>1053</v>
      </c>
      <c r="B211" s="2201"/>
      <c r="C211" s="619"/>
      <c r="D211" s="619"/>
      <c r="E211" s="619"/>
      <c r="F211" s="619"/>
      <c r="G211" s="619"/>
      <c r="H211" s="619"/>
      <c r="I211" s="617"/>
      <c r="J211" s="617"/>
      <c r="K211" s="1706">
        <f>'Revenues 9-14'!F275-'Expenditures 15-22'!K210</f>
        <v>95290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27848</v>
      </c>
      <c r="E215" s="617"/>
      <c r="F215" s="617"/>
      <c r="G215" s="617"/>
      <c r="H215" s="617"/>
      <c r="I215" s="617"/>
      <c r="J215" s="617"/>
      <c r="K215" s="1693">
        <f>D215</f>
        <v>27848</v>
      </c>
      <c r="L215" s="466">
        <v>28200</v>
      </c>
    </row>
    <row r="216" spans="1:14" x14ac:dyDescent="0.2">
      <c r="A216" s="1526" t="s">
        <v>165</v>
      </c>
      <c r="B216" s="615" t="s">
        <v>1024</v>
      </c>
      <c r="C216" s="617"/>
      <c r="D216" s="467">
        <v>7105</v>
      </c>
      <c r="E216" s="617"/>
      <c r="F216" s="617"/>
      <c r="G216" s="617"/>
      <c r="H216" s="617"/>
      <c r="I216" s="617"/>
      <c r="J216" s="617"/>
      <c r="K216" s="1693">
        <f t="shared" ref="K216:K228" si="19">D216</f>
        <v>7105</v>
      </c>
      <c r="L216" s="466">
        <v>7125</v>
      </c>
    </row>
    <row r="217" spans="1:14" x14ac:dyDescent="0.2">
      <c r="A217" s="1526" t="s">
        <v>166</v>
      </c>
      <c r="B217" s="615">
        <v>1200</v>
      </c>
      <c r="C217" s="617"/>
      <c r="D217" s="466">
        <v>58271</v>
      </c>
      <c r="E217" s="617"/>
      <c r="F217" s="617"/>
      <c r="G217" s="617"/>
      <c r="H217" s="617"/>
      <c r="I217" s="617"/>
      <c r="J217" s="617"/>
      <c r="K217" s="1693">
        <f t="shared" si="19"/>
        <v>58271</v>
      </c>
      <c r="L217" s="466">
        <v>58275</v>
      </c>
    </row>
    <row r="218" spans="1:14" x14ac:dyDescent="0.2">
      <c r="A218" s="1526" t="s">
        <v>296</v>
      </c>
      <c r="B218" s="615" t="s">
        <v>1025</v>
      </c>
      <c r="C218" s="617"/>
      <c r="D218" s="467">
        <v>3642</v>
      </c>
      <c r="E218" s="617"/>
      <c r="F218" s="617"/>
      <c r="G218" s="617"/>
      <c r="H218" s="617"/>
      <c r="I218" s="617"/>
      <c r="J218" s="617"/>
      <c r="K218" s="1693">
        <f t="shared" si="19"/>
        <v>3642</v>
      </c>
      <c r="L218" s="466">
        <v>3645</v>
      </c>
    </row>
    <row r="219" spans="1:14" x14ac:dyDescent="0.2">
      <c r="A219" s="1526" t="s">
        <v>297</v>
      </c>
      <c r="B219" s="615">
        <v>1250</v>
      </c>
      <c r="C219" s="617"/>
      <c r="D219" s="466">
        <v>32130</v>
      </c>
      <c r="E219" s="617"/>
      <c r="F219" s="617"/>
      <c r="G219" s="617"/>
      <c r="H219" s="617"/>
      <c r="I219" s="617"/>
      <c r="J219" s="617"/>
      <c r="K219" s="1693">
        <f t="shared" si="19"/>
        <v>32130</v>
      </c>
      <c r="L219" s="466">
        <v>31900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2511</v>
      </c>
      <c r="E222" s="617"/>
      <c r="F222" s="617"/>
      <c r="G222" s="617"/>
      <c r="H222" s="617"/>
      <c r="I222" s="617"/>
      <c r="J222" s="617"/>
      <c r="K222" s="1693">
        <f t="shared" si="19"/>
        <v>2511</v>
      </c>
      <c r="L222" s="466">
        <v>2460</v>
      </c>
    </row>
    <row r="223" spans="1:14" x14ac:dyDescent="0.2">
      <c r="A223" s="1526" t="s">
        <v>1020</v>
      </c>
      <c r="B223" s="615">
        <v>1500</v>
      </c>
      <c r="C223" s="617"/>
      <c r="D223" s="466">
        <v>8384</v>
      </c>
      <c r="E223" s="617"/>
      <c r="F223" s="617"/>
      <c r="G223" s="617"/>
      <c r="H223" s="617"/>
      <c r="I223" s="617"/>
      <c r="J223" s="617"/>
      <c r="K223" s="1693">
        <f t="shared" si="19"/>
        <v>8384</v>
      </c>
      <c r="L223" s="466">
        <v>6890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380</v>
      </c>
      <c r="E226" s="617"/>
      <c r="F226" s="617"/>
      <c r="G226" s="617"/>
      <c r="H226" s="617"/>
      <c r="I226" s="617"/>
      <c r="J226" s="617"/>
      <c r="K226" s="1693">
        <f t="shared" si="19"/>
        <v>380</v>
      </c>
      <c r="L226" s="466">
        <v>395</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140271</v>
      </c>
      <c r="E229" s="617"/>
      <c r="F229" s="617"/>
      <c r="G229" s="617"/>
      <c r="H229" s="617"/>
      <c r="I229" s="617"/>
      <c r="J229" s="617"/>
      <c r="K229" s="1692">
        <f>SUM(K215:K228)</f>
        <v>140271</v>
      </c>
      <c r="L229" s="1692">
        <f>SUM(L215:L228)</f>
        <v>138890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942</v>
      </c>
      <c r="E233" s="617"/>
      <c r="F233" s="617"/>
      <c r="G233" s="617"/>
      <c r="H233" s="617"/>
      <c r="I233" s="617"/>
      <c r="J233" s="617"/>
      <c r="K233" s="1693">
        <f t="shared" si="20"/>
        <v>942</v>
      </c>
      <c r="L233" s="466">
        <v>945</v>
      </c>
    </row>
    <row r="234" spans="1:12" x14ac:dyDescent="0.2">
      <c r="A234" s="1526" t="s">
        <v>207</v>
      </c>
      <c r="B234" s="615">
        <v>2130</v>
      </c>
      <c r="C234" s="617"/>
      <c r="D234" s="466">
        <v>8214</v>
      </c>
      <c r="E234" s="617"/>
      <c r="F234" s="617"/>
      <c r="G234" s="617"/>
      <c r="H234" s="617"/>
      <c r="I234" s="617"/>
      <c r="J234" s="617"/>
      <c r="K234" s="1693">
        <f t="shared" si="20"/>
        <v>8214</v>
      </c>
      <c r="L234" s="466">
        <v>8215</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1092</v>
      </c>
      <c r="E237" s="617"/>
      <c r="F237" s="617"/>
      <c r="G237" s="617"/>
      <c r="H237" s="617"/>
      <c r="I237" s="617"/>
      <c r="J237" s="617"/>
      <c r="K237" s="1693">
        <f t="shared" si="20"/>
        <v>1092</v>
      </c>
      <c r="L237" s="466">
        <v>1182</v>
      </c>
    </row>
    <row r="238" spans="1:12" ht="12.75" customHeight="1" thickBot="1" x14ac:dyDescent="0.25">
      <c r="A238" s="1690" t="s">
        <v>581</v>
      </c>
      <c r="B238" s="1697" t="s">
        <v>740</v>
      </c>
      <c r="C238" s="617"/>
      <c r="D238" s="1692">
        <f>SUM(D232:D237)</f>
        <v>10248</v>
      </c>
      <c r="E238" s="617"/>
      <c r="F238" s="617"/>
      <c r="G238" s="617"/>
      <c r="H238" s="617"/>
      <c r="I238" s="617"/>
      <c r="J238" s="617"/>
      <c r="K238" s="1692">
        <f>SUM(K232:K237)</f>
        <v>10248</v>
      </c>
      <c r="L238" s="1692">
        <f>SUM(L232:L237)</f>
        <v>10342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987</v>
      </c>
      <c r="E245" s="617"/>
      <c r="F245" s="617"/>
      <c r="G245" s="617"/>
      <c r="H245" s="617"/>
      <c r="I245" s="617"/>
      <c r="J245" s="617"/>
      <c r="K245" s="1694">
        <f>D245</f>
        <v>987</v>
      </c>
      <c r="L245" s="481">
        <v>1035</v>
      </c>
    </row>
    <row r="246" spans="1:12" x14ac:dyDescent="0.2">
      <c r="A246" s="1526" t="s">
        <v>872</v>
      </c>
      <c r="B246" s="615">
        <v>2320</v>
      </c>
      <c r="C246" s="617"/>
      <c r="D246" s="466">
        <v>10859</v>
      </c>
      <c r="E246" s="617"/>
      <c r="F246" s="617"/>
      <c r="G246" s="617"/>
      <c r="H246" s="617"/>
      <c r="I246" s="617"/>
      <c r="J246" s="617"/>
      <c r="K246" s="1694">
        <f t="shared" ref="K246:K256" si="21">D246</f>
        <v>10859</v>
      </c>
      <c r="L246" s="466">
        <v>10860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1905</v>
      </c>
      <c r="B249" s="684" t="s">
        <v>300</v>
      </c>
      <c r="C249" s="617"/>
      <c r="D249" s="474"/>
      <c r="E249" s="617"/>
      <c r="F249" s="617"/>
      <c r="G249" s="617"/>
      <c r="H249" s="617"/>
      <c r="I249" s="617"/>
      <c r="J249" s="617"/>
      <c r="K249" s="1694">
        <f t="shared" si="21"/>
        <v>0</v>
      </c>
      <c r="L249" s="466"/>
    </row>
    <row r="250" spans="1:12" x14ac:dyDescent="0.2">
      <c r="A250" s="1527" t="s">
        <v>1906</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11846</v>
      </c>
      <c r="E257" s="617"/>
      <c r="F257" s="617"/>
      <c r="G257" s="617"/>
      <c r="H257" s="617"/>
      <c r="I257" s="617"/>
      <c r="J257" s="617"/>
      <c r="K257" s="1692">
        <f>SUM(K245:K256)</f>
        <v>11846</v>
      </c>
      <c r="L257" s="1692">
        <f>SUM(L245:L256)</f>
        <v>11895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49741</v>
      </c>
      <c r="E259" s="617"/>
      <c r="F259" s="617"/>
      <c r="G259" s="617"/>
      <c r="H259" s="617"/>
      <c r="I259" s="617"/>
      <c r="J259" s="617"/>
      <c r="K259" s="1694">
        <f>D259</f>
        <v>49741</v>
      </c>
      <c r="L259" s="481">
        <v>49795</v>
      </c>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49741</v>
      </c>
      <c r="E261" s="617"/>
      <c r="F261" s="617"/>
      <c r="G261" s="617"/>
      <c r="H261" s="617"/>
      <c r="I261" s="617"/>
      <c r="J261" s="617"/>
      <c r="K261" s="1692">
        <f>SUM(K259:K260)</f>
        <v>49741</v>
      </c>
      <c r="L261" s="1692">
        <f>SUM(L259:L260)</f>
        <v>49795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19316</v>
      </c>
      <c r="E264" s="617"/>
      <c r="F264" s="617"/>
      <c r="G264" s="617"/>
      <c r="H264" s="617"/>
      <c r="I264" s="617"/>
      <c r="J264" s="617"/>
      <c r="K264" s="1694">
        <f t="shared" ref="K264:K269" si="22">D264</f>
        <v>19316</v>
      </c>
      <c r="L264" s="466">
        <v>19100</v>
      </c>
    </row>
    <row r="265" spans="1:14" x14ac:dyDescent="0.2">
      <c r="A265" s="1526" t="s">
        <v>4</v>
      </c>
      <c r="B265" s="615">
        <v>2530</v>
      </c>
      <c r="C265" s="617"/>
      <c r="D265" s="466"/>
      <c r="E265" s="617"/>
      <c r="F265" s="617"/>
      <c r="G265" s="617"/>
      <c r="H265" s="617"/>
      <c r="I265" s="617"/>
      <c r="J265" s="617"/>
      <c r="K265" s="1694">
        <f t="shared" si="22"/>
        <v>0</v>
      </c>
      <c r="L265" s="466">
        <v>19320</v>
      </c>
    </row>
    <row r="266" spans="1:14" x14ac:dyDescent="0.2">
      <c r="A266" s="1526" t="s">
        <v>206</v>
      </c>
      <c r="B266" s="615">
        <v>2540</v>
      </c>
      <c r="C266" s="617"/>
      <c r="D266" s="466">
        <v>73771</v>
      </c>
      <c r="E266" s="617"/>
      <c r="F266" s="617"/>
      <c r="G266" s="617"/>
      <c r="H266" s="617"/>
      <c r="I266" s="617"/>
      <c r="J266" s="617"/>
      <c r="K266" s="1694">
        <f t="shared" si="22"/>
        <v>73771</v>
      </c>
      <c r="L266" s="466">
        <v>73290</v>
      </c>
    </row>
    <row r="267" spans="1:14" x14ac:dyDescent="0.2">
      <c r="A267" s="1526" t="s">
        <v>1010</v>
      </c>
      <c r="B267" s="615">
        <v>2550</v>
      </c>
      <c r="C267" s="617"/>
      <c r="D267" s="466">
        <v>49668</v>
      </c>
      <c r="E267" s="617"/>
      <c r="F267" s="617"/>
      <c r="G267" s="617"/>
      <c r="H267" s="617"/>
      <c r="I267" s="617"/>
      <c r="J267" s="617"/>
      <c r="K267" s="1694">
        <f t="shared" si="22"/>
        <v>49668</v>
      </c>
      <c r="L267" s="466">
        <v>50045</v>
      </c>
    </row>
    <row r="268" spans="1:14" x14ac:dyDescent="0.2">
      <c r="A268" s="1526" t="s">
        <v>102</v>
      </c>
      <c r="B268" s="615">
        <v>2560</v>
      </c>
      <c r="C268" s="617"/>
      <c r="D268" s="466">
        <v>39197</v>
      </c>
      <c r="E268" s="617"/>
      <c r="F268" s="617"/>
      <c r="G268" s="617"/>
      <c r="H268" s="617"/>
      <c r="I268" s="617"/>
      <c r="J268" s="617"/>
      <c r="K268" s="1694">
        <f t="shared" si="22"/>
        <v>39197</v>
      </c>
      <c r="L268" s="466">
        <v>39740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181952</v>
      </c>
      <c r="E270" s="617"/>
      <c r="F270" s="617"/>
      <c r="G270" s="617"/>
      <c r="H270" s="617"/>
      <c r="I270" s="617"/>
      <c r="J270" s="617"/>
      <c r="K270" s="1692">
        <f>SUM(K263:K269)</f>
        <v>181952</v>
      </c>
      <c r="L270" s="1692">
        <f>SUM(L263:L269)</f>
        <v>201495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253787</v>
      </c>
      <c r="E279" s="617"/>
      <c r="F279" s="617"/>
      <c r="G279" s="617"/>
      <c r="H279" s="617"/>
      <c r="I279" s="617"/>
      <c r="J279" s="617"/>
      <c r="K279" s="1699">
        <f>SUM(K238,K243,K257,K261,K270,K277,K278)</f>
        <v>253787</v>
      </c>
      <c r="L279" s="1699">
        <f>SUM(L238,L243,L257,L261,L270,L277,L278)</f>
        <v>273527</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1953</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394058</v>
      </c>
      <c r="E295" s="617"/>
      <c r="F295" s="617"/>
      <c r="G295" s="617"/>
      <c r="H295" s="1692">
        <f>H293</f>
        <v>0</v>
      </c>
      <c r="I295" s="617"/>
      <c r="J295" s="617"/>
      <c r="K295" s="1692">
        <f>SUM(K229,K279,K280,K285,K293,K294)</f>
        <v>394058</v>
      </c>
      <c r="L295" s="1692">
        <f>SUM(L229,L279,L280,L285,L293,L294)</f>
        <v>412417</v>
      </c>
    </row>
    <row r="296" spans="1:14" ht="13.5" thickTop="1" x14ac:dyDescent="0.2">
      <c r="A296" s="2200" t="s">
        <v>1053</v>
      </c>
      <c r="B296" s="2201"/>
      <c r="C296" s="617"/>
      <c r="D296" s="619"/>
      <c r="E296" s="617"/>
      <c r="F296" s="617"/>
      <c r="G296" s="617"/>
      <c r="H296" s="688"/>
      <c r="I296" s="617"/>
      <c r="J296" s="617"/>
      <c r="K296" s="1706">
        <f>'Revenues 9-14'!G275-'Expenditures 15-22'!K295</f>
        <v>-4788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524</v>
      </c>
      <c r="F301" s="466"/>
      <c r="G301" s="466"/>
      <c r="H301" s="466"/>
      <c r="I301" s="467"/>
      <c r="J301" s="467"/>
      <c r="K301" s="1693">
        <f>SUM(C301:J301)</f>
        <v>524</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524</v>
      </c>
      <c r="F303" s="1699">
        <f t="shared" si="23"/>
        <v>0</v>
      </c>
      <c r="G303" s="1699">
        <f t="shared" si="23"/>
        <v>0</v>
      </c>
      <c r="H303" s="1699">
        <f t="shared" si="23"/>
        <v>0</v>
      </c>
      <c r="I303" s="1699">
        <f t="shared" si="23"/>
        <v>0</v>
      </c>
      <c r="J303" s="1699">
        <f t="shared" si="23"/>
        <v>0</v>
      </c>
      <c r="K303" s="1699">
        <f t="shared" si="23"/>
        <v>524</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524</v>
      </c>
      <c r="F312" s="1692">
        <f>SUM(F303)</f>
        <v>0</v>
      </c>
      <c r="G312" s="1692">
        <f>SUM(G303)</f>
        <v>0</v>
      </c>
      <c r="H312" s="1692">
        <f>SUM(H303,H310)</f>
        <v>0</v>
      </c>
      <c r="I312" s="1692">
        <f>SUM(I303)</f>
        <v>0</v>
      </c>
      <c r="J312" s="1692">
        <f>SUM(J303)</f>
        <v>0</v>
      </c>
      <c r="K312" s="1692">
        <f>SUM(K303,K310,K311)</f>
        <v>524</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300</v>
      </c>
      <c r="C320" s="467"/>
      <c r="D320" s="467"/>
      <c r="E320" s="467">
        <v>68308</v>
      </c>
      <c r="F320" s="467"/>
      <c r="G320" s="467"/>
      <c r="H320" s="467"/>
      <c r="I320" s="467"/>
      <c r="J320" s="467"/>
      <c r="K320" s="1693">
        <f t="shared" ref="K320:K327" si="24">SUM(C320:J320)</f>
        <v>68308</v>
      </c>
      <c r="L320" s="467">
        <v>68308</v>
      </c>
      <c r="M320" s="666"/>
      <c r="N320" s="666"/>
    </row>
    <row r="321" spans="1:14" s="675" customFormat="1" x14ac:dyDescent="0.2">
      <c r="A321" s="1541" t="s">
        <v>318</v>
      </c>
      <c r="B321" s="698" t="s">
        <v>301</v>
      </c>
      <c r="C321" s="467"/>
      <c r="D321" s="467"/>
      <c r="E321" s="467">
        <v>26191</v>
      </c>
      <c r="F321" s="467"/>
      <c r="G321" s="467"/>
      <c r="H321" s="467"/>
      <c r="I321" s="467"/>
      <c r="J321" s="467"/>
      <c r="K321" s="1693">
        <f t="shared" si="24"/>
        <v>26191</v>
      </c>
      <c r="L321" s="467">
        <v>32690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269914</v>
      </c>
      <c r="D325" s="467"/>
      <c r="E325" s="467">
        <v>9378</v>
      </c>
      <c r="F325" s="467">
        <v>4186</v>
      </c>
      <c r="G325" s="467"/>
      <c r="H325" s="467"/>
      <c r="I325" s="467"/>
      <c r="J325" s="467"/>
      <c r="K325" s="1693">
        <f t="shared" si="24"/>
        <v>283478</v>
      </c>
      <c r="L325" s="467">
        <v>278450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2937</v>
      </c>
      <c r="F327" s="467"/>
      <c r="G327" s="467"/>
      <c r="H327" s="467"/>
      <c r="I327" s="467"/>
      <c r="J327" s="467"/>
      <c r="K327" s="1693">
        <f t="shared" si="24"/>
        <v>2937</v>
      </c>
      <c r="L327" s="467">
        <v>4000</v>
      </c>
      <c r="M327" s="666"/>
      <c r="N327" s="666"/>
    </row>
    <row r="328" spans="1:14" s="675" customFormat="1" x14ac:dyDescent="0.2">
      <c r="A328" s="1542" t="s">
        <v>492</v>
      </c>
      <c r="B328" s="691" t="s">
        <v>1194</v>
      </c>
      <c r="C328" s="474"/>
      <c r="D328" s="474"/>
      <c r="E328" s="474">
        <v>86992</v>
      </c>
      <c r="F328" s="474"/>
      <c r="G328" s="474"/>
      <c r="H328" s="474"/>
      <c r="I328" s="474"/>
      <c r="J328" s="474"/>
      <c r="K328" s="1721">
        <f>SUM(C328:J328)</f>
        <v>86992</v>
      </c>
      <c r="L328" s="474">
        <v>86062</v>
      </c>
      <c r="M328" s="666"/>
      <c r="N328" s="666"/>
    </row>
    <row r="329" spans="1:14" s="675" customFormat="1" x14ac:dyDescent="0.2">
      <c r="A329" s="1542" t="s">
        <v>1195</v>
      </c>
      <c r="B329" s="691" t="s">
        <v>1196</v>
      </c>
      <c r="C329" s="474"/>
      <c r="D329" s="474"/>
      <c r="E329" s="474">
        <v>7761</v>
      </c>
      <c r="F329" s="474"/>
      <c r="G329" s="474"/>
      <c r="H329" s="474"/>
      <c r="I329" s="474"/>
      <c r="J329" s="474"/>
      <c r="K329" s="1721">
        <f>SUM(C329:J329)</f>
        <v>7761</v>
      </c>
      <c r="L329" s="474">
        <v>7761</v>
      </c>
      <c r="M329" s="666"/>
      <c r="N329" s="666"/>
    </row>
    <row r="330" spans="1:14" s="675" customFormat="1" ht="12.75" customHeight="1" thickBot="1" x14ac:dyDescent="0.25">
      <c r="A330" s="1722" t="s">
        <v>741</v>
      </c>
      <c r="B330" s="1691" t="s">
        <v>590</v>
      </c>
      <c r="C330" s="1692">
        <f>SUM(C319:C329)</f>
        <v>269914</v>
      </c>
      <c r="D330" s="1692">
        <f t="shared" ref="D330:J330" si="25">SUM(D319:D329)</f>
        <v>0</v>
      </c>
      <c r="E330" s="1692">
        <f t="shared" si="25"/>
        <v>201567</v>
      </c>
      <c r="F330" s="1692">
        <f t="shared" si="25"/>
        <v>4186</v>
      </c>
      <c r="G330" s="1692">
        <f t="shared" si="25"/>
        <v>0</v>
      </c>
      <c r="H330" s="1692">
        <f t="shared" si="25"/>
        <v>0</v>
      </c>
      <c r="I330" s="1692">
        <f t="shared" si="25"/>
        <v>0</v>
      </c>
      <c r="J330" s="1692">
        <f t="shared" si="25"/>
        <v>0</v>
      </c>
      <c r="K330" s="1692">
        <f>SUM(K319:K329)</f>
        <v>475667</v>
      </c>
      <c r="L330" s="1692">
        <f>SUM(L319:L329)</f>
        <v>477271</v>
      </c>
      <c r="M330" s="666"/>
      <c r="N330" s="666"/>
    </row>
    <row r="331" spans="1:14" s="675" customFormat="1" ht="12.75" customHeight="1" thickTop="1" x14ac:dyDescent="0.2">
      <c r="A331" s="1854" t="s">
        <v>1959</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269914</v>
      </c>
      <c r="D342" s="1692">
        <f>SUM(D330)</f>
        <v>0</v>
      </c>
      <c r="E342" s="1692">
        <f>SUM(E330)</f>
        <v>201567</v>
      </c>
      <c r="F342" s="1692">
        <f>SUM(F330)</f>
        <v>4186</v>
      </c>
      <c r="G342" s="1692">
        <f>SUM(G330)</f>
        <v>0</v>
      </c>
      <c r="H342" s="1692">
        <f>SUM(H330,H334,H340)</f>
        <v>0</v>
      </c>
      <c r="I342" s="1692">
        <f>SUM(I330)</f>
        <v>0</v>
      </c>
      <c r="J342" s="1692">
        <f>SUM(J330)</f>
        <v>0</v>
      </c>
      <c r="K342" s="1692">
        <f>SUM(K330,K334,K340)</f>
        <v>475667</v>
      </c>
      <c r="L342" s="1699">
        <f>SUM(L330,L340,L341)</f>
        <v>477271</v>
      </c>
    </row>
    <row r="343" spans="1:14" ht="12.75" customHeight="1" thickTop="1" x14ac:dyDescent="0.2">
      <c r="A343" s="2186" t="s">
        <v>1053</v>
      </c>
      <c r="B343" s="2187"/>
      <c r="C343" s="617"/>
      <c r="D343" s="617"/>
      <c r="E343" s="617"/>
      <c r="F343" s="617"/>
      <c r="G343" s="617"/>
      <c r="H343" s="617"/>
      <c r="I343" s="617"/>
      <c r="J343" s="617"/>
      <c r="K343" s="1706">
        <f>'Revenues 9-14'!J275-'Expenditures 15-22'!K342</f>
        <v>73199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14623</v>
      </c>
      <c r="F348" s="466"/>
      <c r="G348" s="466">
        <v>844988</v>
      </c>
      <c r="H348" s="466"/>
      <c r="I348" s="467"/>
      <c r="J348" s="467"/>
      <c r="K348" s="1693">
        <f>SUM(C348:J348)</f>
        <v>859611</v>
      </c>
      <c r="L348" s="466">
        <v>1500000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14623</v>
      </c>
      <c r="F350" s="1692">
        <f t="shared" si="26"/>
        <v>0</v>
      </c>
      <c r="G350" s="1692">
        <f t="shared" si="26"/>
        <v>844988</v>
      </c>
      <c r="H350" s="1692">
        <f t="shared" si="26"/>
        <v>0</v>
      </c>
      <c r="I350" s="1692">
        <f t="shared" si="26"/>
        <v>0</v>
      </c>
      <c r="J350" s="1692">
        <f t="shared" si="26"/>
        <v>0</v>
      </c>
      <c r="K350" s="1692">
        <f t="shared" si="26"/>
        <v>859611</v>
      </c>
      <c r="L350" s="1692">
        <f t="shared" si="26"/>
        <v>1500000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14623</v>
      </c>
      <c r="F352" s="1692">
        <f t="shared" si="27"/>
        <v>0</v>
      </c>
      <c r="G352" s="1692">
        <f t="shared" si="27"/>
        <v>844988</v>
      </c>
      <c r="H352" s="1692">
        <f t="shared" si="27"/>
        <v>0</v>
      </c>
      <c r="I352" s="1692">
        <f t="shared" si="27"/>
        <v>0</v>
      </c>
      <c r="J352" s="1692">
        <f t="shared" si="27"/>
        <v>0</v>
      </c>
      <c r="K352" s="1692">
        <f t="shared" si="27"/>
        <v>859611</v>
      </c>
      <c r="L352" s="1692">
        <f t="shared" si="27"/>
        <v>1500000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14623</v>
      </c>
      <c r="F367" s="1692">
        <f t="shared" si="28"/>
        <v>0</v>
      </c>
      <c r="G367" s="1692">
        <f t="shared" si="28"/>
        <v>844988</v>
      </c>
      <c r="H367" s="1692">
        <f t="shared" si="28"/>
        <v>0</v>
      </c>
      <c r="I367" s="1692">
        <f t="shared" si="28"/>
        <v>0</v>
      </c>
      <c r="J367" s="1692">
        <f t="shared" si="28"/>
        <v>0</v>
      </c>
      <c r="K367" s="1692">
        <f t="shared" si="28"/>
        <v>859611</v>
      </c>
      <c r="L367" s="1692">
        <f t="shared" si="28"/>
        <v>1500000</v>
      </c>
    </row>
    <row r="368" spans="1:14" ht="13.5" thickTop="1" x14ac:dyDescent="0.2">
      <c r="A368" s="2200" t="s">
        <v>1053</v>
      </c>
      <c r="B368" s="2201"/>
      <c r="C368" s="655"/>
      <c r="D368" s="655"/>
      <c r="E368" s="627"/>
      <c r="F368" s="627"/>
      <c r="G368" s="627"/>
      <c r="H368" s="627"/>
      <c r="I368" s="627"/>
      <c r="J368" s="624"/>
      <c r="K368" s="1693">
        <f>'Revenues 9-14'!K275-'Expenditures 15-22'!K367</f>
        <v>-827658</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1902</v>
      </c>
      <c r="B2" s="1550" t="s">
        <v>2032</v>
      </c>
      <c r="C2" s="715" t="s">
        <v>1907</v>
      </c>
      <c r="D2" s="715" t="s">
        <v>1908</v>
      </c>
      <c r="E2" s="715" t="s">
        <v>1909</v>
      </c>
      <c r="F2" s="715" t="s">
        <v>1910</v>
      </c>
    </row>
    <row r="3" spans="1:6" ht="12" customHeight="1" x14ac:dyDescent="0.2">
      <c r="A3" s="2203"/>
      <c r="B3" s="1547"/>
      <c r="C3" s="1548"/>
      <c r="D3" s="1549" t="s">
        <v>274</v>
      </c>
      <c r="E3" s="1548"/>
      <c r="F3" s="1549" t="s">
        <v>275</v>
      </c>
    </row>
    <row r="4" spans="1:6" ht="13.7" customHeight="1" x14ac:dyDescent="0.2">
      <c r="A4" s="716" t="s">
        <v>1217</v>
      </c>
      <c r="B4" s="1771">
        <f>'Revenues 9-14'!C5</f>
        <v>1276890</v>
      </c>
      <c r="C4" s="1546"/>
      <c r="D4" s="1774">
        <f>B4-C4</f>
        <v>1276890</v>
      </c>
      <c r="E4" s="1546">
        <v>1343942</v>
      </c>
      <c r="F4" s="1774">
        <f>E4-C4</f>
        <v>1343942</v>
      </c>
    </row>
    <row r="5" spans="1:6" ht="13.7" customHeight="1" x14ac:dyDescent="0.2">
      <c r="A5" s="716" t="s">
        <v>925</v>
      </c>
      <c r="B5" s="1772">
        <f>'Revenues 9-14'!D5</f>
        <v>319224</v>
      </c>
      <c r="C5" s="585"/>
      <c r="D5" s="1775">
        <f t="shared" ref="D5:D18" si="0">B5-C5</f>
        <v>319224</v>
      </c>
      <c r="E5" s="585">
        <v>335986</v>
      </c>
      <c r="F5" s="1775">
        <f>E5-C5</f>
        <v>335986</v>
      </c>
    </row>
    <row r="6" spans="1:6" ht="13.7" customHeight="1" x14ac:dyDescent="0.2">
      <c r="A6" s="716" t="s">
        <v>431</v>
      </c>
      <c r="B6" s="1772">
        <f>'Revenues 9-14'!E5</f>
        <v>766208</v>
      </c>
      <c r="C6" s="585"/>
      <c r="D6" s="1775">
        <f t="shared" si="0"/>
        <v>766208</v>
      </c>
      <c r="E6" s="585">
        <v>628871</v>
      </c>
      <c r="F6" s="1775">
        <f t="shared" ref="F6:F18" si="1">E6-C6</f>
        <v>628871</v>
      </c>
    </row>
    <row r="7" spans="1:6" ht="13.7" customHeight="1" x14ac:dyDescent="0.2">
      <c r="A7" s="716" t="s">
        <v>157</v>
      </c>
      <c r="B7" s="1772">
        <f>'Revenues 9-14'!F5</f>
        <v>127691</v>
      </c>
      <c r="C7" s="585"/>
      <c r="D7" s="1775">
        <f t="shared" si="0"/>
        <v>127691</v>
      </c>
      <c r="E7" s="585">
        <v>134394</v>
      </c>
      <c r="F7" s="1775">
        <f t="shared" si="1"/>
        <v>134394</v>
      </c>
    </row>
    <row r="8" spans="1:6" ht="13.7" customHeight="1" x14ac:dyDescent="0.2">
      <c r="A8" s="716" t="s">
        <v>1241</v>
      </c>
      <c r="B8" s="1772">
        <f>'Revenues 9-14'!G5</f>
        <v>174474</v>
      </c>
      <c r="C8" s="585"/>
      <c r="D8" s="1775">
        <f t="shared" si="0"/>
        <v>174474</v>
      </c>
      <c r="E8" s="585">
        <v>175001</v>
      </c>
      <c r="F8" s="1775">
        <f t="shared" si="1"/>
        <v>175001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31923</v>
      </c>
      <c r="C10" s="585"/>
      <c r="D10" s="1775">
        <f t="shared" si="0"/>
        <v>31923</v>
      </c>
      <c r="E10" s="585">
        <v>33599</v>
      </c>
      <c r="F10" s="1775">
        <f t="shared" si="1"/>
        <v>33599</v>
      </c>
    </row>
    <row r="11" spans="1:6" x14ac:dyDescent="0.2">
      <c r="A11" s="716" t="s">
        <v>429</v>
      </c>
      <c r="B11" s="1772">
        <f>'Revenues 9-14'!J5</f>
        <v>548345</v>
      </c>
      <c r="C11" s="585"/>
      <c r="D11" s="1775">
        <f t="shared" si="0"/>
        <v>548345</v>
      </c>
      <c r="E11" s="585">
        <v>550002</v>
      </c>
      <c r="F11" s="1775">
        <f t="shared" si="1"/>
        <v>550002</v>
      </c>
    </row>
    <row r="12" spans="1:6" ht="13.7" customHeight="1" x14ac:dyDescent="0.2">
      <c r="A12" s="716" t="s">
        <v>159</v>
      </c>
      <c r="B12" s="1772">
        <f>'Revenues 9-14'!K5</f>
        <v>31923</v>
      </c>
      <c r="C12" s="585"/>
      <c r="D12" s="1775">
        <f t="shared" si="0"/>
        <v>31923</v>
      </c>
      <c r="E12" s="585">
        <v>33599</v>
      </c>
      <c r="F12" s="1775">
        <f t="shared" si="1"/>
        <v>33599</v>
      </c>
    </row>
    <row r="13" spans="1:6" ht="13.7" customHeight="1" x14ac:dyDescent="0.2">
      <c r="A13" s="716" t="s">
        <v>993</v>
      </c>
      <c r="B13" s="1772">
        <f>SUM('Revenues 9-14'!C6:D6)</f>
        <v>51784</v>
      </c>
      <c r="C13" s="585"/>
      <c r="D13" s="1775">
        <f t="shared" si="0"/>
        <v>51784</v>
      </c>
      <c r="E13" s="585">
        <v>55310</v>
      </c>
      <c r="F13" s="1775">
        <f t="shared" si="1"/>
        <v>55310</v>
      </c>
    </row>
    <row r="14" spans="1:6" ht="13.7" customHeight="1" x14ac:dyDescent="0.2">
      <c r="A14" s="716" t="s">
        <v>430</v>
      </c>
      <c r="B14" s="1772">
        <f>SUM('Revenues 9-14'!C7:D7,'Revenues 9-14'!F7:H7)</f>
        <v>25539</v>
      </c>
      <c r="C14" s="585"/>
      <c r="D14" s="1775">
        <f t="shared" si="0"/>
        <v>25539</v>
      </c>
      <c r="E14" s="585">
        <v>26879</v>
      </c>
      <c r="F14" s="1775">
        <f t="shared" si="1"/>
        <v>26879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209370</v>
      </c>
      <c r="C16" s="585"/>
      <c r="D16" s="1775">
        <f t="shared" si="0"/>
        <v>209370</v>
      </c>
      <c r="E16" s="585">
        <v>210004</v>
      </c>
      <c r="F16" s="1775">
        <f t="shared" si="1"/>
        <v>210004</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3563371</v>
      </c>
      <c r="C19" s="1773">
        <f>SUM(C4:C18)</f>
        <v>0</v>
      </c>
      <c r="D19" s="1773">
        <f>SUM(D4:D18)</f>
        <v>3563371</v>
      </c>
      <c r="E19" s="1773">
        <f>SUM(E4:E18)</f>
        <v>3527587</v>
      </c>
      <c r="F19" s="1773">
        <f>SUM(F4:F18)</f>
        <v>3527587</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1902</v>
      </c>
      <c r="B2" s="2218"/>
      <c r="C2" s="1909" t="s">
        <v>2033</v>
      </c>
      <c r="D2" s="724" t="s">
        <v>2040</v>
      </c>
      <c r="E2" s="724" t="s">
        <v>2041</v>
      </c>
      <c r="F2" s="1909" t="s">
        <v>2034</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2035</v>
      </c>
      <c r="F30" s="1910" t="s">
        <v>2036</v>
      </c>
      <c r="G30" s="1910" t="s">
        <v>2039</v>
      </c>
      <c r="H30" s="1910" t="s">
        <v>2037</v>
      </c>
      <c r="I30" s="1910" t="s">
        <v>2038</v>
      </c>
      <c r="J30" s="1911" t="s">
        <v>2</v>
      </c>
      <c r="K30" s="732"/>
    </row>
    <row r="31" spans="1:11" ht="12" customHeight="1" x14ac:dyDescent="0.2">
      <c r="A31" s="733" t="s">
        <v>2091</v>
      </c>
      <c r="B31" s="734">
        <v>41699</v>
      </c>
      <c r="C31" s="735">
        <v>1130000</v>
      </c>
      <c r="D31" s="736" t="s">
        <v>2095</v>
      </c>
      <c r="E31" s="735">
        <v>545000</v>
      </c>
      <c r="F31" s="735"/>
      <c r="G31" s="735"/>
      <c r="H31" s="735">
        <v>545000</v>
      </c>
      <c r="I31" s="1778">
        <f>((E31+F31)-H31)+G31</f>
        <v>0</v>
      </c>
      <c r="J31" s="735"/>
      <c r="K31" s="737"/>
    </row>
    <row r="32" spans="1:11" ht="12" customHeight="1" x14ac:dyDescent="0.2">
      <c r="A32" s="733" t="s">
        <v>2092</v>
      </c>
      <c r="B32" s="734">
        <v>41699</v>
      </c>
      <c r="C32" s="735">
        <v>250000</v>
      </c>
      <c r="D32" s="736">
        <v>4</v>
      </c>
      <c r="E32" s="735">
        <v>250000</v>
      </c>
      <c r="F32" s="735"/>
      <c r="G32" s="735"/>
      <c r="H32" s="735">
        <v>60000</v>
      </c>
      <c r="I32" s="1778">
        <f>((E32+F32)-H32)+G32</f>
        <v>190000</v>
      </c>
      <c r="J32" s="735">
        <v>77481</v>
      </c>
      <c r="K32" s="737"/>
    </row>
    <row r="33" spans="1:11" ht="12" customHeight="1" x14ac:dyDescent="0.2">
      <c r="A33" s="733" t="s">
        <v>2093</v>
      </c>
      <c r="B33" s="734">
        <v>42429</v>
      </c>
      <c r="C33" s="735">
        <v>195000</v>
      </c>
      <c r="D33" s="736">
        <v>1</v>
      </c>
      <c r="E33" s="735">
        <v>195000</v>
      </c>
      <c r="F33" s="735"/>
      <c r="G33" s="735"/>
      <c r="H33" s="735"/>
      <c r="I33" s="1778">
        <f t="shared" ref="I33:I48" si="1">((E33+F33)-H33)+G33</f>
        <v>195000</v>
      </c>
      <c r="J33" s="735">
        <v>195000</v>
      </c>
      <c r="K33" s="737"/>
    </row>
    <row r="34" spans="1:11" ht="12" customHeight="1" x14ac:dyDescent="0.2">
      <c r="A34" s="733" t="s">
        <v>2094</v>
      </c>
      <c r="B34" s="734">
        <v>42429</v>
      </c>
      <c r="C34" s="735">
        <v>3800000</v>
      </c>
      <c r="D34" s="736">
        <v>4</v>
      </c>
      <c r="E34" s="735">
        <v>3800000</v>
      </c>
      <c r="F34" s="735"/>
      <c r="G34" s="735"/>
      <c r="H34" s="735"/>
      <c r="I34" s="1778">
        <f t="shared" si="1"/>
        <v>3800000</v>
      </c>
      <c r="J34" s="735">
        <v>3800000</v>
      </c>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5375000</v>
      </c>
      <c r="D49" s="746"/>
      <c r="E49" s="1778">
        <f t="shared" ref="E49:J49" si="2">SUM(E31:E48)</f>
        <v>4790000</v>
      </c>
      <c r="F49" s="1778">
        <f t="shared" si="2"/>
        <v>0</v>
      </c>
      <c r="G49" s="1778">
        <f t="shared" si="2"/>
        <v>0</v>
      </c>
      <c r="H49" s="1778">
        <f t="shared" si="2"/>
        <v>605000</v>
      </c>
      <c r="I49" s="1778">
        <f t="shared" si="2"/>
        <v>4185000</v>
      </c>
      <c r="J49" s="1778">
        <f t="shared" si="2"/>
        <v>4072481</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1916</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25539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4858</v>
      </c>
    </row>
    <row r="8" spans="1:11" x14ac:dyDescent="0.2">
      <c r="A8" s="779" t="s">
        <v>363</v>
      </c>
      <c r="B8" s="780"/>
      <c r="C8" s="780"/>
      <c r="D8" s="780"/>
      <c r="E8" s="781"/>
      <c r="F8" s="771" t="s">
        <v>906</v>
      </c>
      <c r="G8" s="783"/>
      <c r="H8" s="783"/>
      <c r="I8" s="783"/>
      <c r="J8" s="766">
        <v>524</v>
      </c>
      <c r="K8" s="770"/>
    </row>
    <row r="9" spans="1:11" x14ac:dyDescent="0.2">
      <c r="A9" s="779" t="s">
        <v>140</v>
      </c>
      <c r="B9" s="780"/>
      <c r="C9" s="780"/>
      <c r="D9" s="780"/>
      <c r="E9" s="781"/>
      <c r="F9" s="778" t="s">
        <v>908</v>
      </c>
      <c r="G9" s="783"/>
      <c r="H9" s="772"/>
      <c r="I9" s="772"/>
      <c r="J9" s="782"/>
      <c r="K9" s="766">
        <v>14587</v>
      </c>
    </row>
    <row r="10" spans="1:11" x14ac:dyDescent="0.2">
      <c r="A10" s="2260" t="s">
        <v>1917</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25539</v>
      </c>
      <c r="I12" s="1780">
        <f>SUM(I5:I11)</f>
        <v>0</v>
      </c>
      <c r="J12" s="1780">
        <f>SUM(J5:J11)</f>
        <v>524</v>
      </c>
      <c r="K12" s="1780">
        <f>SUM(K5:K11)</f>
        <v>19445</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25539</v>
      </c>
      <c r="I14" s="772"/>
      <c r="J14" s="774"/>
      <c r="K14" s="766">
        <v>19445</v>
      </c>
    </row>
    <row r="15" spans="1:11" x14ac:dyDescent="0.2">
      <c r="A15" s="2233" t="s">
        <v>4</v>
      </c>
      <c r="B15" s="2233"/>
      <c r="C15" s="2233"/>
      <c r="D15" s="2233"/>
      <c r="E15" s="2261"/>
      <c r="F15" s="790" t="s">
        <v>910</v>
      </c>
      <c r="G15" s="772"/>
      <c r="H15" s="765"/>
      <c r="I15" s="765"/>
      <c r="J15" s="766">
        <v>524</v>
      </c>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1913</v>
      </c>
      <c r="B19" s="2268"/>
      <c r="C19" s="2268"/>
      <c r="D19" s="2268"/>
      <c r="E19" s="2269"/>
      <c r="F19" s="790" t="s">
        <v>990</v>
      </c>
      <c r="G19" s="783"/>
      <c r="H19" s="783"/>
      <c r="I19" s="783"/>
      <c r="J19" s="766"/>
      <c r="K19" s="796"/>
    </row>
    <row r="20" spans="1:11" x14ac:dyDescent="0.2">
      <c r="A20" s="2247" t="s">
        <v>1918</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1919</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25539</v>
      </c>
      <c r="I23" s="1780">
        <f>SUM(I14:I16,I21,I22)</f>
        <v>0</v>
      </c>
      <c r="J23" s="1780">
        <f>SUM(J14:J16,J21,J22)</f>
        <v>524</v>
      </c>
      <c r="K23" s="1780">
        <f>SUM(K14:K16,K21,K22)</f>
        <v>19445</v>
      </c>
    </row>
    <row r="24" spans="1:11" ht="14.25" thickTop="1" thickBot="1" x14ac:dyDescent="0.25">
      <c r="A24" s="2254" t="s">
        <v>2021</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2031</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2030</v>
      </c>
      <c r="B1" s="2273"/>
      <c r="C1" s="2274"/>
      <c r="D1" s="827"/>
      <c r="E1" s="828"/>
      <c r="F1" s="828"/>
      <c r="G1" s="829"/>
      <c r="H1" s="830"/>
      <c r="I1" s="831"/>
      <c r="J1" s="2270"/>
      <c r="K1" s="2271"/>
      <c r="L1" s="2271"/>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224718</v>
      </c>
      <c r="D5" s="842"/>
      <c r="E5" s="842"/>
      <c r="F5" s="1782">
        <f>(C5+D5)-E5</f>
        <v>224718</v>
      </c>
      <c r="G5" s="838"/>
      <c r="H5" s="843"/>
      <c r="I5" s="843"/>
      <c r="J5" s="843"/>
      <c r="K5" s="794"/>
      <c r="L5" s="1791">
        <f>F5-K5</f>
        <v>224718</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10948766</v>
      </c>
      <c r="D8" s="845"/>
      <c r="E8" s="845"/>
      <c r="F8" s="1782">
        <f>(C8+D8)-E8</f>
        <v>10948766</v>
      </c>
      <c r="G8" s="844">
        <v>50</v>
      </c>
      <c r="H8" s="766">
        <v>5894605</v>
      </c>
      <c r="I8" s="766">
        <v>197080</v>
      </c>
      <c r="J8" s="766"/>
      <c r="K8" s="1791">
        <f>(H8+I8)-J8</f>
        <v>6091685</v>
      </c>
      <c r="L8" s="1791">
        <f>F8-K8</f>
        <v>4857081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1303474</v>
      </c>
      <c r="D10" s="847">
        <v>844988</v>
      </c>
      <c r="E10" s="847"/>
      <c r="F10" s="1786">
        <f>(C10+D10)-E10</f>
        <v>2148462</v>
      </c>
      <c r="G10" s="844">
        <v>20</v>
      </c>
      <c r="H10" s="848">
        <v>144626</v>
      </c>
      <c r="I10" s="848">
        <v>107423</v>
      </c>
      <c r="J10" s="848"/>
      <c r="K10" s="1791">
        <f>(H10+I10)-J10</f>
        <v>252049</v>
      </c>
      <c r="L10" s="1791">
        <f>F10-K10</f>
        <v>1896413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1770152</v>
      </c>
      <c r="D12" s="845">
        <v>20016</v>
      </c>
      <c r="E12" s="845"/>
      <c r="F12" s="1782">
        <f>(C12+D12)-E12</f>
        <v>1790168</v>
      </c>
      <c r="G12" s="844">
        <v>10</v>
      </c>
      <c r="H12" s="766">
        <v>1682128</v>
      </c>
      <c r="I12" s="766">
        <v>18006</v>
      </c>
      <c r="J12" s="766"/>
      <c r="K12" s="1791">
        <f>(H12+I12)-J12</f>
        <v>1700134</v>
      </c>
      <c r="L12" s="1791">
        <f>F12-K12</f>
        <v>90034</v>
      </c>
    </row>
    <row r="13" spans="1:14" ht="14.25" thickTop="1" thickBot="1" x14ac:dyDescent="0.25">
      <c r="A13" s="849" t="s">
        <v>1184</v>
      </c>
      <c r="B13" s="841">
        <v>252</v>
      </c>
      <c r="C13" s="845">
        <v>1086960</v>
      </c>
      <c r="D13" s="845"/>
      <c r="E13" s="845"/>
      <c r="F13" s="1782">
        <f>(C13+D13)-E13</f>
        <v>1086960</v>
      </c>
      <c r="G13" s="844">
        <v>5</v>
      </c>
      <c r="H13" s="766">
        <v>729011</v>
      </c>
      <c r="I13" s="766">
        <v>137718</v>
      </c>
      <c r="J13" s="766"/>
      <c r="K13" s="1791">
        <f>(H13+I13)-J13</f>
        <v>866729</v>
      </c>
      <c r="L13" s="1791">
        <f>F13-K13</f>
        <v>220231</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15334070</v>
      </c>
      <c r="D16" s="1782">
        <f>SUM(D3,D5:D6,D8:D10,D12:D15)</f>
        <v>865004</v>
      </c>
      <c r="E16" s="1782">
        <f>SUM(E3,E5:E6,E8:E10,E12:E15)</f>
        <v>0</v>
      </c>
      <c r="F16" s="1782">
        <f>SUM(F3,F5:F6,F8:F10,F12:F15)</f>
        <v>16199074</v>
      </c>
      <c r="G16" s="844"/>
      <c r="H16" s="1782">
        <f>SUM(H3,H6,H8:H10,H12:H14,)</f>
        <v>8450370</v>
      </c>
      <c r="I16" s="1782">
        <f>SUM(I3,I6,I8:I10,I12:I14,)</f>
        <v>460227</v>
      </c>
      <c r="J16" s="1782">
        <f>SUM(J3,J6,J8:J10,J12:J14,)</f>
        <v>0</v>
      </c>
      <c r="K16" s="1782">
        <f>(H16+I16)-J16</f>
        <v>8910597</v>
      </c>
      <c r="L16" s="1782">
        <f>F16-K16</f>
        <v>7288477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460227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7449950</v>
      </c>
      <c r="G8" s="866"/>
    </row>
    <row r="9" spans="1:7" x14ac:dyDescent="0.2">
      <c r="A9" s="870" t="s">
        <v>480</v>
      </c>
      <c r="B9" s="871" t="s">
        <v>1985</v>
      </c>
      <c r="C9" s="872"/>
      <c r="D9" s="870" t="s">
        <v>522</v>
      </c>
      <c r="E9" s="869"/>
      <c r="F9" s="1935">
        <f>'Expenditures 15-22'!K151</f>
        <v>753876</v>
      </c>
      <c r="G9" s="873"/>
    </row>
    <row r="10" spans="1:7" x14ac:dyDescent="0.2">
      <c r="A10" s="870" t="s">
        <v>520</v>
      </c>
      <c r="B10" s="871" t="s">
        <v>1986</v>
      </c>
      <c r="C10" s="872"/>
      <c r="D10" s="870" t="s">
        <v>522</v>
      </c>
      <c r="E10" s="869"/>
      <c r="F10" s="1935">
        <f>'Expenditures 15-22'!K174</f>
        <v>769133</v>
      </c>
      <c r="G10" s="873"/>
    </row>
    <row r="11" spans="1:7" x14ac:dyDescent="0.2">
      <c r="A11" s="870" t="s">
        <v>481</v>
      </c>
      <c r="B11" s="871" t="s">
        <v>1987</v>
      </c>
      <c r="C11" s="872"/>
      <c r="D11" s="870" t="s">
        <v>522</v>
      </c>
      <c r="E11" s="869"/>
      <c r="F11" s="1935">
        <f>'Expenditures 15-22'!K210</f>
        <v>471531</v>
      </c>
      <c r="G11" s="873"/>
    </row>
    <row r="12" spans="1:7" x14ac:dyDescent="0.2">
      <c r="A12" s="870" t="s">
        <v>482</v>
      </c>
      <c r="B12" s="871" t="s">
        <v>1988</v>
      </c>
      <c r="C12" s="872"/>
      <c r="D12" s="870" t="s">
        <v>522</v>
      </c>
      <c r="E12" s="869"/>
      <c r="F12" s="1935">
        <f>'Expenditures 15-22'!K295</f>
        <v>394058</v>
      </c>
      <c r="G12" s="873"/>
    </row>
    <row r="13" spans="1:7" x14ac:dyDescent="0.2">
      <c r="A13" s="870" t="s">
        <v>108</v>
      </c>
      <c r="B13" s="871" t="s">
        <v>1989</v>
      </c>
      <c r="C13" s="872"/>
      <c r="D13" s="870" t="s">
        <v>522</v>
      </c>
      <c r="E13" s="869"/>
      <c r="F13" s="1935">
        <f>'Expenditures 15-22'!K342</f>
        <v>475667</v>
      </c>
      <c r="G13" s="874"/>
    </row>
    <row r="14" spans="1:7" ht="12" customHeight="1" thickBot="1" x14ac:dyDescent="0.25">
      <c r="A14" s="1792"/>
      <c r="B14" s="1793"/>
      <c r="C14" s="1794"/>
      <c r="D14" s="1795" t="s">
        <v>522</v>
      </c>
      <c r="E14" s="1796" t="s">
        <v>1015</v>
      </c>
      <c r="F14" s="1797">
        <f>SUM(F8:F13)</f>
        <v>10314215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89934</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28500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568411</v>
      </c>
      <c r="G53" s="866"/>
    </row>
    <row r="54" spans="1:7" x14ac:dyDescent="0.2">
      <c r="A54" s="870" t="s">
        <v>479</v>
      </c>
      <c r="B54" s="870" t="s">
        <v>1552</v>
      </c>
      <c r="C54" s="890" t="s">
        <v>1039</v>
      </c>
      <c r="D54" s="886" t="s">
        <v>1157</v>
      </c>
      <c r="E54" s="869"/>
      <c r="F54" s="1939">
        <f>'Expenditures 15-22'!G114</f>
        <v>20016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9">
        <f>'Expenditures 15-22'!K139</f>
        <v>0</v>
      </c>
      <c r="G57" s="866"/>
    </row>
    <row r="58" spans="1:7" x14ac:dyDescent="0.2">
      <c r="A58" s="870" t="s">
        <v>480</v>
      </c>
      <c r="B58" s="870" t="s">
        <v>1991</v>
      </c>
      <c r="C58" s="887" t="s">
        <v>1039</v>
      </c>
      <c r="D58" s="886" t="s">
        <v>1157</v>
      </c>
      <c r="E58" s="869"/>
      <c r="F58" s="1941">
        <f>'Expenditures 15-22'!G151</f>
        <v>0</v>
      </c>
      <c r="G58" s="866"/>
    </row>
    <row r="59" spans="1:7" x14ac:dyDescent="0.2">
      <c r="A59" s="894" t="s">
        <v>480</v>
      </c>
      <c r="B59" s="857" t="s">
        <v>1992</v>
      </c>
      <c r="C59" s="895" t="s">
        <v>1039</v>
      </c>
      <c r="D59" s="857" t="s">
        <v>309</v>
      </c>
      <c r="F59" s="1942">
        <f>'Expenditures 15-22'!I151</f>
        <v>0</v>
      </c>
      <c r="G59" s="866"/>
    </row>
    <row r="60" spans="1:7" x14ac:dyDescent="0.2">
      <c r="A60" s="894" t="s">
        <v>520</v>
      </c>
      <c r="B60" s="857" t="s">
        <v>1993</v>
      </c>
      <c r="C60" s="895">
        <v>4000</v>
      </c>
      <c r="D60" s="857" t="s">
        <v>330</v>
      </c>
      <c r="F60" s="1940">
        <f>'Expenditures 15-22'!K160</f>
        <v>0</v>
      </c>
      <c r="G60" s="866"/>
    </row>
    <row r="61" spans="1:7" x14ac:dyDescent="0.2">
      <c r="A61" s="896" t="s">
        <v>520</v>
      </c>
      <c r="B61" s="896" t="s">
        <v>1994</v>
      </c>
      <c r="C61" s="897" t="str">
        <f>'Expenditures 15-22'!B170</f>
        <v>5300</v>
      </c>
      <c r="D61" s="898" t="s">
        <v>329</v>
      </c>
      <c r="E61" s="880"/>
      <c r="F61" s="1939">
        <f>'Expenditures 15-22'!K170</f>
        <v>605000</v>
      </c>
      <c r="G61" s="866"/>
    </row>
    <row r="62" spans="1:7" x14ac:dyDescent="0.2">
      <c r="A62" s="870" t="s">
        <v>481</v>
      </c>
      <c r="B62" s="870" t="s">
        <v>1995</v>
      </c>
      <c r="C62" s="887">
        <f>'Expenditures 15-22'!B185</f>
        <v>3000</v>
      </c>
      <c r="D62" s="877" t="s">
        <v>469</v>
      </c>
      <c r="E62" s="869"/>
      <c r="F62" s="1939">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1997</v>
      </c>
      <c r="C64" s="897" t="str">
        <f>'Expenditures 15-22'!B206</f>
        <v>5300</v>
      </c>
      <c r="D64" s="893" t="s">
        <v>329</v>
      </c>
      <c r="E64" s="869"/>
      <c r="F64" s="1939">
        <f>'Expenditures 15-22'!K206</f>
        <v>0</v>
      </c>
      <c r="G64" s="866"/>
    </row>
    <row r="65" spans="1:8" x14ac:dyDescent="0.2">
      <c r="A65" s="870" t="s">
        <v>481</v>
      </c>
      <c r="B65" s="870" t="s">
        <v>1998</v>
      </c>
      <c r="C65" s="887" t="s">
        <v>1039</v>
      </c>
      <c r="D65" s="886" t="s">
        <v>1157</v>
      </c>
      <c r="E65" s="869"/>
      <c r="F65" s="1939">
        <f>'Expenditures 15-22'!G210</f>
        <v>0</v>
      </c>
      <c r="G65" s="866"/>
    </row>
    <row r="66" spans="1:8" x14ac:dyDescent="0.2">
      <c r="A66" s="870" t="s">
        <v>481</v>
      </c>
      <c r="B66" s="870" t="s">
        <v>1999</v>
      </c>
      <c r="C66" s="887" t="s">
        <v>1039</v>
      </c>
      <c r="D66" s="886" t="s">
        <v>309</v>
      </c>
      <c r="E66" s="869"/>
      <c r="F66" s="1939">
        <f>'Expenditures 15-22'!I210</f>
        <v>0</v>
      </c>
      <c r="G66" s="866"/>
    </row>
    <row r="67" spans="1:8" x14ac:dyDescent="0.2">
      <c r="A67" s="870" t="s">
        <v>482</v>
      </c>
      <c r="B67" s="870" t="s">
        <v>2000</v>
      </c>
      <c r="C67" s="887" t="str">
        <f>'Expenditures 15-22'!B216</f>
        <v>1125</v>
      </c>
      <c r="D67" s="893" t="str">
        <f>'Expenditures 15-22'!A216</f>
        <v>Pre-K Programs</v>
      </c>
      <c r="E67" s="869"/>
      <c r="F67" s="1939">
        <f>'Expenditures 15-22'!K216</f>
        <v>7105</v>
      </c>
      <c r="G67" s="866"/>
    </row>
    <row r="68" spans="1:8" x14ac:dyDescent="0.2">
      <c r="A68" s="870" t="s">
        <v>482</v>
      </c>
      <c r="B68" s="870" t="s">
        <v>1555</v>
      </c>
      <c r="C68" s="887" t="str">
        <f>'Expenditures 15-22'!B218</f>
        <v>1225</v>
      </c>
      <c r="D68" s="893" t="str">
        <f>'Expenditures 15-22'!A218</f>
        <v>Special Education Programs - Pre-K</v>
      </c>
      <c r="E68" s="869"/>
      <c r="F68" s="1939">
        <f>'Expenditures 15-22'!K218</f>
        <v>3642</v>
      </c>
      <c r="G68" s="866"/>
    </row>
    <row r="69" spans="1:8" x14ac:dyDescent="0.2">
      <c r="A69" s="870" t="s">
        <v>482</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2002</v>
      </c>
      <c r="C70" s="887">
        <f>'Expenditures 15-22'!B221</f>
        <v>1300</v>
      </c>
      <c r="D70" s="888" t="str">
        <f>'Expenditures 15-22'!A221</f>
        <v>Adult/Continuing Education Programs</v>
      </c>
      <c r="E70" s="869"/>
      <c r="F70" s="1939">
        <f>'Expenditures 15-22'!K221</f>
        <v>0</v>
      </c>
      <c r="G70" s="866"/>
    </row>
    <row r="71" spans="1:8" x14ac:dyDescent="0.2">
      <c r="A71" s="870" t="s">
        <v>482</v>
      </c>
      <c r="B71" s="870" t="s">
        <v>2003</v>
      </c>
      <c r="C71" s="887">
        <f>'Expenditures 15-22'!B224</f>
        <v>1600</v>
      </c>
      <c r="D71" s="888" t="str">
        <f>'Expenditures 15-22'!A224</f>
        <v>Summer School Programs</v>
      </c>
      <c r="E71" s="869"/>
      <c r="F71" s="1939">
        <f>'Expenditures 15-22'!K224</f>
        <v>0</v>
      </c>
      <c r="G71" s="866"/>
    </row>
    <row r="72" spans="1:8" x14ac:dyDescent="0.2">
      <c r="A72" s="870" t="s">
        <v>482</v>
      </c>
      <c r="B72" s="870" t="s">
        <v>2004</v>
      </c>
      <c r="C72" s="887">
        <f>'Expenditures 15-22'!B280</f>
        <v>3000</v>
      </c>
      <c r="D72" s="877" t="s">
        <v>469</v>
      </c>
      <c r="E72" s="869"/>
      <c r="F72" s="1939">
        <f>'Expenditures 15-22'!K280</f>
        <v>0</v>
      </c>
      <c r="G72" s="866"/>
    </row>
    <row r="73" spans="1:8" x14ac:dyDescent="0.2">
      <c r="A73" s="870" t="s">
        <v>482</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2006</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1015</v>
      </c>
      <c r="F76" s="1800">
        <f>SUM(F18:F74)</f>
        <v>1322608</v>
      </c>
      <c r="G76" s="866"/>
    </row>
    <row r="77" spans="1:8" s="894" customFormat="1" ht="12" customHeight="1" thickTop="1" thickBot="1" x14ac:dyDescent="0.25">
      <c r="A77" s="1801"/>
      <c r="B77" s="1798"/>
      <c r="C77" s="1794"/>
      <c r="D77" s="1799" t="s">
        <v>2008</v>
      </c>
      <c r="E77" s="1796"/>
      <c r="F77" s="1802">
        <f>(F14-F76)</f>
        <v>8991607</v>
      </c>
      <c r="G77" s="870"/>
    </row>
    <row r="78" spans="1:8" s="894" customFormat="1" ht="12" customHeight="1" thickTop="1" x14ac:dyDescent="0.2">
      <c r="A78" s="1803"/>
      <c r="B78" s="1798"/>
      <c r="C78" s="1794"/>
      <c r="D78" s="1799" t="s">
        <v>2054</v>
      </c>
      <c r="E78" s="1796"/>
      <c r="F78" s="899">
        <v>873.48</v>
      </c>
      <c r="G78" s="900"/>
      <c r="H78" s="870"/>
    </row>
    <row r="79" spans="1:8" s="894" customFormat="1" ht="12" customHeight="1" thickBot="1" x14ac:dyDescent="0.25">
      <c r="A79" s="1804"/>
      <c r="B79" s="1798"/>
      <c r="C79" s="1794"/>
      <c r="D79" s="1799" t="s">
        <v>2009</v>
      </c>
      <c r="E79" s="1796" t="s">
        <v>1015</v>
      </c>
      <c r="F79" s="1805">
        <f>IF(F78&gt;0,F77/F78," Complete Line 78")</f>
        <v>10294.004442002106</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34231</v>
      </c>
      <c r="G94" s="913"/>
    </row>
    <row r="95" spans="1:7" x14ac:dyDescent="0.2">
      <c r="A95" s="909" t="s">
        <v>142</v>
      </c>
      <c r="B95" s="909" t="s">
        <v>177</v>
      </c>
      <c r="C95" s="911">
        <v>1700</v>
      </c>
      <c r="D95" s="919" t="str">
        <f>'Revenues 9-14'!A82</f>
        <v>Total District/School Activity Income</v>
      </c>
      <c r="E95" s="907"/>
      <c r="F95" s="1811">
        <f>SUM('Revenues 9-14'!C82,'Revenues 9-14'!D82)</f>
        <v>73715</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985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214763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5067</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8412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14587</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341608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468579</v>
      </c>
      <c r="G129" s="931"/>
    </row>
    <row r="130" spans="1:7" x14ac:dyDescent="0.2">
      <c r="A130" s="928" t="s">
        <v>689</v>
      </c>
      <c r="B130" s="928" t="s">
        <v>804</v>
      </c>
      <c r="C130" s="933">
        <v>4300</v>
      </c>
      <c r="D130" s="934" t="str">
        <f>'Revenues 9-14'!A211</f>
        <v>Total Title I</v>
      </c>
      <c r="E130" s="907"/>
      <c r="F130" s="1811">
        <f>SUM('Revenues 9-14'!C211,'Revenues 9-14'!D211,'Revenues 9-14'!F211,'Revenues 9-14'!G211)</f>
        <v>306657</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11191</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8562</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118536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61972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2053</v>
      </c>
      <c r="C175" s="1946">
        <v>3100</v>
      </c>
      <c r="D175" s="1947" t="s">
        <v>2056</v>
      </c>
      <c r="E175" s="907"/>
      <c r="F175" s="1931"/>
      <c r="G175" s="928"/>
    </row>
    <row r="176" spans="1:7" x14ac:dyDescent="0.2">
      <c r="A176" s="1944" t="s">
        <v>685</v>
      </c>
      <c r="B176" s="1945" t="s">
        <v>2053</v>
      </c>
      <c r="C176" s="1946">
        <v>3300</v>
      </c>
      <c r="D176" s="1947" t="s">
        <v>2057</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1015</v>
      </c>
      <c r="F178" s="1810">
        <f>SUM(F84:F136,F161:F176)</f>
        <v>1668865</v>
      </c>
    </row>
    <row r="179" spans="1:7" ht="12" customHeight="1" x14ac:dyDescent="0.2">
      <c r="A179" s="1792"/>
      <c r="B179" s="1806"/>
      <c r="C179" s="1807"/>
      <c r="D179" s="1808" t="s">
        <v>2011</v>
      </c>
      <c r="E179" s="1809"/>
      <c r="F179" s="1811">
        <f>'PCTC-OEPP 27-28'!F77-F178</f>
        <v>7322742</v>
      </c>
    </row>
    <row r="180" spans="1:7" ht="12" customHeight="1" x14ac:dyDescent="0.2">
      <c r="A180" s="1792"/>
      <c r="B180" s="1806"/>
      <c r="C180" s="1807"/>
      <c r="D180" s="1808" t="s">
        <v>1921</v>
      </c>
      <c r="E180" s="1809"/>
      <c r="F180" s="1811">
        <f>'Cap Outlay Deprec 26'!I18</f>
        <v>460227</v>
      </c>
    </row>
    <row r="181" spans="1:7" ht="12" customHeight="1" x14ac:dyDescent="0.2">
      <c r="A181" s="1792"/>
      <c r="B181" s="1806"/>
      <c r="C181" s="1807"/>
      <c r="D181" s="1808" t="s">
        <v>2012</v>
      </c>
      <c r="E181" s="1809"/>
      <c r="F181" s="1811">
        <f>F179+F180</f>
        <v>7782969</v>
      </c>
    </row>
    <row r="182" spans="1:7" ht="12" customHeight="1" x14ac:dyDescent="0.2">
      <c r="A182" s="1792"/>
      <c r="B182" s="1812"/>
      <c r="C182" s="1807"/>
      <c r="D182" s="1808" t="str">
        <f>D78</f>
        <v>9 Month ADA from District Average Daily Attendance/Prior General State Aid Inquiry 2017-2018</v>
      </c>
      <c r="E182" s="1809"/>
      <c r="F182" s="1813">
        <f>'PCTC-OEPP 27-28'!F78</f>
        <v>873.48</v>
      </c>
      <c r="G182" s="931"/>
    </row>
    <row r="183" spans="1:7" ht="12" customHeight="1" thickBot="1" x14ac:dyDescent="0.25">
      <c r="A183" s="1792"/>
      <c r="B183" s="1812"/>
      <c r="C183" s="1807"/>
      <c r="D183" s="1808" t="s">
        <v>2013</v>
      </c>
      <c r="E183" s="1809" t="s">
        <v>1626</v>
      </c>
      <c r="F183" s="1814">
        <f>F181/F182</f>
        <v>8910.3001785959605</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8" customFormat="1" ht="12.2" customHeight="1" x14ac:dyDescent="0.2">
      <c r="A186" s="1948" t="s">
        <v>2060</v>
      </c>
      <c r="B186" s="1949"/>
      <c r="C186" s="1950"/>
      <c r="D186" s="1949"/>
      <c r="E186" s="1950"/>
      <c r="F186" s="1949"/>
      <c r="G186" s="1949"/>
    </row>
    <row r="187" spans="1:7" s="1948" customFormat="1" ht="12.2" customHeight="1" x14ac:dyDescent="0.2">
      <c r="A187" s="1951" t="s">
        <v>2061</v>
      </c>
      <c r="C187" s="1950"/>
      <c r="D187" s="1949"/>
      <c r="E187" s="1950"/>
      <c r="F187" s="1949"/>
      <c r="G187" s="1949"/>
    </row>
    <row r="188" spans="1:7" ht="12" customHeight="1" x14ac:dyDescent="0.2">
      <c r="C188" s="950"/>
      <c r="D188" s="931"/>
      <c r="E188" s="950"/>
      <c r="F188" s="931"/>
      <c r="G188" s="931"/>
    </row>
    <row r="189" spans="1:7" x14ac:dyDescent="0.2">
      <c r="A189" s="1952" t="s">
        <v>2059</v>
      </c>
      <c r="B189" s="1953"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1922</v>
      </c>
      <c r="B4" s="2290"/>
      <c r="C4" s="2290"/>
      <c r="D4" s="2290"/>
      <c r="E4" s="2290"/>
      <c r="F4" s="2290"/>
      <c r="G4" s="2291"/>
    </row>
    <row r="5" spans="1:7" x14ac:dyDescent="0.25">
      <c r="A5" s="2292"/>
      <c r="B5" s="2293"/>
      <c r="C5" s="2293"/>
      <c r="D5" s="2293"/>
      <c r="E5" s="2293"/>
      <c r="F5" s="2293"/>
      <c r="G5" s="2294"/>
    </row>
    <row r="6" spans="1:7" ht="18.75" x14ac:dyDescent="0.25">
      <c r="A6" s="1556" t="s">
        <v>1923</v>
      </c>
      <c r="B6" s="1557"/>
      <c r="C6" s="1557"/>
      <c r="D6" s="1557"/>
      <c r="E6" s="1557"/>
      <c r="F6" s="1557"/>
      <c r="G6" s="1558"/>
    </row>
    <row r="7" spans="1:7" ht="30.75" customHeight="1" x14ac:dyDescent="0.25">
      <c r="A7" s="2295" t="s">
        <v>2070</v>
      </c>
      <c r="B7" s="2296"/>
      <c r="C7" s="2296"/>
      <c r="D7" s="2296"/>
      <c r="E7" s="2296"/>
      <c r="F7" s="2296"/>
      <c r="G7" s="2297"/>
    </row>
    <row r="8" spans="1:7" ht="15.75" customHeight="1" x14ac:dyDescent="0.25">
      <c r="A8" s="2298" t="s">
        <v>2019</v>
      </c>
      <c r="B8" s="2299"/>
      <c r="C8" s="2299"/>
      <c r="D8" s="2299"/>
      <c r="E8" s="2299"/>
      <c r="F8" s="2299"/>
      <c r="G8" s="2300"/>
    </row>
    <row r="9" spans="1:7" ht="35.25" customHeight="1" x14ac:dyDescent="0.25">
      <c r="A9" s="2295" t="s">
        <v>2073</v>
      </c>
      <c r="B9" s="2296"/>
      <c r="C9" s="2296"/>
      <c r="D9" s="2296"/>
      <c r="E9" s="2296"/>
      <c r="F9" s="2296"/>
      <c r="G9" s="2297"/>
    </row>
    <row r="10" spans="1:7" ht="15" customHeight="1" x14ac:dyDescent="0.25">
      <c r="A10" s="1559" t="s">
        <v>1924</v>
      </c>
      <c r="B10" s="1560"/>
      <c r="C10" s="1560"/>
      <c r="D10" s="1560"/>
      <c r="E10" s="1560"/>
      <c r="F10" s="1560"/>
      <c r="G10" s="1561"/>
    </row>
    <row r="11" spans="1:7" ht="17.25" customHeight="1" x14ac:dyDescent="0.25">
      <c r="A11" s="2295" t="s">
        <v>2072</v>
      </c>
      <c r="B11" s="2296"/>
      <c r="C11" s="2296"/>
      <c r="D11" s="2296"/>
      <c r="E11" s="2296"/>
      <c r="F11" s="2296"/>
      <c r="G11" s="2297"/>
    </row>
    <row r="12" spans="1:7" ht="15" customHeight="1" x14ac:dyDescent="0.25">
      <c r="A12" s="1559" t="s">
        <v>1929</v>
      </c>
      <c r="B12" s="1560"/>
      <c r="C12" s="1560"/>
      <c r="D12" s="1560"/>
      <c r="E12" s="1560"/>
      <c r="F12" s="1560"/>
      <c r="G12" s="1561"/>
    </row>
    <row r="13" spans="1:7" ht="32.25" customHeight="1" x14ac:dyDescent="0.25">
      <c r="A13" s="2286" t="s">
        <v>1930</v>
      </c>
      <c r="B13" s="2287"/>
      <c r="C13" s="2287"/>
      <c r="D13" s="2287"/>
      <c r="E13" s="2287"/>
      <c r="F13" s="2287"/>
      <c r="G13" s="2288"/>
    </row>
    <row r="14" spans="1:7" x14ac:dyDescent="0.25">
      <c r="A14" s="1683" t="s">
        <v>1938</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1939</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2096</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21" sqref="D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v>277058</v>
      </c>
      <c r="F10" s="975"/>
      <c r="G10" s="976"/>
      <c r="H10" s="162"/>
      <c r="I10" s="162"/>
    </row>
    <row r="11" spans="1:9" s="669" customFormat="1" ht="22.5" customHeight="1" x14ac:dyDescent="0.2">
      <c r="A11" s="2306" t="s">
        <v>1941</v>
      </c>
      <c r="B11" s="2307"/>
      <c r="C11" s="2307"/>
      <c r="D11" s="2308"/>
      <c r="E11" s="978">
        <v>43798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5317890</v>
      </c>
      <c r="F19" s="1822"/>
      <c r="G19" s="1824">
        <f>'Expenditures 15-22'!K33-SUM('Expenditures 15-22'!G33,'Expenditures 15-22'!I33)+'Expenditures 15-22'!D229</f>
        <v>5317890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113413</v>
      </c>
      <c r="F21" s="1825"/>
      <c r="G21" s="1828">
        <f>'Expenditures 15-22'!K42-SUM('Expenditures 15-22'!G42,'Expenditures 15-22'!I42)+'Expenditures 15-22'!K120-SUM('Expenditures 15-22'!G120,'Expenditures 15-22'!I120)+'Expenditures 15-22'!K180-SUM('Expenditures 15-22'!G180,'Expenditures 15-22'!I180)+'Expenditures 15-22'!D238</f>
        <v>113413</v>
      </c>
      <c r="H21" s="988"/>
      <c r="I21" s="162"/>
    </row>
    <row r="22" spans="1:9" s="669" customFormat="1" ht="12" customHeight="1" x14ac:dyDescent="0.2">
      <c r="A22" s="995" t="s">
        <v>585</v>
      </c>
      <c r="B22" s="996"/>
      <c r="C22" s="994">
        <v>2200</v>
      </c>
      <c r="D22" s="1825"/>
      <c r="E22" s="1827">
        <f>'Expenditures 15-22'!K47-SUM('Expenditures 15-22'!G47,'Expenditures 15-22'!I47)+'Expenditures 15-22'!D243</f>
        <v>0</v>
      </c>
      <c r="F22" s="1825"/>
      <c r="G22" s="1828">
        <f>'Expenditures 15-22'!K47-SUM('Expenditures 15-22'!G47,'Expenditures 15-22'!I47)+'Expenditures 15-22'!D243</f>
        <v>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808117</v>
      </c>
      <c r="F23" s="1825"/>
      <c r="G23" s="1827">
        <f>'Expenditures 15-22'!K53-SUM('Expenditures 15-22'!G53,'Expenditures 15-22'!I53)+'Expenditures 15-22'!D257+'Expenditures 15-22'!K330-SUM('Expenditures 15-22'!G330,'Expenditures 15-22'!I330)</f>
        <v>808117</v>
      </c>
      <c r="H23" s="988"/>
      <c r="I23" s="162"/>
    </row>
    <row r="24" spans="1:9" s="669" customFormat="1" ht="12" customHeight="1" x14ac:dyDescent="0.2">
      <c r="A24" s="995" t="s">
        <v>587</v>
      </c>
      <c r="B24" s="996"/>
      <c r="C24" s="994">
        <v>2400</v>
      </c>
      <c r="D24" s="1825"/>
      <c r="E24" s="1827">
        <f>'Expenditures 15-22'!K57-SUM('Expenditures 15-22'!G57,'Expenditures 15-22'!I57)+'Expenditures 15-22'!D261</f>
        <v>755621</v>
      </c>
      <c r="F24" s="1825"/>
      <c r="G24" s="1828">
        <f>'Expenditures 15-22'!K57-SUM('Expenditures 15-22'!G57,'Expenditures 15-22'!I57)+'Expenditures 15-22'!D261</f>
        <v>755621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104746</v>
      </c>
      <c r="E27" s="1827">
        <f>E8</f>
        <v>0</v>
      </c>
      <c r="F27" s="1827">
        <f>'Expenditures 15-22'!K60-SUM('Expenditures 15-22'!G60,'Expenditures 15-22'!I60)+'Expenditures 15-22'!D264-E8</f>
        <v>104746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827647</v>
      </c>
      <c r="F28" s="1829">
        <f>'Expenditures 15-22'!K61-SUM('Expenditures 15-22'!G61,'Expenditures 15-22'!I61)+'Expenditures 15-22'!K124-SUM('Expenditures 15-22'!G124,'Expenditures 15-22'!I124)+'Expenditures 15-22'!D266-E9</f>
        <v>827647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521199</v>
      </c>
      <c r="F29" s="1825"/>
      <c r="G29" s="1828">
        <f>'Expenditures 15-22'!K62-SUM('Expenditures 15-22'!G62,'Expenditures 15-22'!I62)+'Expenditures 15-22'!K125-SUM('Expenditures 15-22'!G125,'Expenditures 15-22'!I125)+'Expenditures 15-22'!K182-SUM('Expenditures 15-22'!G182,'Expenditures 15-22'!I182)+'Expenditures 15-22'!D267</f>
        <v>521199</v>
      </c>
      <c r="H29" s="986"/>
    </row>
    <row r="30" spans="1:9" ht="12" customHeight="1" x14ac:dyDescent="0.2">
      <c r="A30" s="995" t="s">
        <v>102</v>
      </c>
      <c r="B30" s="998"/>
      <c r="C30" s="994">
        <v>2560</v>
      </c>
      <c r="D30" s="1825"/>
      <c r="E30" s="1827">
        <f>'Expenditures 15-22'!K63-SUM('Expenditures 15-22'!G63,'Expenditures 15-22'!I63)+'Expenditures 15-22'!D268-E10</f>
        <v>230964</v>
      </c>
      <c r="F30" s="1825"/>
      <c r="G30" s="1827">
        <f>'Expenditures 15-22'!K63-SUM('Expenditures 15-22'!G63,'Expenditures 15-22'!I63)+'Expenditures 15-22'!D268-E10</f>
        <v>230964</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1927</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104746</v>
      </c>
      <c r="E41" s="1829">
        <f>SUM(E19:E40)</f>
        <v>8574851</v>
      </c>
      <c r="F41" s="1829">
        <f>SUM(F19:F39)</f>
        <v>932393</v>
      </c>
      <c r="G41" s="1829">
        <f>SUM(G19:G40)</f>
        <v>7747204</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104746</v>
      </c>
      <c r="F43" s="1830" t="s">
        <v>495</v>
      </c>
      <c r="G43" s="1831">
        <f>F41</f>
        <v>932393</v>
      </c>
    </row>
    <row r="44" spans="1:7" ht="12" customHeight="1" x14ac:dyDescent="0.2">
      <c r="A44" s="988"/>
      <c r="B44" s="162"/>
      <c r="C44" s="1002"/>
      <c r="D44" s="1830" t="s">
        <v>494</v>
      </c>
      <c r="E44" s="1831">
        <f>E41</f>
        <v>8574851</v>
      </c>
      <c r="F44" s="1830" t="s">
        <v>494</v>
      </c>
      <c r="G44" s="1831">
        <f>G41</f>
        <v>7747204</v>
      </c>
    </row>
    <row r="45" spans="1:7" ht="12" customHeight="1" x14ac:dyDescent="0.2">
      <c r="A45" s="988"/>
      <c r="B45" s="162"/>
      <c r="C45" s="162"/>
      <c r="D45" s="1832" t="s">
        <v>1063</v>
      </c>
      <c r="E45" s="1833">
        <f>(E43/E44)</f>
        <v>1.2215489225410447E-2</v>
      </c>
      <c r="F45" s="1832" t="s">
        <v>1063</v>
      </c>
      <c r="G45" s="1833">
        <f>(G43/G44)</f>
        <v>0.120352194159338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2043</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Georgetown-Ridge Farm CUD 4</v>
      </c>
      <c r="D6" s="2316"/>
      <c r="E6" s="2316"/>
      <c r="F6" s="1877"/>
    </row>
    <row r="7" spans="1:10" ht="11.25" customHeight="1" thickBot="1" x14ac:dyDescent="0.3">
      <c r="A7" s="1875"/>
      <c r="B7" s="1876"/>
      <c r="C7" s="2317">
        <f>COVER!A13</f>
        <v>54092004026</v>
      </c>
      <c r="D7" s="2317"/>
      <c r="E7" s="2317"/>
      <c r="F7" s="1877"/>
    </row>
    <row r="8" spans="1:10" ht="25.5" customHeight="1" thickBot="1" x14ac:dyDescent="0.25">
      <c r="A8" s="1918" t="s">
        <v>2020</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2097</v>
      </c>
      <c r="D26" s="1890" t="s">
        <v>2097</v>
      </c>
      <c r="E26" s="1893" t="s">
        <v>2097</v>
      </c>
      <c r="F26" s="1892" t="s">
        <v>2098</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Georgetown-Ridge Farm CUD 4</v>
      </c>
      <c r="J6" s="2337"/>
      <c r="Q6" s="1686"/>
    </row>
    <row r="7" spans="1:17" x14ac:dyDescent="0.2">
      <c r="A7" s="2338" t="s">
        <v>924</v>
      </c>
      <c r="B7" s="2339"/>
      <c r="C7" s="2339"/>
      <c r="D7" s="2339"/>
      <c r="E7" s="2340"/>
      <c r="F7" s="1018"/>
      <c r="G7" s="1010"/>
      <c r="H7" s="1017" t="s">
        <v>390</v>
      </c>
      <c r="I7" s="2341">
        <f>COVER!A13</f>
        <v>54092004026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213485</v>
      </c>
      <c r="F12" s="1040"/>
      <c r="G12" s="1834">
        <f t="shared" ref="G12:G18" si="0">SUM(E12:F12)</f>
        <v>213485</v>
      </c>
      <c r="H12" s="1041">
        <v>224160</v>
      </c>
      <c r="I12" s="1040"/>
      <c r="J12" s="1834">
        <f t="shared" ref="J12:J18" si="1">SUM(H12:I12)</f>
        <v>224160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213485</v>
      </c>
      <c r="F19" s="1836">
        <f t="shared" si="2"/>
        <v>0</v>
      </c>
      <c r="G19" s="1836">
        <f t="shared" si="2"/>
        <v>213485</v>
      </c>
      <c r="H19" s="1836">
        <f t="shared" si="2"/>
        <v>224160</v>
      </c>
      <c r="I19" s="1836">
        <f t="shared" si="2"/>
        <v>0</v>
      </c>
      <c r="J19" s="1836">
        <f t="shared" si="2"/>
        <v>224160</v>
      </c>
    </row>
    <row r="20" spans="1:10" ht="13.5" thickTop="1" x14ac:dyDescent="0.2">
      <c r="A20" s="1036">
        <v>9</v>
      </c>
      <c r="B20" s="2348" t="s">
        <v>1703</v>
      </c>
      <c r="C20" s="2348"/>
      <c r="D20" s="2349"/>
      <c r="E20" s="1047"/>
      <c r="F20" s="1047"/>
      <c r="G20" s="1047"/>
      <c r="H20" s="1047"/>
      <c r="I20" s="1047"/>
      <c r="J20" s="1837">
        <f>IF(AND(G19&gt;0,J19&gt;0),(((J19-G19)/G19)),"Enter Budget Data")</f>
        <v>5.0003513127385997E-2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1940</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7" t="s">
        <v>2099</v>
      </c>
    </row>
    <row r="6" spans="1:2" x14ac:dyDescent="0.2">
      <c r="A6" s="1069"/>
      <c r="B6" s="1958" t="s">
        <v>2100</v>
      </c>
    </row>
    <row r="7" spans="1:2" x14ac:dyDescent="0.2">
      <c r="A7" s="1069"/>
      <c r="B7" s="329" t="s">
        <v>2101</v>
      </c>
    </row>
    <row r="8" spans="1:2" x14ac:dyDescent="0.2">
      <c r="A8" s="1069"/>
    </row>
    <row r="9" spans="1:2" x14ac:dyDescent="0.2">
      <c r="A9" s="1070">
        <v>2</v>
      </c>
      <c r="B9" s="1957" t="s">
        <v>2102</v>
      </c>
    </row>
    <row r="10" spans="1:2" x14ac:dyDescent="0.2">
      <c r="A10" s="1070"/>
      <c r="B10" s="1958" t="s">
        <v>2103</v>
      </c>
    </row>
    <row r="11" spans="1:2" x14ac:dyDescent="0.2">
      <c r="A11" s="1070"/>
      <c r="B11" s="329" t="s">
        <v>2113</v>
      </c>
    </row>
    <row r="12" spans="1:2" x14ac:dyDescent="0.2">
      <c r="A12" s="1070"/>
      <c r="B12" s="329" t="s">
        <v>2114</v>
      </c>
    </row>
    <row r="13" spans="1:2" x14ac:dyDescent="0.2">
      <c r="A13" s="1070"/>
      <c r="B13" s="1958" t="s">
        <v>2104</v>
      </c>
    </row>
    <row r="14" spans="1:2" x14ac:dyDescent="0.2">
      <c r="A14" s="1070"/>
      <c r="B14" s="329" t="s">
        <v>2111</v>
      </c>
    </row>
    <row r="15" spans="1:2" x14ac:dyDescent="0.2">
      <c r="A15" s="1070"/>
      <c r="B15" s="329" t="s">
        <v>2112</v>
      </c>
    </row>
    <row r="16" spans="1:2" x14ac:dyDescent="0.2">
      <c r="A16" s="1070"/>
    </row>
    <row r="17" spans="1:2" x14ac:dyDescent="0.2">
      <c r="A17" s="1070">
        <v>3</v>
      </c>
      <c r="B17" s="1957" t="s">
        <v>2105</v>
      </c>
    </row>
    <row r="18" spans="1:2" x14ac:dyDescent="0.2">
      <c r="A18" s="1070"/>
      <c r="B18" s="329" t="s">
        <v>2106</v>
      </c>
    </row>
    <row r="19" spans="1:2" x14ac:dyDescent="0.2">
      <c r="A19" s="1070"/>
    </row>
    <row r="20" spans="1:2" x14ac:dyDescent="0.2">
      <c r="A20" s="1070">
        <v>4</v>
      </c>
      <c r="B20" s="1957" t="s">
        <v>2107</v>
      </c>
    </row>
    <row r="21" spans="1:2" x14ac:dyDescent="0.2">
      <c r="A21" s="1070"/>
      <c r="B21" s="1958" t="s">
        <v>2108</v>
      </c>
    </row>
    <row r="22" spans="1:2" x14ac:dyDescent="0.2">
      <c r="A22" s="1070"/>
      <c r="B22" s="329" t="s">
        <v>2109</v>
      </c>
    </row>
    <row r="23" spans="1:2" x14ac:dyDescent="0.2">
      <c r="A23" s="1070"/>
    </row>
    <row r="24" spans="1:2" x14ac:dyDescent="0.2">
      <c r="A24" s="1070">
        <v>5</v>
      </c>
      <c r="B24" s="1957" t="s">
        <v>2110</v>
      </c>
    </row>
    <row r="25" spans="1:2" x14ac:dyDescent="0.2">
      <c r="A25" s="1070"/>
      <c r="B25" s="329" t="s">
        <v>2096</v>
      </c>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Georgetown-Ridge Farm CUD 4</v>
      </c>
    </row>
    <row r="66" spans="1:2" x14ac:dyDescent="0.2">
      <c r="B66" s="1071">
        <f>COVER!A13</f>
        <v>54092004026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2051</v>
      </c>
      <c r="B4" s="2376"/>
      <c r="C4" s="2376"/>
      <c r="D4" s="2376"/>
      <c r="E4" s="2376"/>
      <c r="F4" s="2377"/>
      <c r="G4" s="1075"/>
      <c r="H4" s="1075"/>
    </row>
    <row r="5" spans="1:8" ht="14.25" customHeight="1" x14ac:dyDescent="0.2">
      <c r="A5" s="2378" t="s">
        <v>2052</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8035590</v>
      </c>
      <c r="C8" s="1838">
        <f>'Acct Summary 7-8'!D8</f>
        <v>855145</v>
      </c>
      <c r="D8" s="1838">
        <f>'Acct Summary 7-8'!F8</f>
        <v>566821</v>
      </c>
      <c r="E8" s="1838">
        <f>'Acct Summary 7-8'!I8</f>
        <v>31953</v>
      </c>
      <c r="F8" s="1838">
        <f>SUM(B8:E8)</f>
        <v>9489509</v>
      </c>
    </row>
    <row r="9" spans="1:8" s="1080" customFormat="1" ht="14.25" customHeight="1" thickBot="1" x14ac:dyDescent="0.25">
      <c r="A9" s="1079" t="s">
        <v>1436</v>
      </c>
      <c r="B9" s="1839">
        <f>'Acct Summary 7-8'!C17</f>
        <v>7449950</v>
      </c>
      <c r="C9" s="1839">
        <f>'Acct Summary 7-8'!D17</f>
        <v>753876</v>
      </c>
      <c r="D9" s="1839">
        <f>'Acct Summary 7-8'!F17</f>
        <v>471531</v>
      </c>
      <c r="E9" s="1838"/>
      <c r="F9" s="1838">
        <f>SUM(B9:E9)</f>
        <v>8675357</v>
      </c>
    </row>
    <row r="10" spans="1:8" s="1080" customFormat="1" ht="14.25" thickTop="1" thickBot="1" x14ac:dyDescent="0.25">
      <c r="A10" s="1081" t="s">
        <v>1437</v>
      </c>
      <c r="B10" s="1840">
        <f>(B8-B9)</f>
        <v>585640</v>
      </c>
      <c r="C10" s="1840">
        <f>(C8-C9)</f>
        <v>101269</v>
      </c>
      <c r="D10" s="1840">
        <f>(D8-D9)</f>
        <v>95290</v>
      </c>
      <c r="E10" s="1839">
        <f>(E8-E9)</f>
        <v>31953</v>
      </c>
      <c r="F10" s="1841">
        <f>SUM(F8-F9)</f>
        <v>814152</v>
      </c>
    </row>
    <row r="11" spans="1:8" s="1080" customFormat="1" ht="14.25" thickTop="1" thickBot="1" x14ac:dyDescent="0.25">
      <c r="A11" s="1082" t="s">
        <v>1785</v>
      </c>
      <c r="B11" s="1842">
        <f>'Acct Summary 7-8'!C81</f>
        <v>1672498</v>
      </c>
      <c r="C11" s="1842">
        <f>'Acct Summary 7-8'!D81</f>
        <v>206532</v>
      </c>
      <c r="D11" s="1842">
        <f>'Acct Summary 7-8'!F81</f>
        <v>299718</v>
      </c>
      <c r="E11" s="1842">
        <f>'Acct Summary 7-8'!I81</f>
        <v>378373</v>
      </c>
      <c r="F11" s="1843">
        <f>SUM(B11:E11)</f>
        <v>2557121</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54092004026</v>
      </c>
    </row>
    <row r="3" spans="1:2" x14ac:dyDescent="0.2">
      <c r="A3" t="s">
        <v>1013</v>
      </c>
      <c r="B3" s="138" t="str">
        <f>COVER!A15</f>
        <v>VERMILION</v>
      </c>
    </row>
    <row r="4" spans="1:2" x14ac:dyDescent="0.2">
      <c r="A4" t="s">
        <v>1064</v>
      </c>
      <c r="B4" s="138" t="str">
        <f>COVER!A17</f>
        <v>Georgetown-Ridge Farm CUD 4</v>
      </c>
    </row>
    <row r="5" spans="1:2" x14ac:dyDescent="0.2">
      <c r="A5" t="s">
        <v>728</v>
      </c>
      <c r="B5" s="138" t="str">
        <f>COVER!A38</f>
        <v>JEAN NEAL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Yes</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1672498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1672498</v>
      </c>
      <c r="D92" s="2" t="str">
        <f t="shared" si="0"/>
        <v>Error?</v>
      </c>
    </row>
    <row r="93" spans="1:4" x14ac:dyDescent="0.2">
      <c r="A93" s="5">
        <v>32</v>
      </c>
      <c r="B93" s="138">
        <f>'Assets-Liab 5-6'!C41</f>
        <v>1672498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206532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206532</v>
      </c>
      <c r="D123" s="2" t="str">
        <f t="shared" si="0"/>
        <v>Error?</v>
      </c>
    </row>
    <row r="124" spans="1:4" x14ac:dyDescent="0.2">
      <c r="A124" s="5">
        <v>63</v>
      </c>
      <c r="B124" s="138">
        <f>'Assets-Liab 5-6'!D41</f>
        <v>206532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112519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112519</v>
      </c>
      <c r="D140" s="2" t="str">
        <f t="shared" si="1"/>
        <v>Error?</v>
      </c>
    </row>
    <row r="141" spans="1:4" x14ac:dyDescent="0.2">
      <c r="A141" s="5">
        <v>80</v>
      </c>
      <c r="B141" s="138">
        <f>'Assets-Liab 5-6'!E41</f>
        <v>112519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299718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299718</v>
      </c>
      <c r="D170" s="2" t="str">
        <f t="shared" si="1"/>
        <v>Error?</v>
      </c>
    </row>
    <row r="171" spans="1:4" x14ac:dyDescent="0.2">
      <c r="A171" s="5">
        <v>110</v>
      </c>
      <c r="B171" s="138">
        <f>'Assets-Liab 5-6'!F41</f>
        <v>299718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268197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268197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224718</v>
      </c>
      <c r="D273" s="2" t="str">
        <f t="shared" si="3"/>
        <v>Error?</v>
      </c>
    </row>
    <row r="274" spans="1:4" x14ac:dyDescent="0.2">
      <c r="A274" s="5">
        <v>213</v>
      </c>
      <c r="B274" s="138">
        <f>'Assets-Liab 5-6'!M17</f>
        <v>10948766</v>
      </c>
      <c r="D274" s="2" t="str">
        <f t="shared" si="3"/>
        <v>Error?</v>
      </c>
    </row>
    <row r="275" spans="1:4" x14ac:dyDescent="0.2">
      <c r="A275" s="5">
        <v>214</v>
      </c>
      <c r="B275" s="138">
        <f>'Assets-Liab 5-6'!M18</f>
        <v>2148462</v>
      </c>
      <c r="D275" s="2" t="str">
        <f t="shared" si="3"/>
        <v>Error?</v>
      </c>
    </row>
    <row r="276" spans="1:4" x14ac:dyDescent="0.2">
      <c r="A276" s="5">
        <v>215</v>
      </c>
      <c r="B276" s="138">
        <f>'Assets-Liab 5-6'!M19</f>
        <v>2877128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16199074</v>
      </c>
      <c r="C279" s="2" t="s">
        <v>594</v>
      </c>
      <c r="D279" s="2" t="str">
        <f t="shared" si="3"/>
        <v>Error?</v>
      </c>
    </row>
    <row r="280" spans="1:4" x14ac:dyDescent="0.2">
      <c r="A280" s="5">
        <v>219</v>
      </c>
      <c r="B280" s="138">
        <f>'Assets-Liab 5-6'!M40</f>
        <v>16199074</v>
      </c>
      <c r="D280" s="2" t="str">
        <f t="shared" si="3"/>
        <v>Error?</v>
      </c>
    </row>
    <row r="281" spans="1:4" x14ac:dyDescent="0.2">
      <c r="A281" s="5">
        <v>220</v>
      </c>
      <c r="B281" s="138">
        <f>'Assets-Liab 5-6'!M41</f>
        <v>16199074</v>
      </c>
      <c r="C281" s="2" t="s">
        <v>594</v>
      </c>
      <c r="D281" s="2" t="str">
        <f t="shared" si="3"/>
        <v>Error?</v>
      </c>
    </row>
    <row r="282" spans="1:4" x14ac:dyDescent="0.2">
      <c r="A282" s="5">
        <v>221</v>
      </c>
      <c r="B282" s="138">
        <f>'Assets-Liab 5-6'!N21</f>
        <v>112519</v>
      </c>
      <c r="D282" s="2" t="str">
        <f t="shared" si="3"/>
        <v>Error?</v>
      </c>
    </row>
    <row r="283" spans="1:4" x14ac:dyDescent="0.2">
      <c r="A283" s="5">
        <v>222</v>
      </c>
      <c r="B283" s="138">
        <f>'Assets-Liab 5-6'!N22</f>
        <v>4072481</v>
      </c>
      <c r="D283" s="2" t="str">
        <f t="shared" si="3"/>
        <v>Error?</v>
      </c>
    </row>
    <row r="284" spans="1:4" x14ac:dyDescent="0.2">
      <c r="A284" s="5">
        <v>223</v>
      </c>
      <c r="B284" s="138">
        <f>'Assets-Liab 5-6'!N23</f>
        <v>4185000</v>
      </c>
      <c r="C284" s="2" t="s">
        <v>594</v>
      </c>
      <c r="D284" s="2" t="str">
        <f t="shared" si="3"/>
        <v>Error?</v>
      </c>
    </row>
    <row r="285" spans="1:4" x14ac:dyDescent="0.2">
      <c r="A285" s="5">
        <v>224</v>
      </c>
      <c r="B285" s="138">
        <f>'Assets-Liab 5-6'!N36</f>
        <v>4185000</v>
      </c>
      <c r="D285" s="2" t="str">
        <f t="shared" si="3"/>
        <v>Error?</v>
      </c>
    </row>
    <row r="286" spans="1:4" x14ac:dyDescent="0.2">
      <c r="A286" s="10">
        <v>225</v>
      </c>
      <c r="D286" s="2" t="str">
        <f t="shared" si="3"/>
        <v>OK</v>
      </c>
    </row>
    <row r="287" spans="1:4" x14ac:dyDescent="0.2">
      <c r="A287" s="5">
        <v>226</v>
      </c>
      <c r="B287" s="138">
        <f>'Assets-Liab 5-6'!N37</f>
        <v>4185000</v>
      </c>
      <c r="C287" s="2" t="s">
        <v>594</v>
      </c>
      <c r="D287" s="2" t="str">
        <f t="shared" si="3"/>
        <v>Error?</v>
      </c>
    </row>
    <row r="288" spans="1:4" x14ac:dyDescent="0.2">
      <c r="A288" s="5">
        <v>227</v>
      </c>
      <c r="B288" s="138">
        <f>'Assets-Liab 5-6'!N41</f>
        <v>4185000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2040820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176569</v>
      </c>
      <c r="D717" s="2" t="str">
        <f t="shared" si="10"/>
        <v>Error?</v>
      </c>
    </row>
    <row r="718" spans="1:4" x14ac:dyDescent="0.2">
      <c r="A718" s="5">
        <v>657</v>
      </c>
      <c r="B718" s="138">
        <f>'Expenditures 15-22'!C14</f>
        <v>242799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3539843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65349</v>
      </c>
      <c r="D722" s="2" t="str">
        <f t="shared" si="10"/>
        <v>Error?</v>
      </c>
    </row>
    <row r="723" spans="1:4" x14ac:dyDescent="0.2">
      <c r="A723" s="5">
        <v>662</v>
      </c>
      <c r="B723" s="138">
        <f>'Expenditures 15-22'!C38</f>
        <v>15501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9974</v>
      </c>
      <c r="D726" s="2" t="str">
        <f t="shared" si="10"/>
        <v>Error?</v>
      </c>
    </row>
    <row r="727" spans="1:4" x14ac:dyDescent="0.2">
      <c r="A727" s="5">
        <v>666</v>
      </c>
      <c r="B727" s="138">
        <f>'Expenditures 15-22'!C42</f>
        <v>90824</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4171</v>
      </c>
      <c r="D732" s="2" t="str">
        <f t="shared" si="10"/>
        <v>Error?</v>
      </c>
    </row>
    <row r="733" spans="1:4" x14ac:dyDescent="0.2">
      <c r="A733" s="5">
        <v>672</v>
      </c>
      <c r="B733" s="138">
        <f>'Expenditures 15-22'!C50</f>
        <v>142532</v>
      </c>
      <c r="D733" s="2" t="str">
        <f t="shared" si="10"/>
        <v>Error?</v>
      </c>
    </row>
    <row r="734" spans="1:4" x14ac:dyDescent="0.2">
      <c r="A734" s="5">
        <v>673</v>
      </c>
      <c r="B734" s="138">
        <f>'Expenditures 15-22'!C53</f>
        <v>146703</v>
      </c>
      <c r="C734" s="2" t="s">
        <v>594</v>
      </c>
      <c r="D734" s="2" t="str">
        <f t="shared" si="10"/>
        <v>Error?</v>
      </c>
    </row>
    <row r="735" spans="1:4" x14ac:dyDescent="0.2">
      <c r="A735" s="5">
        <v>674</v>
      </c>
      <c r="B735" s="138">
        <f>'Expenditures 15-22'!C55</f>
        <v>549916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549916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81641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155828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237469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1024912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4564755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577057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37401</v>
      </c>
      <c r="D775" s="2" t="str">
        <f t="shared" si="11"/>
        <v>Error?</v>
      </c>
    </row>
    <row r="776" spans="1:4" x14ac:dyDescent="0.2">
      <c r="A776" s="5">
        <v>715</v>
      </c>
      <c r="B776" s="138">
        <f>'Expenditures 15-22'!D14</f>
        <v>46921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923538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9095</v>
      </c>
      <c r="D780" s="2" t="str">
        <f t="shared" si="11"/>
        <v>Error?</v>
      </c>
    </row>
    <row r="781" spans="1:4" x14ac:dyDescent="0.2">
      <c r="A781" s="5">
        <v>720</v>
      </c>
      <c r="B781" s="138">
        <f>'Expenditures 15-22'!D38</f>
        <v>1408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10503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43741</v>
      </c>
      <c r="D791" s="2" t="str">
        <f t="shared" si="11"/>
        <v>Error?</v>
      </c>
    </row>
    <row r="792" spans="1:4" x14ac:dyDescent="0.2">
      <c r="A792" s="5">
        <v>731</v>
      </c>
      <c r="B792" s="138">
        <f>'Expenditures 15-22'!D53</f>
        <v>43741</v>
      </c>
      <c r="C792" s="2" t="s">
        <v>594</v>
      </c>
      <c r="D792" s="2" t="str">
        <f t="shared" si="11"/>
        <v>Error?</v>
      </c>
    </row>
    <row r="793" spans="1:4" x14ac:dyDescent="0.2">
      <c r="A793" s="5">
        <v>732</v>
      </c>
      <c r="B793" s="138">
        <f>'Expenditures 15-22'!D55</f>
        <v>148120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148120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2817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35939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38756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241120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1164658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361856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5458</v>
      </c>
      <c r="D833" s="2" t="str">
        <f t="shared" si="12"/>
        <v>Error?</v>
      </c>
    </row>
    <row r="834" spans="1:4" x14ac:dyDescent="0.2">
      <c r="A834" s="5">
        <v>773</v>
      </c>
      <c r="B834" s="138">
        <f>'Expenditures 15-22'!E14</f>
        <v>33543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469128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402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402</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34557</v>
      </c>
      <c r="D848" s="2" t="str">
        <f t="shared" si="12"/>
        <v>Error?</v>
      </c>
    </row>
    <row r="849" spans="1:4" x14ac:dyDescent="0.2">
      <c r="A849" s="5">
        <v>788</v>
      </c>
      <c r="B849" s="138">
        <f>'Expenditures 15-22'!E50</f>
        <v>20168</v>
      </c>
      <c r="D849" s="2" t="str">
        <f t="shared" si="12"/>
        <v>Error?</v>
      </c>
    </row>
    <row r="850" spans="1:4" x14ac:dyDescent="0.2">
      <c r="A850" s="5">
        <v>789</v>
      </c>
      <c r="B850" s="138">
        <f>'Expenditures 15-22'!E53</f>
        <v>54725</v>
      </c>
      <c r="C850" s="2" t="s">
        <v>594</v>
      </c>
      <c r="D850" s="2" t="str">
        <f t="shared" si="12"/>
        <v>Error?</v>
      </c>
    </row>
    <row r="851" spans="1:4" x14ac:dyDescent="0.2">
      <c r="A851" s="5">
        <v>790</v>
      </c>
      <c r="B851" s="138">
        <f>'Expenditures 15-22'!E55</f>
        <v>7264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7264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589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659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63050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532178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38111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464</v>
      </c>
      <c r="D891" s="2" t="str">
        <f t="shared" si="12"/>
        <v>Error?</v>
      </c>
    </row>
    <row r="892" spans="1:4" x14ac:dyDescent="0.2">
      <c r="A892" s="5">
        <v>831</v>
      </c>
      <c r="B892" s="138">
        <f>'Expenditures 15-22'!F14</f>
        <v>61734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237887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1436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1436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49655</v>
      </c>
      <c r="D906" s="2" t="str">
        <f t="shared" si="13"/>
        <v>Error?</v>
      </c>
    </row>
    <row r="907" spans="1:4" x14ac:dyDescent="0.2">
      <c r="A907" s="5">
        <v>846</v>
      </c>
      <c r="B907" s="138">
        <f>'Expenditures 15-22'!F50</f>
        <v>5555</v>
      </c>
      <c r="D907" s="2" t="str">
        <f t="shared" si="13"/>
        <v>Error?</v>
      </c>
    </row>
    <row r="908" spans="1:4" x14ac:dyDescent="0.2">
      <c r="A908" s="5">
        <v>847</v>
      </c>
      <c r="B908" s="138">
        <f>'Expenditures 15-22'!F53</f>
        <v>55210</v>
      </c>
      <c r="C908" s="2" t="s">
        <v>594</v>
      </c>
      <c r="D908" s="2" t="str">
        <f t="shared" si="13"/>
        <v>Error?</v>
      </c>
    </row>
    <row r="909" spans="1:4" x14ac:dyDescent="0.2">
      <c r="A909" s="5">
        <v>848</v>
      </c>
      <c r="B909" s="138">
        <f>'Expenditures 15-22'!F55</f>
        <v>580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580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902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276469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277371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334597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572484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20016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20016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665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7223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18736</v>
      </c>
      <c r="D1022" s="2" t="str">
        <f t="shared" si="14"/>
        <v>Error?</v>
      </c>
    </row>
    <row r="1023" spans="1:4" x14ac:dyDescent="0.2">
      <c r="A1023" s="5">
        <v>962</v>
      </c>
      <c r="B1023" s="138">
        <f>'Expenditures 15-22'!H50</f>
        <v>1489</v>
      </c>
      <c r="D1023" s="2" t="str">
        <f t="shared" ref="D1023:D1086" si="15">IF(ISBLANK(B1023),"OK",IF(A1023-B1023=0,"OK","Error?"))</f>
        <v>Error?</v>
      </c>
    </row>
    <row r="1024" spans="1:4" x14ac:dyDescent="0.2">
      <c r="A1024" s="5">
        <v>963</v>
      </c>
      <c r="B1024" s="138">
        <f>'Expenditures 15-22'!H53</f>
        <v>20225</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20225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568411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595859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3018509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219892</v>
      </c>
      <c r="C1105" s="2" t="s">
        <v>594</v>
      </c>
      <c r="D1105" s="2" t="str">
        <f t="shared" si="16"/>
        <v>Error?</v>
      </c>
    </row>
    <row r="1106" spans="1:4" x14ac:dyDescent="0.2">
      <c r="A1106" s="5">
        <v>1045</v>
      </c>
      <c r="B1106" s="138">
        <f>'Expenditures 15-22'!K14</f>
        <v>385097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5197635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74444</v>
      </c>
      <c r="C1110" s="2" t="s">
        <v>594</v>
      </c>
      <c r="D1110" s="2" t="str">
        <f t="shared" si="16"/>
        <v>Error?</v>
      </c>
    </row>
    <row r="1111" spans="1:4" x14ac:dyDescent="0.2">
      <c r="A1111" s="5">
        <v>1050</v>
      </c>
      <c r="B1111" s="138">
        <f>'Expenditures 15-22'!K38</f>
        <v>18747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9974</v>
      </c>
      <c r="C1114" s="2" t="s">
        <v>594</v>
      </c>
      <c r="D1114" s="2" t="str">
        <f t="shared" si="16"/>
        <v>Error?</v>
      </c>
    </row>
    <row r="1115" spans="1:4" x14ac:dyDescent="0.2">
      <c r="A1115" s="5">
        <v>1054</v>
      </c>
      <c r="B1115" s="138">
        <f>'Expenditures 15-22'!K42</f>
        <v>103165</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107119</v>
      </c>
      <c r="C1120" s="2" t="s">
        <v>594</v>
      </c>
      <c r="D1120" s="2" t="str">
        <f t="shared" si="16"/>
        <v>Error?</v>
      </c>
    </row>
    <row r="1121" spans="1:4" x14ac:dyDescent="0.2">
      <c r="A1121" s="5">
        <v>1060</v>
      </c>
      <c r="B1121" s="138">
        <f>'Expenditures 15-22'!K50</f>
        <v>213485</v>
      </c>
      <c r="C1121" s="2" t="s">
        <v>594</v>
      </c>
      <c r="D1121" s="2" t="str">
        <f t="shared" si="16"/>
        <v>Error?</v>
      </c>
    </row>
    <row r="1122" spans="1:4" x14ac:dyDescent="0.2">
      <c r="A1122" s="5">
        <v>1061</v>
      </c>
      <c r="B1122" s="138">
        <f>'Expenditures 15-22'!K53</f>
        <v>320604</v>
      </c>
      <c r="C1122" s="2" t="s">
        <v>594</v>
      </c>
      <c r="D1122" s="2" t="str">
        <f t="shared" si="16"/>
        <v>Error?</v>
      </c>
    </row>
    <row r="1123" spans="1:4" x14ac:dyDescent="0.2">
      <c r="A1123" s="5">
        <v>1062</v>
      </c>
      <c r="B1123" s="138">
        <f>'Expenditures 15-22'!K55</f>
        <v>705880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705880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85430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468825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554255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1683904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568411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7449950</v>
      </c>
      <c r="C1152" s="2" t="s">
        <v>594</v>
      </c>
      <c r="D1152" s="2" t="str">
        <f t="shared" si="17"/>
        <v>Error?</v>
      </c>
    </row>
    <row r="1153" spans="1:4" x14ac:dyDescent="0.2">
      <c r="A1153" s="5">
        <v>1092</v>
      </c>
      <c r="B1153" s="138">
        <f>'Expenditures 15-22'!K115</f>
        <v>585640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256348</v>
      </c>
      <c r="D1221" s="2" t="str">
        <f t="shared" si="18"/>
        <v>Error?</v>
      </c>
    </row>
    <row r="1222" spans="1:4" x14ac:dyDescent="0.2">
      <c r="A1222" s="10">
        <v>1161</v>
      </c>
      <c r="D1222" s="2" t="str">
        <f t="shared" si="18"/>
        <v>OK</v>
      </c>
    </row>
    <row r="1223" spans="1:4" x14ac:dyDescent="0.2">
      <c r="A1223" s="5">
        <v>1162</v>
      </c>
      <c r="B1223" s="138">
        <f>'Expenditures 15-22'!C127</f>
        <v>256348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256348</v>
      </c>
      <c r="C1225" s="2" t="s">
        <v>594</v>
      </c>
      <c r="D1225" s="2" t="str">
        <f t="shared" si="18"/>
        <v>Error?</v>
      </c>
    </row>
    <row r="1226" spans="1:4" x14ac:dyDescent="0.2">
      <c r="A1226" s="5">
        <v>1165</v>
      </c>
      <c r="B1226" s="138">
        <f>'Expenditures 15-22'!C151</f>
        <v>256348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63148</v>
      </c>
      <c r="D1229" s="2" t="str">
        <f t="shared" si="18"/>
        <v>Error?</v>
      </c>
    </row>
    <row r="1230" spans="1:4" x14ac:dyDescent="0.2">
      <c r="A1230" s="10">
        <v>1169</v>
      </c>
      <c r="D1230" s="2" t="str">
        <f t="shared" si="18"/>
        <v>OK</v>
      </c>
    </row>
    <row r="1231" spans="1:4" x14ac:dyDescent="0.2">
      <c r="A1231" s="5">
        <v>1170</v>
      </c>
      <c r="B1231" s="138">
        <f>'Expenditures 15-22'!D127</f>
        <v>63148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63148</v>
      </c>
      <c r="C1233" s="2" t="s">
        <v>594</v>
      </c>
      <c r="D1233" s="2" t="str">
        <f t="shared" si="18"/>
        <v>Error?</v>
      </c>
    </row>
    <row r="1234" spans="1:4" x14ac:dyDescent="0.2">
      <c r="A1234" s="5">
        <v>1173</v>
      </c>
      <c r="B1234" s="138">
        <f>'Expenditures 15-22'!D151</f>
        <v>63148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93000</v>
      </c>
      <c r="D1237" s="2" t="str">
        <f t="shared" si="18"/>
        <v>Error?</v>
      </c>
    </row>
    <row r="1238" spans="1:4" x14ac:dyDescent="0.2">
      <c r="A1238" s="10">
        <v>1177</v>
      </c>
      <c r="D1238" s="2" t="str">
        <f t="shared" si="18"/>
        <v>OK</v>
      </c>
    </row>
    <row r="1239" spans="1:4" x14ac:dyDescent="0.2">
      <c r="A1239" s="5">
        <v>1178</v>
      </c>
      <c r="B1239" s="138">
        <f>'Expenditures 15-22'!E127</f>
        <v>93000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93000</v>
      </c>
      <c r="C1241" s="2" t="s">
        <v>594</v>
      </c>
      <c r="D1241" s="2" t="str">
        <f t="shared" si="18"/>
        <v>Error?</v>
      </c>
    </row>
    <row r="1242" spans="1:4" x14ac:dyDescent="0.2">
      <c r="A1242" s="5">
        <v>1181</v>
      </c>
      <c r="B1242" s="138">
        <f>'Expenditures 15-22'!E151</f>
        <v>93000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341380</v>
      </c>
      <c r="D1245" s="2" t="str">
        <f t="shared" si="18"/>
        <v>Error?</v>
      </c>
    </row>
    <row r="1246" spans="1:4" x14ac:dyDescent="0.2">
      <c r="A1246" s="10">
        <v>1185</v>
      </c>
      <c r="D1246" s="2" t="str">
        <f t="shared" si="18"/>
        <v>OK</v>
      </c>
    </row>
    <row r="1247" spans="1:4" x14ac:dyDescent="0.2">
      <c r="A1247" s="5">
        <v>1186</v>
      </c>
      <c r="B1247" s="138">
        <f>'Expenditures 15-22'!F127</f>
        <v>341380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341380</v>
      </c>
      <c r="C1249" s="2" t="s">
        <v>594</v>
      </c>
      <c r="D1249" s="2" t="str">
        <f t="shared" si="18"/>
        <v>Error?</v>
      </c>
    </row>
    <row r="1250" spans="1:4" x14ac:dyDescent="0.2">
      <c r="A1250" s="5">
        <v>1189</v>
      </c>
      <c r="B1250" s="138">
        <f>'Expenditures 15-22'!F151</f>
        <v>341380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753876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753876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753876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753876</v>
      </c>
      <c r="C1288" s="2" t="s">
        <v>594</v>
      </c>
      <c r="D1288" s="2" t="str">
        <f t="shared" si="19"/>
        <v>Error?</v>
      </c>
    </row>
    <row r="1289" spans="1:4" x14ac:dyDescent="0.2">
      <c r="A1289" s="5">
        <v>1228</v>
      </c>
      <c r="B1289" s="138">
        <f>'Expenditures 15-22'!K152</f>
        <v>101269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163133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769133</v>
      </c>
      <c r="C1317" s="2" t="s">
        <v>594</v>
      </c>
      <c r="D1317" s="2" t="str">
        <f t="shared" si="19"/>
        <v>Error?</v>
      </c>
    </row>
    <row r="1318" spans="1:4" x14ac:dyDescent="0.2">
      <c r="A1318" s="5">
        <v>1257</v>
      </c>
      <c r="B1318" s="138">
        <f>'Expenditures 15-22'!H174</f>
        <v>769133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163133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769133</v>
      </c>
      <c r="C1331" s="2" t="s">
        <v>594</v>
      </c>
      <c r="D1331" s="2" t="str">
        <f t="shared" si="19"/>
        <v>Error?</v>
      </c>
    </row>
    <row r="1332" spans="1:4" x14ac:dyDescent="0.2">
      <c r="A1332" s="5">
        <v>1271</v>
      </c>
      <c r="B1332" s="138">
        <f>'Expenditures 15-22'!K174</f>
        <v>769133</v>
      </c>
      <c r="C1332" s="2" t="s">
        <v>594</v>
      </c>
      <c r="D1332" s="2" t="str">
        <f t="shared" si="19"/>
        <v>Error?</v>
      </c>
    </row>
    <row r="1333" spans="1:4" x14ac:dyDescent="0.2">
      <c r="A1333" s="5">
        <v>1272</v>
      </c>
      <c r="B1333" s="138">
        <f>'Expenditures 15-22'!K175</f>
        <v>-2197</v>
      </c>
      <c r="C1333" s="2" t="s">
        <v>594</v>
      </c>
      <c r="D1333" s="2" t="str">
        <f t="shared" si="19"/>
        <v>Error?</v>
      </c>
    </row>
    <row r="1334" spans="1:4" x14ac:dyDescent="0.2">
      <c r="A1334" s="10">
        <v>1273</v>
      </c>
      <c r="D1334" s="2" t="str">
        <f t="shared" si="19"/>
        <v>OK</v>
      </c>
    </row>
    <row r="1335" spans="1:4" x14ac:dyDescent="0.2">
      <c r="A1335" s="5">
        <v>1274</v>
      </c>
      <c r="B1335" s="138">
        <f>'Expenditures 15-22'!C182</f>
        <v>226820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226820</v>
      </c>
      <c r="C1339" s="2" t="s">
        <v>594</v>
      </c>
      <c r="D1339" s="2" t="str">
        <f t="shared" si="19"/>
        <v>Error?</v>
      </c>
    </row>
    <row r="1340" spans="1:4" x14ac:dyDescent="0.2">
      <c r="A1340" s="5">
        <v>1279</v>
      </c>
      <c r="B1340" s="138">
        <f>'Expenditures 15-22'!C210</f>
        <v>226820</v>
      </c>
      <c r="C1340" s="2" t="s">
        <v>594</v>
      </c>
      <c r="D1340" s="2" t="str">
        <f t="shared" si="19"/>
        <v>Error?</v>
      </c>
    </row>
    <row r="1341" spans="1:4" x14ac:dyDescent="0.2">
      <c r="A1341" s="5">
        <v>1280</v>
      </c>
      <c r="B1341" s="138">
        <f>'Expenditures 15-22'!D182</f>
        <v>51558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51558</v>
      </c>
      <c r="C1345" s="2" t="s">
        <v>594</v>
      </c>
      <c r="D1345" s="2" t="str">
        <f t="shared" si="20"/>
        <v>Error?</v>
      </c>
    </row>
    <row r="1346" spans="1:4" x14ac:dyDescent="0.2">
      <c r="A1346" s="5">
        <v>1285</v>
      </c>
      <c r="B1346" s="138">
        <f>'Expenditures 15-22'!D210</f>
        <v>51558</v>
      </c>
      <c r="C1346" s="2" t="s">
        <v>594</v>
      </c>
      <c r="D1346" s="2" t="str">
        <f t="shared" si="20"/>
        <v>Error?</v>
      </c>
    </row>
    <row r="1347" spans="1:4" x14ac:dyDescent="0.2">
      <c r="A1347" s="5">
        <v>1286</v>
      </c>
      <c r="B1347" s="138">
        <f>'Expenditures 15-22'!E182</f>
        <v>144746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144746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144746</v>
      </c>
      <c r="C1353" s="2" t="s">
        <v>594</v>
      </c>
      <c r="D1353" s="2" t="str">
        <f t="shared" si="20"/>
        <v>Error?</v>
      </c>
    </row>
    <row r="1354" spans="1:4" x14ac:dyDescent="0.2">
      <c r="A1354" s="5">
        <v>1293</v>
      </c>
      <c r="B1354" s="138">
        <f>'Expenditures 15-22'!F182</f>
        <v>48407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48407</v>
      </c>
      <c r="C1358" s="2" t="s">
        <v>594</v>
      </c>
      <c r="D1358" s="2" t="str">
        <f t="shared" si="20"/>
        <v>Error?</v>
      </c>
    </row>
    <row r="1359" spans="1:4" x14ac:dyDescent="0.2">
      <c r="A1359" s="5">
        <v>1298</v>
      </c>
      <c r="B1359" s="138">
        <f>'Expenditures 15-22'!F210</f>
        <v>48407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471531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471531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471531</v>
      </c>
      <c r="C1388" s="2" t="s">
        <v>594</v>
      </c>
      <c r="D1388" s="2" t="str">
        <f t="shared" si="20"/>
        <v>Error?</v>
      </c>
    </row>
    <row r="1389" spans="1:4" x14ac:dyDescent="0.2">
      <c r="A1389" s="5">
        <v>1328</v>
      </c>
      <c r="B1389" s="138">
        <f>'Expenditures 15-22'!K211</f>
        <v>95290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2511</v>
      </c>
      <c r="D1407" s="2" t="str">
        <f t="shared" ref="D1407:D1470" si="21">IF(ISBLANK(B1407),"OK",IF(A1407-B1407=0,"OK","Error?"))</f>
        <v>Error?</v>
      </c>
    </row>
    <row r="1408" spans="1:4" x14ac:dyDescent="0.2">
      <c r="A1408" s="5">
        <v>1347</v>
      </c>
      <c r="B1408" s="138">
        <f>'Expenditures 15-22'!D223</f>
        <v>8384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140271</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942</v>
      </c>
      <c r="D1412" s="2" t="str">
        <f t="shared" si="21"/>
        <v>Error?</v>
      </c>
    </row>
    <row r="1413" spans="1:4" x14ac:dyDescent="0.2">
      <c r="A1413" s="5">
        <v>1352</v>
      </c>
      <c r="B1413" s="138">
        <f>'Expenditures 15-22'!D234</f>
        <v>8214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1092</v>
      </c>
      <c r="D1416" s="2" t="str">
        <f t="shared" si="21"/>
        <v>Error?</v>
      </c>
    </row>
    <row r="1417" spans="1:4" x14ac:dyDescent="0.2">
      <c r="A1417" s="5">
        <v>1356</v>
      </c>
      <c r="B1417" s="138">
        <f>'Expenditures 15-22'!D238</f>
        <v>10248</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987</v>
      </c>
      <c r="D1422" s="2" t="str">
        <f t="shared" si="21"/>
        <v>Error?</v>
      </c>
    </row>
    <row r="1423" spans="1:4" x14ac:dyDescent="0.2">
      <c r="A1423" s="5">
        <v>1362</v>
      </c>
      <c r="B1423" s="138">
        <f>'Expenditures 15-22'!D246</f>
        <v>10859</v>
      </c>
      <c r="D1423" s="2" t="str">
        <f t="shared" si="21"/>
        <v>Error?</v>
      </c>
    </row>
    <row r="1424" spans="1:4" x14ac:dyDescent="0.2">
      <c r="A1424" s="5">
        <v>1363</v>
      </c>
      <c r="B1424" s="138">
        <f>'Expenditures 15-22'!D257</f>
        <v>11846</v>
      </c>
      <c r="C1424" s="2" t="s">
        <v>594</v>
      </c>
      <c r="D1424" s="2" t="str">
        <f t="shared" si="21"/>
        <v>Error?</v>
      </c>
    </row>
    <row r="1425" spans="1:4" x14ac:dyDescent="0.2">
      <c r="A1425" s="5">
        <v>1364</v>
      </c>
      <c r="B1425" s="138">
        <f>'Expenditures 15-22'!D259</f>
        <v>49741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49741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19316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73771</v>
      </c>
      <c r="D1431" s="2" t="str">
        <f t="shared" si="21"/>
        <v>Error?</v>
      </c>
    </row>
    <row r="1432" spans="1:4" x14ac:dyDescent="0.2">
      <c r="A1432" s="5">
        <v>1371</v>
      </c>
      <c r="B1432" s="138">
        <f>'Expenditures 15-22'!D267</f>
        <v>49668</v>
      </c>
      <c r="D1432" s="2" t="str">
        <f t="shared" si="21"/>
        <v>Error?</v>
      </c>
    </row>
    <row r="1433" spans="1:4" x14ac:dyDescent="0.2">
      <c r="A1433" s="5">
        <v>1372</v>
      </c>
      <c r="B1433" s="138">
        <f>'Expenditures 15-22'!D268</f>
        <v>39197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181952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253787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394058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2511</v>
      </c>
      <c r="C1471" s="2" t="s">
        <v>594</v>
      </c>
      <c r="D1471" s="2" t="str">
        <f t="shared" ref="D1471:D1534" si="22">IF(ISBLANK(B1471),"OK",IF(A1471-B1471=0,"OK","Error?"))</f>
        <v>Error?</v>
      </c>
    </row>
    <row r="1472" spans="1:4" x14ac:dyDescent="0.2">
      <c r="A1472" s="5">
        <v>1411</v>
      </c>
      <c r="B1472" s="138">
        <f>'Expenditures 15-22'!K223</f>
        <v>8384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140271</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942</v>
      </c>
      <c r="C1476" s="2" t="s">
        <v>594</v>
      </c>
      <c r="D1476" s="2" t="str">
        <f t="shared" si="22"/>
        <v>Error?</v>
      </c>
    </row>
    <row r="1477" spans="1:4" x14ac:dyDescent="0.2">
      <c r="A1477" s="5">
        <v>1416</v>
      </c>
      <c r="B1477" s="138">
        <f>'Expenditures 15-22'!K234</f>
        <v>8214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1092</v>
      </c>
      <c r="C1480" s="2" t="s">
        <v>594</v>
      </c>
      <c r="D1480" s="2" t="str">
        <f t="shared" si="22"/>
        <v>Error?</v>
      </c>
    </row>
    <row r="1481" spans="1:4" x14ac:dyDescent="0.2">
      <c r="A1481" s="5">
        <v>1420</v>
      </c>
      <c r="B1481" s="138">
        <f>'Expenditures 15-22'!K238</f>
        <v>10248</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987</v>
      </c>
      <c r="C1486" s="2" t="s">
        <v>594</v>
      </c>
      <c r="D1486" s="2" t="str">
        <f t="shared" si="22"/>
        <v>Error?</v>
      </c>
    </row>
    <row r="1487" spans="1:4" x14ac:dyDescent="0.2">
      <c r="A1487" s="5">
        <v>1426</v>
      </c>
      <c r="B1487" s="138">
        <f>'Expenditures 15-22'!K246</f>
        <v>10859</v>
      </c>
      <c r="C1487" s="2" t="s">
        <v>594</v>
      </c>
      <c r="D1487" s="2" t="str">
        <f t="shared" si="22"/>
        <v>Error?</v>
      </c>
    </row>
    <row r="1488" spans="1:4" x14ac:dyDescent="0.2">
      <c r="A1488" s="5">
        <v>1427</v>
      </c>
      <c r="B1488" s="138">
        <f>'Expenditures 15-22'!K257</f>
        <v>11846</v>
      </c>
      <c r="C1488" s="2" t="s">
        <v>594</v>
      </c>
      <c r="D1488" s="2" t="str">
        <f t="shared" si="22"/>
        <v>Error?</v>
      </c>
    </row>
    <row r="1489" spans="1:4" x14ac:dyDescent="0.2">
      <c r="A1489" s="5">
        <v>1428</v>
      </c>
      <c r="B1489" s="138">
        <f>'Expenditures 15-22'!K259</f>
        <v>49741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49741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19316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73771</v>
      </c>
      <c r="C1495" s="2" t="s">
        <v>594</v>
      </c>
      <c r="D1495" s="2" t="str">
        <f t="shared" si="22"/>
        <v>Error?</v>
      </c>
    </row>
    <row r="1496" spans="1:4" x14ac:dyDescent="0.2">
      <c r="A1496" s="5">
        <v>1435</v>
      </c>
      <c r="B1496" s="138">
        <f>'Expenditures 15-22'!K267</f>
        <v>49668</v>
      </c>
      <c r="C1496" s="2" t="s">
        <v>594</v>
      </c>
      <c r="D1496" s="2" t="str">
        <f t="shared" si="22"/>
        <v>Error?</v>
      </c>
    </row>
    <row r="1497" spans="1:4" x14ac:dyDescent="0.2">
      <c r="A1497" s="5">
        <v>1436</v>
      </c>
      <c r="B1497" s="138">
        <f>'Expenditures 15-22'!K268</f>
        <v>39197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181952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253787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394058</v>
      </c>
      <c r="C1517" s="2" t="s">
        <v>594</v>
      </c>
      <c r="D1517" s="2" t="str">
        <f t="shared" si="22"/>
        <v>Error?</v>
      </c>
    </row>
    <row r="1518" spans="1:4" x14ac:dyDescent="0.2">
      <c r="A1518" s="5">
        <v>1457</v>
      </c>
      <c r="B1518" s="138">
        <f>'Expenditures 15-22'!K296</f>
        <v>-4788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524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524</v>
      </c>
      <c r="C1535" s="2" t="s">
        <v>594</v>
      </c>
      <c r="D1535" s="2" t="str">
        <f t="shared" ref="D1535:D1598" si="23">IF(ISBLANK(B1535),"OK",IF(A1535-B1535=0,"OK","Error?"))</f>
        <v>Error?</v>
      </c>
    </row>
    <row r="1536" spans="1:4" x14ac:dyDescent="0.2">
      <c r="A1536" s="5">
        <v>1475</v>
      </c>
      <c r="B1536" s="138">
        <f>'Expenditures 15-22'!E312</f>
        <v>524</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524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524</v>
      </c>
      <c r="C1559" s="2" t="s">
        <v>594</v>
      </c>
      <c r="D1559" s="2" t="str">
        <f t="shared" si="23"/>
        <v>Error?</v>
      </c>
    </row>
    <row r="1560" spans="1:4" x14ac:dyDescent="0.2">
      <c r="A1560" s="5">
        <v>1499</v>
      </c>
      <c r="B1560" s="138">
        <f>'Expenditures 15-22'!K312</f>
        <v>524</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1086858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1672498</v>
      </c>
      <c r="C1630" s="2" t="s">
        <v>594</v>
      </c>
      <c r="D1630" s="2" t="str">
        <f t="shared" si="24"/>
        <v>Error?</v>
      </c>
    </row>
    <row r="1631" spans="1:4" x14ac:dyDescent="0.2">
      <c r="A1631" s="5">
        <v>1570</v>
      </c>
      <c r="B1631" s="138">
        <f>'Acct Summary 7-8'!D79</f>
        <v>105263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206532</v>
      </c>
      <c r="C1644" s="2" t="s">
        <v>594</v>
      </c>
      <c r="D1644" s="2" t="str">
        <f t="shared" si="24"/>
        <v>Error?</v>
      </c>
    </row>
    <row r="1645" spans="1:4" x14ac:dyDescent="0.2">
      <c r="A1645" s="5">
        <v>1584</v>
      </c>
      <c r="B1645" s="138">
        <f>'Acct Summary 7-8'!E79</f>
        <v>114716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112519</v>
      </c>
      <c r="C1658" s="2" t="s">
        <v>594</v>
      </c>
      <c r="D1658" s="2" t="str">
        <f t="shared" si="24"/>
        <v>Error?</v>
      </c>
    </row>
    <row r="1659" spans="1:4" x14ac:dyDescent="0.2">
      <c r="A1659" s="5">
        <v>1598</v>
      </c>
      <c r="B1659" s="138">
        <f>'Acct Summary 7-8'!F79</f>
        <v>204428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299718</v>
      </c>
      <c r="C1672" s="2" t="s">
        <v>594</v>
      </c>
      <c r="D1672" s="2" t="str">
        <f t="shared" si="25"/>
        <v>Error?</v>
      </c>
    </row>
    <row r="1673" spans="1:4" x14ac:dyDescent="0.2">
      <c r="A1673" s="5">
        <v>1612</v>
      </c>
      <c r="B1673" s="138">
        <f>'Acct Summary 7-8'!G79</f>
        <v>272985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268197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1276890</v>
      </c>
      <c r="C1744" s="2" t="s">
        <v>594</v>
      </c>
      <c r="D1744" s="2" t="str">
        <f t="shared" si="26"/>
        <v>Error?</v>
      </c>
    </row>
    <row r="1745" spans="1:5" x14ac:dyDescent="0.2">
      <c r="A1745" s="5">
        <v>1684</v>
      </c>
      <c r="B1745" s="138">
        <f>'Tax Sched 23'!B5</f>
        <v>319224</v>
      </c>
      <c r="C1745" s="2" t="s">
        <v>594</v>
      </c>
      <c r="D1745" s="2" t="str">
        <f t="shared" si="26"/>
        <v>Error?</v>
      </c>
    </row>
    <row r="1746" spans="1:5" x14ac:dyDescent="0.2">
      <c r="A1746" s="5">
        <v>1685</v>
      </c>
      <c r="B1746" s="138">
        <f>'Tax Sched 23'!B6</f>
        <v>766208</v>
      </c>
      <c r="C1746" s="2" t="s">
        <v>594</v>
      </c>
      <c r="D1746" s="2" t="str">
        <f t="shared" si="26"/>
        <v>Error?</v>
      </c>
    </row>
    <row r="1747" spans="1:5" x14ac:dyDescent="0.2">
      <c r="A1747" s="5">
        <v>1686</v>
      </c>
      <c r="B1747" s="138">
        <f>'Tax Sched 23'!B7</f>
        <v>127691</v>
      </c>
      <c r="C1747" s="2" t="s">
        <v>594</v>
      </c>
      <c r="D1747" s="2" t="str">
        <f t="shared" si="26"/>
        <v>Error?</v>
      </c>
    </row>
    <row r="1748" spans="1:5" x14ac:dyDescent="0.2">
      <c r="A1748" s="5">
        <v>1687</v>
      </c>
      <c r="B1748" s="138">
        <f>'Tax Sched 23'!B8</f>
        <v>174474</v>
      </c>
      <c r="C1748" s="2" t="s">
        <v>594</v>
      </c>
      <c r="D1748" s="2" t="str">
        <f t="shared" si="26"/>
        <v>Error?</v>
      </c>
    </row>
    <row r="1749" spans="1:5" x14ac:dyDescent="0.2">
      <c r="A1749" s="5">
        <v>1688</v>
      </c>
      <c r="B1749" s="138">
        <f>'Tax Sched 23'!B10</f>
        <v>31923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548345</v>
      </c>
      <c r="C1752" s="2" t="s">
        <v>594</v>
      </c>
      <c r="D1752" s="2" t="str">
        <f t="shared" si="26"/>
        <v>Error?</v>
      </c>
    </row>
    <row r="1753" spans="1:5" x14ac:dyDescent="0.2">
      <c r="A1753" s="5">
        <v>1692</v>
      </c>
      <c r="B1753" s="138">
        <f>'Tax Sched 23'!B12</f>
        <v>31923</v>
      </c>
      <c r="C1753" s="2" t="s">
        <v>594</v>
      </c>
      <c r="D1753" s="2" t="str">
        <f t="shared" si="26"/>
        <v>Error?</v>
      </c>
    </row>
    <row r="1754" spans="1:5" x14ac:dyDescent="0.2">
      <c r="A1754" s="5">
        <v>1693</v>
      </c>
      <c r="B1754" s="138">
        <f>'Tax Sched 23'!B14</f>
        <v>25539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3563371</v>
      </c>
      <c r="C1759" s="2" t="s">
        <v>594</v>
      </c>
      <c r="D1759" s="2" t="str">
        <f t="shared" si="26"/>
        <v>Error?</v>
      </c>
    </row>
    <row r="1760" spans="1:5" x14ac:dyDescent="0.2">
      <c r="A1760" s="5">
        <v>1699</v>
      </c>
      <c r="B1760" s="138">
        <f>'Tax Sched 23'!D4</f>
        <v>1276890</v>
      </c>
      <c r="C1760" s="2" t="s">
        <v>594</v>
      </c>
      <c r="D1760" s="2" t="str">
        <f t="shared" si="26"/>
        <v>Error?</v>
      </c>
    </row>
    <row r="1761" spans="1:5" x14ac:dyDescent="0.2">
      <c r="A1761" s="5">
        <v>1700</v>
      </c>
      <c r="B1761" s="138">
        <f>'Tax Sched 23'!D5</f>
        <v>319224</v>
      </c>
      <c r="C1761" s="2" t="s">
        <v>594</v>
      </c>
      <c r="D1761" s="2" t="str">
        <f t="shared" si="26"/>
        <v>Error?</v>
      </c>
    </row>
    <row r="1762" spans="1:5" s="8" customFormat="1" x14ac:dyDescent="0.2">
      <c r="A1762" s="5">
        <v>1701</v>
      </c>
      <c r="B1762" s="138">
        <f>'Tax Sched 23'!D6</f>
        <v>766208</v>
      </c>
      <c r="C1762" s="2" t="s">
        <v>594</v>
      </c>
      <c r="D1762" s="2" t="str">
        <f t="shared" si="26"/>
        <v>Error?</v>
      </c>
      <c r="E1762" s="9"/>
    </row>
    <row r="1763" spans="1:5" x14ac:dyDescent="0.2">
      <c r="A1763" s="5">
        <v>1702</v>
      </c>
      <c r="B1763" s="138">
        <f>'Tax Sched 23'!D7</f>
        <v>127691</v>
      </c>
      <c r="C1763" s="2" t="s">
        <v>594</v>
      </c>
      <c r="D1763" s="2" t="str">
        <f t="shared" si="26"/>
        <v>Error?</v>
      </c>
    </row>
    <row r="1764" spans="1:5" x14ac:dyDescent="0.2">
      <c r="A1764" s="5">
        <v>1703</v>
      </c>
      <c r="B1764" s="138">
        <f>'Tax Sched 23'!D8</f>
        <v>174474</v>
      </c>
      <c r="C1764" s="2" t="s">
        <v>594</v>
      </c>
      <c r="D1764" s="2" t="str">
        <f t="shared" si="26"/>
        <v>Error?</v>
      </c>
    </row>
    <row r="1765" spans="1:5" x14ac:dyDescent="0.2">
      <c r="A1765" s="5">
        <v>1704</v>
      </c>
      <c r="B1765" s="138">
        <f>'Tax Sched 23'!D10</f>
        <v>31923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548345</v>
      </c>
      <c r="C1768" s="2" t="s">
        <v>594</v>
      </c>
      <c r="D1768" s="2" t="str">
        <f t="shared" si="26"/>
        <v>Error?</v>
      </c>
    </row>
    <row r="1769" spans="1:5" x14ac:dyDescent="0.2">
      <c r="A1769" s="5">
        <v>1708</v>
      </c>
      <c r="B1769" s="138">
        <f>'Tax Sched 23'!D12</f>
        <v>31923</v>
      </c>
      <c r="C1769" s="2" t="s">
        <v>594</v>
      </c>
      <c r="D1769" s="2" t="str">
        <f t="shared" si="26"/>
        <v>Error?</v>
      </c>
    </row>
    <row r="1770" spans="1:5" x14ac:dyDescent="0.2">
      <c r="A1770" s="5">
        <v>1709</v>
      </c>
      <c r="B1770" s="138">
        <f>'Tax Sched 23'!D14</f>
        <v>25539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3563371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1343942</v>
      </c>
      <c r="C1792" s="2" t="s">
        <v>594</v>
      </c>
      <c r="D1792" s="2" t="str">
        <f t="shared" si="27"/>
        <v>Error?</v>
      </c>
    </row>
    <row r="1793" spans="1:4" x14ac:dyDescent="0.2">
      <c r="A1793" s="5">
        <v>1732</v>
      </c>
      <c r="B1793" s="138">
        <f>'Tax Sched 23'!F5</f>
        <v>335986</v>
      </c>
      <c r="C1793" s="2" t="s">
        <v>594</v>
      </c>
      <c r="D1793" s="2" t="str">
        <f t="shared" si="27"/>
        <v>Error?</v>
      </c>
    </row>
    <row r="1794" spans="1:4" x14ac:dyDescent="0.2">
      <c r="A1794" s="5">
        <v>1733</v>
      </c>
      <c r="B1794" s="138">
        <f>'Tax Sched 23'!F6</f>
        <v>628871</v>
      </c>
      <c r="C1794" s="2" t="s">
        <v>594</v>
      </c>
      <c r="D1794" s="2" t="str">
        <f t="shared" si="27"/>
        <v>Error?</v>
      </c>
    </row>
    <row r="1795" spans="1:4" x14ac:dyDescent="0.2">
      <c r="A1795" s="5">
        <v>1734</v>
      </c>
      <c r="B1795" s="138">
        <f>'Tax Sched 23'!F7</f>
        <v>134394</v>
      </c>
      <c r="C1795" s="2" t="s">
        <v>594</v>
      </c>
      <c r="D1795" s="2" t="str">
        <f t="shared" si="27"/>
        <v>Error?</v>
      </c>
    </row>
    <row r="1796" spans="1:4" x14ac:dyDescent="0.2">
      <c r="A1796" s="5">
        <v>1735</v>
      </c>
      <c r="B1796" s="138">
        <f>'Tax Sched 23'!F8</f>
        <v>175001</v>
      </c>
      <c r="C1796" s="2" t="s">
        <v>594</v>
      </c>
      <c r="D1796" s="2" t="str">
        <f t="shared" si="27"/>
        <v>Error?</v>
      </c>
    </row>
    <row r="1797" spans="1:4" x14ac:dyDescent="0.2">
      <c r="A1797" s="5">
        <v>1736</v>
      </c>
      <c r="B1797" s="138">
        <f>'Tax Sched 23'!F10</f>
        <v>33599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550002</v>
      </c>
      <c r="C1800" s="2" t="s">
        <v>594</v>
      </c>
      <c r="D1800" s="2" t="str">
        <f t="shared" si="27"/>
        <v>Error?</v>
      </c>
    </row>
    <row r="1801" spans="1:4" x14ac:dyDescent="0.2">
      <c r="A1801" s="5">
        <v>1740</v>
      </c>
      <c r="B1801" s="138">
        <f>'Tax Sched 23'!F12</f>
        <v>33599</v>
      </c>
      <c r="C1801" s="2" t="s">
        <v>594</v>
      </c>
      <c r="D1801" s="2" t="str">
        <f t="shared" si="27"/>
        <v>Error?</v>
      </c>
    </row>
    <row r="1802" spans="1:4" x14ac:dyDescent="0.2">
      <c r="A1802" s="5">
        <v>1741</v>
      </c>
      <c r="B1802" s="138">
        <f>'Tax Sched 23'!F14</f>
        <v>26879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3527587</v>
      </c>
      <c r="C1807" s="2" t="s">
        <v>594</v>
      </c>
      <c r="D1807" s="2" t="str">
        <f t="shared" si="27"/>
        <v>Error?</v>
      </c>
    </row>
    <row r="1808" spans="1:4" x14ac:dyDescent="0.2">
      <c r="A1808" s="5">
        <v>1747</v>
      </c>
      <c r="B1808" s="138">
        <f>'Tax Sched 23'!E4</f>
        <v>1343942</v>
      </c>
      <c r="D1808" s="2" t="str">
        <f t="shared" si="27"/>
        <v>Error?</v>
      </c>
    </row>
    <row r="1809" spans="1:4" x14ac:dyDescent="0.2">
      <c r="A1809" s="5">
        <v>1748</v>
      </c>
      <c r="B1809" s="138">
        <f>'Tax Sched 23'!E5</f>
        <v>335986</v>
      </c>
      <c r="D1809" s="2" t="str">
        <f t="shared" si="27"/>
        <v>Error?</v>
      </c>
    </row>
    <row r="1810" spans="1:4" x14ac:dyDescent="0.2">
      <c r="A1810" s="5">
        <v>1749</v>
      </c>
      <c r="B1810" s="138">
        <f>'Tax Sched 23'!E6</f>
        <v>628871</v>
      </c>
      <c r="D1810" s="2" t="str">
        <f t="shared" si="27"/>
        <v>Error?</v>
      </c>
    </row>
    <row r="1811" spans="1:4" x14ac:dyDescent="0.2">
      <c r="A1811" s="5">
        <v>1750</v>
      </c>
      <c r="B1811" s="138">
        <f>'Tax Sched 23'!E7</f>
        <v>134394</v>
      </c>
      <c r="D1811" s="2" t="str">
        <f t="shared" si="27"/>
        <v>Error?</v>
      </c>
    </row>
    <row r="1812" spans="1:4" x14ac:dyDescent="0.2">
      <c r="A1812" s="5">
        <v>1751</v>
      </c>
      <c r="B1812" s="138">
        <f>'Tax Sched 23'!E8</f>
        <v>175001</v>
      </c>
      <c r="D1812" s="2" t="str">
        <f t="shared" si="27"/>
        <v>Error?</v>
      </c>
    </row>
    <row r="1813" spans="1:4" x14ac:dyDescent="0.2">
      <c r="A1813" s="5">
        <v>1752</v>
      </c>
      <c r="B1813" s="138">
        <f>'Tax Sched 23'!E10</f>
        <v>33599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550002</v>
      </c>
      <c r="D1816" s="2" t="str">
        <f t="shared" si="27"/>
        <v>Error?</v>
      </c>
    </row>
    <row r="1817" spans="1:4" x14ac:dyDescent="0.2">
      <c r="A1817" s="5">
        <v>1756</v>
      </c>
      <c r="B1817" s="138">
        <f>'Tax Sched 23'!E12</f>
        <v>33599</v>
      </c>
      <c r="D1817" s="2" t="str">
        <f t="shared" si="27"/>
        <v>Error?</v>
      </c>
    </row>
    <row r="1818" spans="1:4" x14ac:dyDescent="0.2">
      <c r="A1818" s="5">
        <v>1757</v>
      </c>
      <c r="B1818" s="138">
        <f>'Tax Sched 23'!E14</f>
        <v>26879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3527587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4790000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25539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25539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25539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224718</v>
      </c>
      <c r="D2008" s="2" t="str">
        <f t="shared" si="30"/>
        <v>Error?</v>
      </c>
    </row>
    <row r="2009" spans="1:4" x14ac:dyDescent="0.2">
      <c r="A2009" s="5">
        <v>1948</v>
      </c>
      <c r="B2009" s="138">
        <f>'Cap Outlay Deprec 26'!C8</f>
        <v>10948766</v>
      </c>
      <c r="D2009" s="2" t="str">
        <f t="shared" si="30"/>
        <v>Error?</v>
      </c>
    </row>
    <row r="2010" spans="1:4" x14ac:dyDescent="0.2">
      <c r="A2010" s="5">
        <v>1949</v>
      </c>
      <c r="B2010" s="138">
        <f>'Cap Outlay Deprec 26'!C10</f>
        <v>1303474</v>
      </c>
      <c r="D2010" s="2" t="str">
        <f t="shared" si="30"/>
        <v>Error?</v>
      </c>
    </row>
    <row r="2011" spans="1:4" x14ac:dyDescent="0.2">
      <c r="A2011" s="5">
        <v>1950</v>
      </c>
      <c r="B2011" s="138">
        <f>'Cap Outlay Deprec 26'!C12</f>
        <v>1770152</v>
      </c>
      <c r="D2011" s="2" t="str">
        <f t="shared" si="30"/>
        <v>Error?</v>
      </c>
    </row>
    <row r="2012" spans="1:4" x14ac:dyDescent="0.2">
      <c r="A2012" s="5">
        <v>1951</v>
      </c>
      <c r="B2012" s="138">
        <f>'Cap Outlay Deprec 26'!C13</f>
        <v>1086960</v>
      </c>
      <c r="D2012" s="2" t="str">
        <f t="shared" si="30"/>
        <v>Error?</v>
      </c>
    </row>
    <row r="2013" spans="1:4" x14ac:dyDescent="0.2">
      <c r="A2013" s="5">
        <v>1952</v>
      </c>
      <c r="B2013" s="138">
        <f>'Cap Outlay Deprec 26'!C16</f>
        <v>15334070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844988</v>
      </c>
      <c r="D2016" s="2" t="str">
        <f t="shared" si="30"/>
        <v>Error?</v>
      </c>
    </row>
    <row r="2017" spans="1:4" x14ac:dyDescent="0.2">
      <c r="A2017" s="5">
        <v>1956</v>
      </c>
      <c r="B2017" s="138">
        <f>'Cap Outlay Deprec 26'!D12</f>
        <v>20016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865004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224718</v>
      </c>
      <c r="C2026" s="2" t="s">
        <v>594</v>
      </c>
      <c r="D2026" s="2" t="str">
        <f t="shared" si="30"/>
        <v>Error?</v>
      </c>
    </row>
    <row r="2027" spans="1:4" x14ac:dyDescent="0.2">
      <c r="A2027" s="5">
        <v>1966</v>
      </c>
      <c r="B2027" s="138">
        <f>'Cap Outlay Deprec 26'!F8</f>
        <v>10948766</v>
      </c>
      <c r="C2027" s="2" t="s">
        <v>594</v>
      </c>
      <c r="D2027" s="2" t="str">
        <f t="shared" si="30"/>
        <v>Error?</v>
      </c>
    </row>
    <row r="2028" spans="1:4" x14ac:dyDescent="0.2">
      <c r="A2028" s="5">
        <v>1967</v>
      </c>
      <c r="B2028" s="138">
        <f>'Cap Outlay Deprec 26'!F10</f>
        <v>2148462</v>
      </c>
      <c r="C2028" s="2" t="s">
        <v>594</v>
      </c>
      <c r="D2028" s="2" t="str">
        <f t="shared" si="30"/>
        <v>Error?</v>
      </c>
    </row>
    <row r="2029" spans="1:4" x14ac:dyDescent="0.2">
      <c r="A2029" s="5">
        <v>1968</v>
      </c>
      <c r="B2029" s="138">
        <f>'Cap Outlay Deprec 26'!F12</f>
        <v>1790168</v>
      </c>
      <c r="C2029" s="2" t="s">
        <v>594</v>
      </c>
      <c r="D2029" s="2" t="str">
        <f t="shared" si="30"/>
        <v>Error?</v>
      </c>
    </row>
    <row r="2030" spans="1:4" x14ac:dyDescent="0.2">
      <c r="A2030" s="5">
        <v>1969</v>
      </c>
      <c r="B2030" s="138">
        <f>'Cap Outlay Deprec 26'!F13</f>
        <v>1086960</v>
      </c>
      <c r="C2030" s="2" t="s">
        <v>594</v>
      </c>
      <c r="D2030" s="2" t="str">
        <f t="shared" si="30"/>
        <v>Error?</v>
      </c>
    </row>
    <row r="2031" spans="1:4" x14ac:dyDescent="0.2">
      <c r="A2031" s="5">
        <v>1970</v>
      </c>
      <c r="B2031" s="138">
        <f>'Cap Outlay Deprec 26'!F16</f>
        <v>16199074</v>
      </c>
      <c r="C2031" s="2" t="s">
        <v>594</v>
      </c>
      <c r="D2031" s="2" t="str">
        <f t="shared" si="30"/>
        <v>Error?</v>
      </c>
    </row>
    <row r="2032" spans="1:4" x14ac:dyDescent="0.2">
      <c r="A2032" s="10">
        <v>1971</v>
      </c>
      <c r="D2032" s="2" t="str">
        <f t="shared" si="30"/>
        <v>OK</v>
      </c>
    </row>
    <row r="2033" spans="1:4" x14ac:dyDescent="0.2">
      <c r="A2033" s="5">
        <v>1972</v>
      </c>
      <c r="B2033" s="138">
        <f>'Cap Outlay Deprec 26'!H8</f>
        <v>5894605</v>
      </c>
      <c r="D2033" s="2" t="str">
        <f t="shared" si="30"/>
        <v>Error?</v>
      </c>
    </row>
    <row r="2034" spans="1:4" x14ac:dyDescent="0.2">
      <c r="A2034" s="5">
        <v>1973</v>
      </c>
      <c r="B2034" s="138">
        <f>'Cap Outlay Deprec 26'!H10</f>
        <v>144626</v>
      </c>
      <c r="D2034" s="2" t="str">
        <f t="shared" si="30"/>
        <v>Error?</v>
      </c>
    </row>
    <row r="2035" spans="1:4" x14ac:dyDescent="0.2">
      <c r="A2035" s="5">
        <v>1974</v>
      </c>
      <c r="B2035" s="138">
        <f>'Cap Outlay Deprec 26'!H12</f>
        <v>1682128</v>
      </c>
      <c r="D2035" s="2" t="str">
        <f t="shared" si="30"/>
        <v>Error?</v>
      </c>
    </row>
    <row r="2036" spans="1:4" x14ac:dyDescent="0.2">
      <c r="A2036" s="5">
        <v>1975</v>
      </c>
      <c r="B2036" s="138">
        <f>'Cap Outlay Deprec 26'!H13</f>
        <v>729011</v>
      </c>
      <c r="D2036" s="2" t="str">
        <f t="shared" si="30"/>
        <v>Error?</v>
      </c>
    </row>
    <row r="2037" spans="1:4" x14ac:dyDescent="0.2">
      <c r="A2037" s="5">
        <v>1976</v>
      </c>
      <c r="B2037" s="138">
        <f>'Cap Outlay Deprec 26'!H16</f>
        <v>8450370</v>
      </c>
      <c r="C2037" s="2" t="s">
        <v>594</v>
      </c>
      <c r="D2037" s="2" t="str">
        <f t="shared" si="30"/>
        <v>Error?</v>
      </c>
    </row>
    <row r="2038" spans="1:4" x14ac:dyDescent="0.2">
      <c r="A2038" s="10">
        <v>1977</v>
      </c>
      <c r="D2038" s="2" t="str">
        <f t="shared" si="30"/>
        <v>OK</v>
      </c>
    </row>
    <row r="2039" spans="1:4" x14ac:dyDescent="0.2">
      <c r="A2039" s="5">
        <v>1978</v>
      </c>
      <c r="B2039" s="138">
        <f>'Cap Outlay Deprec 26'!I8</f>
        <v>197080</v>
      </c>
      <c r="D2039" s="2" t="str">
        <f t="shared" si="30"/>
        <v>Error?</v>
      </c>
    </row>
    <row r="2040" spans="1:4" x14ac:dyDescent="0.2">
      <c r="A2040" s="5">
        <v>1979</v>
      </c>
      <c r="B2040" s="138">
        <f>'Cap Outlay Deprec 26'!I10</f>
        <v>107423</v>
      </c>
      <c r="D2040" s="2" t="str">
        <f t="shared" si="30"/>
        <v>Error?</v>
      </c>
    </row>
    <row r="2041" spans="1:4" x14ac:dyDescent="0.2">
      <c r="A2041" s="5">
        <v>1980</v>
      </c>
      <c r="B2041" s="138">
        <f>'Cap Outlay Deprec 26'!I12</f>
        <v>18006</v>
      </c>
      <c r="D2041" s="2" t="str">
        <f t="shared" si="30"/>
        <v>Error?</v>
      </c>
    </row>
    <row r="2042" spans="1:4" x14ac:dyDescent="0.2">
      <c r="A2042" s="5">
        <v>1981</v>
      </c>
      <c r="B2042" s="138">
        <f>'Cap Outlay Deprec 26'!I13</f>
        <v>137718</v>
      </c>
      <c r="D2042" s="2" t="str">
        <f t="shared" si="30"/>
        <v>Error?</v>
      </c>
    </row>
    <row r="2043" spans="1:4" x14ac:dyDescent="0.2">
      <c r="A2043" s="5">
        <v>1982</v>
      </c>
      <c r="B2043" s="138">
        <f>'Cap Outlay Deprec 26'!I16</f>
        <v>460227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6091685</v>
      </c>
      <c r="C2051" s="2" t="s">
        <v>594</v>
      </c>
      <c r="D2051" s="2" t="str">
        <f t="shared" si="31"/>
        <v>Error?</v>
      </c>
    </row>
    <row r="2052" spans="1:4" x14ac:dyDescent="0.2">
      <c r="A2052" s="5">
        <v>1991</v>
      </c>
      <c r="B2052" s="138">
        <f>'Cap Outlay Deprec 26'!K10</f>
        <v>252049</v>
      </c>
      <c r="C2052" s="2" t="s">
        <v>594</v>
      </c>
      <c r="D2052" s="2" t="str">
        <f t="shared" si="31"/>
        <v>Error?</v>
      </c>
    </row>
    <row r="2053" spans="1:4" x14ac:dyDescent="0.2">
      <c r="A2053" s="5">
        <v>1992</v>
      </c>
      <c r="B2053" s="138">
        <f>'Cap Outlay Deprec 26'!K12</f>
        <v>1700134</v>
      </c>
      <c r="C2053" s="2" t="s">
        <v>594</v>
      </c>
      <c r="D2053" s="2" t="str">
        <f t="shared" si="31"/>
        <v>Error?</v>
      </c>
    </row>
    <row r="2054" spans="1:4" x14ac:dyDescent="0.2">
      <c r="A2054" s="5">
        <v>1993</v>
      </c>
      <c r="B2054" s="138">
        <f>'Cap Outlay Deprec 26'!K13</f>
        <v>866729</v>
      </c>
      <c r="C2054" s="2" t="s">
        <v>594</v>
      </c>
      <c r="D2054" s="2" t="str">
        <f t="shared" si="31"/>
        <v>Error?</v>
      </c>
    </row>
    <row r="2055" spans="1:4" x14ac:dyDescent="0.2">
      <c r="A2055" s="5">
        <v>1994</v>
      </c>
      <c r="B2055" s="138">
        <f>'Cap Outlay Deprec 26'!K16</f>
        <v>8910597</v>
      </c>
      <c r="C2055" s="2" t="s">
        <v>594</v>
      </c>
      <c r="D2055" s="2" t="str">
        <f t="shared" si="31"/>
        <v>Error?</v>
      </c>
    </row>
    <row r="2056" spans="1:4" x14ac:dyDescent="0.2">
      <c r="A2056" s="5">
        <v>1995</v>
      </c>
      <c r="B2056" s="138">
        <f>'Cap Outlay Deprec 26'!L5</f>
        <v>224718</v>
      </c>
      <c r="C2056" s="2" t="s">
        <v>594</v>
      </c>
      <c r="D2056" s="2" t="str">
        <f t="shared" si="31"/>
        <v>Error?</v>
      </c>
    </row>
    <row r="2057" spans="1:4" x14ac:dyDescent="0.2">
      <c r="A2057" s="5">
        <v>1996</v>
      </c>
      <c r="B2057" s="138">
        <f>'Cap Outlay Deprec 26'!L8</f>
        <v>4857081</v>
      </c>
      <c r="C2057" s="2" t="s">
        <v>594</v>
      </c>
      <c r="D2057" s="2" t="str">
        <f t="shared" si="31"/>
        <v>Error?</v>
      </c>
    </row>
    <row r="2058" spans="1:4" x14ac:dyDescent="0.2">
      <c r="A2058" s="5">
        <v>1997</v>
      </c>
      <c r="B2058" s="138">
        <f>'Cap Outlay Deprec 26'!L10</f>
        <v>1896413</v>
      </c>
      <c r="C2058" s="2" t="s">
        <v>594</v>
      </c>
      <c r="D2058" s="2" t="str">
        <f t="shared" si="31"/>
        <v>Error?</v>
      </c>
    </row>
    <row r="2059" spans="1:4" x14ac:dyDescent="0.2">
      <c r="A2059" s="5">
        <v>1998</v>
      </c>
      <c r="B2059" s="138">
        <f>'Cap Outlay Deprec 26'!L12</f>
        <v>90034</v>
      </c>
      <c r="C2059" s="2" t="s">
        <v>594</v>
      </c>
      <c r="D2059" s="2" t="str">
        <f t="shared" si="31"/>
        <v>Error?</v>
      </c>
    </row>
    <row r="2060" spans="1:4" x14ac:dyDescent="0.2">
      <c r="A2060" s="5">
        <v>1999</v>
      </c>
      <c r="B2060" s="138">
        <f>'Cap Outlay Deprec 26'!L13</f>
        <v>220231</v>
      </c>
      <c r="C2060" s="2" t="s">
        <v>594</v>
      </c>
      <c r="D2060" s="2" t="str">
        <f t="shared" si="31"/>
        <v>Error?</v>
      </c>
    </row>
    <row r="2061" spans="1:4" x14ac:dyDescent="0.2">
      <c r="A2061" s="5">
        <v>2000</v>
      </c>
      <c r="B2061" s="138">
        <f>'Cap Outlay Deprec 26'!L16</f>
        <v>7288477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568411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268197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1703885</v>
      </c>
      <c r="C2551" s="2" t="s">
        <v>594</v>
      </c>
      <c r="D2551" s="2" t="str">
        <f t="shared" si="38"/>
        <v>Error?</v>
      </c>
    </row>
    <row r="2552" spans="1:4" x14ac:dyDescent="0.2">
      <c r="A2552" s="10">
        <v>2491</v>
      </c>
      <c r="D2552" s="2" t="str">
        <f t="shared" si="38"/>
        <v>OK</v>
      </c>
    </row>
    <row r="2553" spans="1:4" x14ac:dyDescent="0.2">
      <c r="A2553" s="5">
        <v>2492</v>
      </c>
      <c r="B2553" s="138">
        <f>'Acct Summary 7-8'!C6</f>
        <v>5356208</v>
      </c>
      <c r="C2553" s="2" t="s">
        <v>594</v>
      </c>
      <c r="D2553" s="2" t="str">
        <f t="shared" si="38"/>
        <v>Error?</v>
      </c>
    </row>
    <row r="2554" spans="1:4" x14ac:dyDescent="0.2">
      <c r="A2554" s="5">
        <v>2493</v>
      </c>
      <c r="B2554" s="138">
        <f>'Acct Summary 7-8'!C7</f>
        <v>975497</v>
      </c>
      <c r="C2554" s="2" t="s">
        <v>594</v>
      </c>
      <c r="D2554" s="2" t="str">
        <f t="shared" si="38"/>
        <v>Error?</v>
      </c>
    </row>
    <row r="2555" spans="1:4" x14ac:dyDescent="0.2">
      <c r="A2555" s="5">
        <v>2494</v>
      </c>
      <c r="B2555" s="138">
        <f>'Acct Summary 7-8'!C8</f>
        <v>8035590</v>
      </c>
      <c r="C2555" s="2" t="s">
        <v>594</v>
      </c>
      <c r="D2555" s="2" t="str">
        <f t="shared" si="38"/>
        <v>Error?</v>
      </c>
    </row>
    <row r="2556" spans="1:4" x14ac:dyDescent="0.2">
      <c r="A2556" s="5">
        <v>2495</v>
      </c>
      <c r="B2556" s="138">
        <f>'Acct Summary 7-8'!C12</f>
        <v>5197635</v>
      </c>
      <c r="C2556" s="2" t="s">
        <v>594</v>
      </c>
      <c r="D2556" s="2" t="str">
        <f t="shared" si="38"/>
        <v>Error?</v>
      </c>
    </row>
    <row r="2557" spans="1:4" x14ac:dyDescent="0.2">
      <c r="A2557" s="5">
        <v>2496</v>
      </c>
      <c r="B2557" s="138">
        <f>'Acct Summary 7-8'!C13</f>
        <v>1683904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568411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7449950</v>
      </c>
      <c r="C2561" s="2" t="s">
        <v>594</v>
      </c>
      <c r="D2561" s="2" t="str">
        <f t="shared" si="39"/>
        <v>Error?</v>
      </c>
    </row>
    <row r="2562" spans="1:4" x14ac:dyDescent="0.2">
      <c r="A2562" s="5">
        <v>2501</v>
      </c>
      <c r="B2562" s="138">
        <f>'Acct Summary 7-8'!C20</f>
        <v>585640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382252</v>
      </c>
      <c r="C2564" s="2" t="s">
        <v>594</v>
      </c>
      <c r="D2564" s="2" t="str">
        <f t="shared" si="39"/>
        <v>Error?</v>
      </c>
    </row>
    <row r="2565" spans="1:4" x14ac:dyDescent="0.2">
      <c r="A2565" s="10">
        <v>2504</v>
      </c>
      <c r="D2565" s="2" t="str">
        <f t="shared" si="39"/>
        <v>OK</v>
      </c>
    </row>
    <row r="2566" spans="1:4" x14ac:dyDescent="0.2">
      <c r="A2566" s="5">
        <v>2505</v>
      </c>
      <c r="B2566" s="138">
        <f>'Acct Summary 7-8'!D6</f>
        <v>472893</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855145</v>
      </c>
      <c r="C2568" s="2" t="s">
        <v>594</v>
      </c>
      <c r="D2568" s="2" t="str">
        <f t="shared" si="39"/>
        <v>Error?</v>
      </c>
    </row>
    <row r="2569" spans="1:4" x14ac:dyDescent="0.2">
      <c r="A2569" s="5">
        <v>2508</v>
      </c>
      <c r="B2569" s="138">
        <f>'Acct Summary 7-8'!D13</f>
        <v>753876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753876</v>
      </c>
      <c r="C2573" s="2" t="s">
        <v>594</v>
      </c>
      <c r="D2573" s="2" t="str">
        <f t="shared" si="39"/>
        <v>Error?</v>
      </c>
    </row>
    <row r="2574" spans="1:4" x14ac:dyDescent="0.2">
      <c r="A2574" s="5">
        <v>2513</v>
      </c>
      <c r="B2574" s="138">
        <f>'Acct Summary 7-8'!D20</f>
        <v>101269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127813</v>
      </c>
      <c r="C2591" s="2" t="s">
        <v>594</v>
      </c>
      <c r="D2591" s="2" t="str">
        <f t="shared" si="39"/>
        <v>Error?</v>
      </c>
    </row>
    <row r="2592" spans="1:4" x14ac:dyDescent="0.2">
      <c r="A2592" s="10">
        <v>2531</v>
      </c>
      <c r="D2592" s="2" t="str">
        <f t="shared" si="39"/>
        <v>OK</v>
      </c>
    </row>
    <row r="2593" spans="1:4" x14ac:dyDescent="0.2">
      <c r="A2593" s="5">
        <v>2532</v>
      </c>
      <c r="B2593" s="138">
        <f>'Acct Summary 7-8'!F6</f>
        <v>439008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566821</v>
      </c>
      <c r="C2595" s="2" t="s">
        <v>594</v>
      </c>
      <c r="D2595" s="2" t="str">
        <f t="shared" si="39"/>
        <v>Error?</v>
      </c>
    </row>
    <row r="2596" spans="1:4" x14ac:dyDescent="0.2">
      <c r="A2596" s="5">
        <v>2535</v>
      </c>
      <c r="B2596" s="138">
        <f>'Acct Summary 7-8'!F13</f>
        <v>471531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471531</v>
      </c>
      <c r="C2600" s="2" t="s">
        <v>594</v>
      </c>
      <c r="D2600" s="2" t="str">
        <f t="shared" si="39"/>
        <v>Error?</v>
      </c>
    </row>
    <row r="2601" spans="1:4" x14ac:dyDescent="0.2">
      <c r="A2601" s="5">
        <v>2540</v>
      </c>
      <c r="B2601" s="138">
        <f>'Acct Summary 7-8'!F20</f>
        <v>95290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389270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389270</v>
      </c>
      <c r="C2606" s="2" t="s">
        <v>594</v>
      </c>
      <c r="D2606" s="2" t="str">
        <f t="shared" si="39"/>
        <v>Error?</v>
      </c>
    </row>
    <row r="2607" spans="1:4" x14ac:dyDescent="0.2">
      <c r="A2607" s="5">
        <v>2546</v>
      </c>
      <c r="B2607" s="138">
        <f>'Acct Summary 7-8'!G12</f>
        <v>140271</v>
      </c>
      <c r="C2607" s="2" t="s">
        <v>594</v>
      </c>
      <c r="D2607" s="2" t="str">
        <f t="shared" si="39"/>
        <v>Error?</v>
      </c>
    </row>
    <row r="2608" spans="1:4" x14ac:dyDescent="0.2">
      <c r="A2608" s="5">
        <v>2547</v>
      </c>
      <c r="B2608" s="138">
        <f>'Acct Summary 7-8'!G13</f>
        <v>253787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394058</v>
      </c>
      <c r="C2612" s="2" t="s">
        <v>594</v>
      </c>
      <c r="D2612" s="2" t="str">
        <f t="shared" si="39"/>
        <v>Error?</v>
      </c>
    </row>
    <row r="2613" spans="1:4" x14ac:dyDescent="0.2">
      <c r="A2613" s="5">
        <v>2552</v>
      </c>
      <c r="B2613" s="138">
        <f>'Acct Summary 7-8'!G20</f>
        <v>-4788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766936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766936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769133</v>
      </c>
      <c r="C2634" s="2" t="s">
        <v>594</v>
      </c>
      <c r="D2634" s="2" t="str">
        <f t="shared" si="40"/>
        <v>Error?</v>
      </c>
    </row>
    <row r="2635" spans="1:4" x14ac:dyDescent="0.2">
      <c r="A2635" s="5">
        <v>2574</v>
      </c>
      <c r="B2635" s="138">
        <f>'Acct Summary 7-8'!E17</f>
        <v>769133</v>
      </c>
      <c r="C2635" s="2" t="s">
        <v>594</v>
      </c>
      <c r="D2635" s="2" t="str">
        <f t="shared" si="40"/>
        <v>Error?</v>
      </c>
    </row>
    <row r="2636" spans="1:4" x14ac:dyDescent="0.2">
      <c r="A2636" s="5">
        <v>2575</v>
      </c>
      <c r="B2636" s="138">
        <f>'Acct Summary 7-8'!E20</f>
        <v>-2197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524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524</v>
      </c>
      <c r="C2658" s="2" t="s">
        <v>594</v>
      </c>
      <c r="D2658" s="2" t="str">
        <f t="shared" si="40"/>
        <v>Error?</v>
      </c>
    </row>
    <row r="2659" spans="1:4" x14ac:dyDescent="0.2">
      <c r="A2659" s="5">
        <v>2598</v>
      </c>
      <c r="B2659" s="138">
        <f>'Acct Summary 7-8'!H13</f>
        <v>524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524</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378373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65970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378373</v>
      </c>
      <c r="D2912" s="2" t="str">
        <f t="shared" si="44"/>
        <v>Error?</v>
      </c>
    </row>
    <row r="2913" spans="1:4" x14ac:dyDescent="0.2">
      <c r="A2913" s="5">
        <v>2852</v>
      </c>
      <c r="B2913" s="138">
        <f>'Assets-Liab 5-6'!I41</f>
        <v>378373</v>
      </c>
      <c r="C2913" s="2" t="s">
        <v>594</v>
      </c>
      <c r="D2913" s="2" t="str">
        <f t="shared" si="44"/>
        <v>Error?</v>
      </c>
    </row>
    <row r="2914" spans="1:4" x14ac:dyDescent="0.2">
      <c r="A2914" s="5">
        <v>2853</v>
      </c>
      <c r="B2914" s="138">
        <f>'Assets-Liab 5-6'!L33</f>
        <v>65970</v>
      </c>
      <c r="D2914" s="2" t="str">
        <f t="shared" si="44"/>
        <v>Error?</v>
      </c>
    </row>
    <row r="2915" spans="1:4" x14ac:dyDescent="0.2">
      <c r="A2915" s="10">
        <v>2854</v>
      </c>
      <c r="D2915" s="2" t="str">
        <f t="shared" si="44"/>
        <v>OK</v>
      </c>
    </row>
    <row r="2916" spans="1:4" x14ac:dyDescent="0.2">
      <c r="A2916" s="5">
        <v>2855</v>
      </c>
      <c r="B2916" s="138">
        <f>'Assets-Liab 5-6'!L34</f>
        <v>65970</v>
      </c>
      <c r="C2916" s="2" t="s">
        <v>594</v>
      </c>
      <c r="D2916" s="2" t="str">
        <f t="shared" si="44"/>
        <v>Error?</v>
      </c>
    </row>
    <row r="2917" spans="1:4" x14ac:dyDescent="0.2">
      <c r="A2917" s="5">
        <v>2856</v>
      </c>
      <c r="B2917" s="138">
        <f>'Assets-Liab 5-6'!L41</f>
        <v>65970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140446</v>
      </c>
      <c r="D3055" s="2" t="str">
        <f t="shared" si="46"/>
        <v>Error?</v>
      </c>
    </row>
    <row r="3056" spans="1:4" x14ac:dyDescent="0.2">
      <c r="A3056" s="5">
        <v>2995</v>
      </c>
      <c r="B3056" s="138">
        <f>'Expenditures 15-22'!D10</f>
        <v>29065</v>
      </c>
      <c r="D3056" s="2" t="str">
        <f t="shared" si="46"/>
        <v>Error?</v>
      </c>
    </row>
    <row r="3057" spans="1:4" x14ac:dyDescent="0.2">
      <c r="A3057" s="5">
        <v>2996</v>
      </c>
      <c r="B3057" s="138">
        <f>'Expenditures 15-22'!E10</f>
        <v>67772</v>
      </c>
      <c r="D3057" s="2" t="str">
        <f t="shared" si="46"/>
        <v>Error?</v>
      </c>
    </row>
    <row r="3058" spans="1:4" x14ac:dyDescent="0.2">
      <c r="A3058" s="5">
        <v>2997</v>
      </c>
      <c r="B3058" s="138">
        <f>'Expenditures 15-22'!F10</f>
        <v>129468</v>
      </c>
      <c r="D3058" s="2" t="str">
        <f t="shared" si="46"/>
        <v>Error?</v>
      </c>
    </row>
    <row r="3059" spans="1:4" x14ac:dyDescent="0.2">
      <c r="A3059" s="5">
        <v>2998</v>
      </c>
      <c r="B3059" s="138">
        <f>'Expenditures 15-22'!G10</f>
        <v>20016</v>
      </c>
      <c r="D3059" s="2" t="str">
        <f t="shared" si="46"/>
        <v>Error?</v>
      </c>
    </row>
    <row r="3060" spans="1:4" x14ac:dyDescent="0.2">
      <c r="A3060" s="5">
        <v>2999</v>
      </c>
      <c r="B3060" s="138">
        <f>'Expenditures 15-22'!H10</f>
        <v>3807</v>
      </c>
      <c r="D3060" s="2" t="str">
        <f t="shared" si="46"/>
        <v>Error?</v>
      </c>
    </row>
    <row r="3061" spans="1:4" x14ac:dyDescent="0.2">
      <c r="A3061" s="10">
        <v>3000</v>
      </c>
      <c r="D3061" s="2" t="str">
        <f t="shared" si="46"/>
        <v>OK</v>
      </c>
    </row>
    <row r="3062" spans="1:4" x14ac:dyDescent="0.2">
      <c r="A3062" s="5">
        <v>3001</v>
      </c>
      <c r="B3062" s="138">
        <f>'Expenditures 15-22'!K10</f>
        <v>390574</v>
      </c>
      <c r="C3062" s="2" t="s">
        <v>594</v>
      </c>
      <c r="D3062" s="2" t="str">
        <f t="shared" si="46"/>
        <v>Error?</v>
      </c>
    </row>
    <row r="3063" spans="1:4" x14ac:dyDescent="0.2">
      <c r="A3063" s="10">
        <v>3002</v>
      </c>
      <c r="D3063" s="2" t="str">
        <f t="shared" si="46"/>
        <v>OK</v>
      </c>
    </row>
    <row r="3064" spans="1:4" x14ac:dyDescent="0.2">
      <c r="A3064" s="5">
        <v>3003</v>
      </c>
      <c r="B3064" s="138">
        <f>'Expenditures 15-22'!D219</f>
        <v>32130</v>
      </c>
      <c r="D3064" s="2" t="str">
        <f t="shared" si="46"/>
        <v>Error?</v>
      </c>
    </row>
    <row r="3065" spans="1:4" x14ac:dyDescent="0.2">
      <c r="A3065" s="5">
        <v>3004</v>
      </c>
      <c r="B3065" s="138">
        <f>'Expenditures 15-22'!K219</f>
        <v>32130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31953</v>
      </c>
      <c r="C3225" s="2" t="s">
        <v>594</v>
      </c>
      <c r="D3225" s="2" t="str">
        <f t="shared" si="49"/>
        <v>Error?</v>
      </c>
    </row>
    <row r="3226" spans="1:4" x14ac:dyDescent="0.2">
      <c r="A3226" s="5">
        <v>3165</v>
      </c>
      <c r="B3226" s="138">
        <f>'Acct Summary 7-8'!I8</f>
        <v>31953</v>
      </c>
      <c r="C3226" s="2" t="s">
        <v>594</v>
      </c>
      <c r="D3226" s="2" t="str">
        <f t="shared" si="49"/>
        <v>Error?</v>
      </c>
    </row>
    <row r="3227" spans="1:4" x14ac:dyDescent="0.2">
      <c r="A3227" s="5">
        <v>3166</v>
      </c>
      <c r="B3227" s="138">
        <f>'Acct Summary 7-8'!I20</f>
        <v>31953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585640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101269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95290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-4788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-2197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31953</v>
      </c>
      <c r="C3320" s="2" t="s">
        <v>594</v>
      </c>
      <c r="D3320" s="2" t="str">
        <f t="shared" si="50"/>
        <v>Error?</v>
      </c>
    </row>
    <row r="3321" spans="1:4" x14ac:dyDescent="0.2">
      <c r="A3321" s="5">
        <v>3260</v>
      </c>
      <c r="B3321" s="138">
        <f>'Acct Summary 7-8'!I79</f>
        <v>346420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378373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826888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198383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499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2827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2651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1031248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27848</v>
      </c>
      <c r="D3387" s="2" t="str">
        <f t="shared" si="51"/>
        <v>Error?</v>
      </c>
    </row>
    <row r="3388" spans="1:4" x14ac:dyDescent="0.2">
      <c r="A3388" s="5">
        <v>3327</v>
      </c>
      <c r="B3388" s="138">
        <f>'Expenditures 15-22'!D217</f>
        <v>58271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27848</v>
      </c>
      <c r="C3390" s="2" t="s">
        <v>594</v>
      </c>
      <c r="D3390" s="2" t="str">
        <f t="shared" si="51"/>
        <v>Error?</v>
      </c>
    </row>
    <row r="3391" spans="1:4" x14ac:dyDescent="0.2">
      <c r="A3391" s="5">
        <v>3330</v>
      </c>
      <c r="B3391" s="138">
        <f>'Expenditures 15-22'!K217</f>
        <v>58271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1672498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206532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112519</v>
      </c>
      <c r="D3417" s="2" t="str">
        <f t="shared" si="52"/>
        <v>Error?</v>
      </c>
    </row>
    <row r="3418" spans="1:4" x14ac:dyDescent="0.2">
      <c r="A3418" s="10">
        <v>3357</v>
      </c>
      <c r="D3418" s="2" t="str">
        <f t="shared" si="52"/>
        <v>OK</v>
      </c>
    </row>
    <row r="3419" spans="1:4" x14ac:dyDescent="0.2">
      <c r="A3419" s="5">
        <v>3358</v>
      </c>
      <c r="B3419" s="138">
        <f>'Assets-Liab 5-6'!F4</f>
        <v>299718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268197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378373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65970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209370</v>
      </c>
      <c r="C3446" s="2" t="s">
        <v>594</v>
      </c>
      <c r="D3446" s="2" t="str">
        <f t="shared" si="52"/>
        <v>Error?</v>
      </c>
    </row>
    <row r="3447" spans="1:4" x14ac:dyDescent="0.2">
      <c r="A3447" s="5">
        <v>3386</v>
      </c>
      <c r="B3447" s="138">
        <f>'Tax Sched 23'!D16</f>
        <v>209370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210004</v>
      </c>
      <c r="C3449" s="2" t="s">
        <v>594</v>
      </c>
      <c r="D3449" s="2" t="str">
        <f t="shared" si="52"/>
        <v>Error?</v>
      </c>
    </row>
    <row r="3450" spans="1:4" x14ac:dyDescent="0.2">
      <c r="A3450" s="5">
        <v>3389</v>
      </c>
      <c r="B3450" s="138">
        <f>'Tax Sched 23'!E16</f>
        <v>210004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2039524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2039524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2039524</v>
      </c>
      <c r="D3567" s="2" t="str">
        <f t="shared" si="54"/>
        <v>Error?</v>
      </c>
    </row>
    <row r="3568" spans="1:4" x14ac:dyDescent="0.2">
      <c r="A3568" s="5">
        <v>3507</v>
      </c>
      <c r="B3568" s="138">
        <f>'Assets-Liab 5-6'!K41</f>
        <v>2039524</v>
      </c>
      <c r="C3568" s="2" t="s">
        <v>594</v>
      </c>
      <c r="D3568" s="2" t="str">
        <f t="shared" si="54"/>
        <v>Error?</v>
      </c>
    </row>
    <row r="3569" spans="1:4" x14ac:dyDescent="0.2">
      <c r="A3569" s="5">
        <v>3508</v>
      </c>
      <c r="B3569" s="138">
        <f>'Acct Summary 7-8'!K4</f>
        <v>31953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31953</v>
      </c>
      <c r="C3571" s="2" t="s">
        <v>594</v>
      </c>
      <c r="D3571" s="2" t="str">
        <f t="shared" si="54"/>
        <v>Error?</v>
      </c>
    </row>
    <row r="3572" spans="1:4" x14ac:dyDescent="0.2">
      <c r="A3572" s="5">
        <v>3511</v>
      </c>
      <c r="B3572" s="138">
        <f>'Acct Summary 7-8'!K13</f>
        <v>859611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859611</v>
      </c>
      <c r="C3575" s="2" t="s">
        <v>594</v>
      </c>
      <c r="D3575" s="2" t="str">
        <f t="shared" si="54"/>
        <v>Error?</v>
      </c>
    </row>
    <row r="3576" spans="1:4" x14ac:dyDescent="0.2">
      <c r="A3576" s="5">
        <v>3515</v>
      </c>
      <c r="B3576" s="138">
        <f>'Acct Summary 7-8'!K20</f>
        <v>-827658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-827658</v>
      </c>
      <c r="C3588" s="2" t="s">
        <v>594</v>
      </c>
      <c r="D3588" s="2" t="str">
        <f t="shared" si="55"/>
        <v>Error?</v>
      </c>
    </row>
    <row r="3589" spans="1:4" x14ac:dyDescent="0.2">
      <c r="A3589" s="5">
        <v>3528</v>
      </c>
      <c r="B3589" s="138">
        <f>'Acct Summary 7-8'!K79</f>
        <v>2867182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2039524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14623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14623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14623</v>
      </c>
      <c r="C3635" s="2" t="s">
        <v>594</v>
      </c>
      <c r="D3635" s="2" t="str">
        <f t="shared" si="55"/>
        <v>Error?</v>
      </c>
    </row>
    <row r="3636" spans="1:4" x14ac:dyDescent="0.2">
      <c r="A3636" s="5">
        <v>3575</v>
      </c>
      <c r="B3636" s="138">
        <f>'Expenditures 15-22'!E367</f>
        <v>14623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844988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844988</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844988</v>
      </c>
      <c r="C3649" s="2" t="s">
        <v>594</v>
      </c>
      <c r="D3649" s="2" t="str">
        <f t="shared" si="56"/>
        <v>Error?</v>
      </c>
    </row>
    <row r="3650" spans="1:4" x14ac:dyDescent="0.2">
      <c r="A3650" s="5">
        <v>3589</v>
      </c>
      <c r="B3650" s="138">
        <f>'Expenditures 15-22'!G367</f>
        <v>844988</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859611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859611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859611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859611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-827658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51784</v>
      </c>
      <c r="C3725" s="2" t="s">
        <v>594</v>
      </c>
      <c r="D3725" s="2" t="str">
        <f t="shared" si="57"/>
        <v>Error?</v>
      </c>
    </row>
    <row r="3726" spans="1:4" x14ac:dyDescent="0.2">
      <c r="A3726" s="5">
        <v>3665</v>
      </c>
      <c r="B3726" s="138">
        <f>'Tax Sched 23'!D13</f>
        <v>51784</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55310</v>
      </c>
      <c r="C3728" s="2" t="s">
        <v>594</v>
      </c>
      <c r="D3728" s="2" t="str">
        <f t="shared" si="57"/>
        <v>Error?</v>
      </c>
    </row>
    <row r="3729" spans="1:4" x14ac:dyDescent="0.2">
      <c r="A3729" s="5">
        <v>3668</v>
      </c>
      <c r="B3729" s="138">
        <f>'Tax Sched 23'!E13</f>
        <v>55310</v>
      </c>
      <c r="D3729" s="2" t="str">
        <f t="shared" si="57"/>
        <v>Error?</v>
      </c>
    </row>
    <row r="3730" spans="1:4" x14ac:dyDescent="0.2">
      <c r="A3730" s="5">
        <v>3669</v>
      </c>
      <c r="B3730" s="138">
        <f>'ICR Computation 30'!E10</f>
        <v>277058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3038477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11074067</v>
      </c>
      <c r="C4122" s="2" t="s">
        <v>594</v>
      </c>
      <c r="D4122" s="2" t="str">
        <f t="shared" si="63"/>
        <v>Error?</v>
      </c>
    </row>
    <row r="4123" spans="1:4" x14ac:dyDescent="0.2">
      <c r="A4123" s="5">
        <v>4062</v>
      </c>
      <c r="B4123" s="138">
        <f>'Acct Summary 7-8'!D10</f>
        <v>855145</v>
      </c>
      <c r="C4123" s="2" t="s">
        <v>594</v>
      </c>
      <c r="D4123" s="2" t="str">
        <f t="shared" si="63"/>
        <v>Error?</v>
      </c>
    </row>
    <row r="4124" spans="1:4" x14ac:dyDescent="0.2">
      <c r="A4124" s="5">
        <v>4063</v>
      </c>
      <c r="B4124" s="138">
        <f>'Acct Summary 7-8'!E10</f>
        <v>766936</v>
      </c>
      <c r="C4124" s="2" t="s">
        <v>594</v>
      </c>
      <c r="D4124" s="2" t="str">
        <f t="shared" si="63"/>
        <v>Error?</v>
      </c>
    </row>
    <row r="4125" spans="1:4" x14ac:dyDescent="0.2">
      <c r="A4125" s="5">
        <v>4064</v>
      </c>
      <c r="B4125" s="138">
        <f>'Acct Summary 7-8'!F10</f>
        <v>566821</v>
      </c>
      <c r="C4125" s="2" t="s">
        <v>594</v>
      </c>
      <c r="D4125" s="2" t="str">
        <f t="shared" si="63"/>
        <v>Error?</v>
      </c>
    </row>
    <row r="4126" spans="1:4" x14ac:dyDescent="0.2">
      <c r="A4126" s="5">
        <v>4065</v>
      </c>
      <c r="B4126" s="138">
        <f>'Acct Summary 7-8'!G10</f>
        <v>389270</v>
      </c>
      <c r="C4126" s="2" t="s">
        <v>594</v>
      </c>
      <c r="D4126" s="2" t="str">
        <f t="shared" si="63"/>
        <v>Error?</v>
      </c>
    </row>
    <row r="4127" spans="1:4" x14ac:dyDescent="0.2">
      <c r="A4127" s="5">
        <v>4066</v>
      </c>
      <c r="B4127" s="138">
        <f>'Acct Summary 7-8'!H10</f>
        <v>524</v>
      </c>
      <c r="C4127" s="2" t="s">
        <v>594</v>
      </c>
      <c r="D4127" s="2" t="str">
        <f t="shared" si="63"/>
        <v>Error?</v>
      </c>
    </row>
    <row r="4128" spans="1:4" x14ac:dyDescent="0.2">
      <c r="A4128" s="5">
        <v>4067</v>
      </c>
      <c r="B4128" s="138">
        <f>'Acct Summary 7-8'!I10</f>
        <v>31953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31953</v>
      </c>
      <c r="C4130" s="2" t="s">
        <v>594</v>
      </c>
      <c r="D4130" s="2" t="str">
        <f t="shared" si="63"/>
        <v>Error?</v>
      </c>
    </row>
    <row r="4131" spans="1:4" x14ac:dyDescent="0.2">
      <c r="A4131" s="5">
        <v>4070</v>
      </c>
      <c r="B4131" s="138">
        <f>'Acct Summary 7-8'!C18</f>
        <v>3038477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10488427</v>
      </c>
      <c r="C4136" s="2" t="s">
        <v>594</v>
      </c>
      <c r="D4136" s="2" t="str">
        <f t="shared" si="63"/>
        <v>Error?</v>
      </c>
    </row>
    <row r="4137" spans="1:4" x14ac:dyDescent="0.2">
      <c r="A4137" s="5">
        <v>4076</v>
      </c>
      <c r="B4137" s="138">
        <f>'Acct Summary 7-8'!D19</f>
        <v>753876</v>
      </c>
      <c r="C4137" s="2" t="s">
        <v>594</v>
      </c>
      <c r="D4137" s="2" t="str">
        <f t="shared" si="63"/>
        <v>Error?</v>
      </c>
    </row>
    <row r="4138" spans="1:4" x14ac:dyDescent="0.2">
      <c r="A4138" s="5">
        <v>4077</v>
      </c>
      <c r="B4138" s="138">
        <f>'Acct Summary 7-8'!E19</f>
        <v>769133</v>
      </c>
      <c r="C4138" s="2" t="s">
        <v>594</v>
      </c>
      <c r="D4138" s="2" t="str">
        <f t="shared" si="63"/>
        <v>Error?</v>
      </c>
    </row>
    <row r="4139" spans="1:4" x14ac:dyDescent="0.2">
      <c r="A4139" s="5">
        <v>4078</v>
      </c>
      <c r="B4139" s="138">
        <f>'Acct Summary 7-8'!F19</f>
        <v>471531</v>
      </c>
      <c r="C4139" s="2" t="s">
        <v>594</v>
      </c>
      <c r="D4139" s="2" t="str">
        <f t="shared" si="63"/>
        <v>Error?</v>
      </c>
    </row>
    <row r="4140" spans="1:4" x14ac:dyDescent="0.2">
      <c r="A4140" s="5">
        <v>4079</v>
      </c>
      <c r="B4140" s="138">
        <f>'Acct Summary 7-8'!G19</f>
        <v>394058</v>
      </c>
      <c r="C4140" s="2" t="s">
        <v>594</v>
      </c>
      <c r="D4140" s="2" t="str">
        <f t="shared" si="63"/>
        <v>Error?</v>
      </c>
    </row>
    <row r="4141" spans="1:4" x14ac:dyDescent="0.2">
      <c r="A4141" s="5">
        <v>4080</v>
      </c>
      <c r="B4141" s="138">
        <f>'Acct Summary 7-8'!H19</f>
        <v>524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859611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4185000</v>
      </c>
      <c r="C4171" s="2" t="s">
        <v>594</v>
      </c>
      <c r="D4171" s="2" t="str">
        <f t="shared" si="64"/>
        <v>Error?</v>
      </c>
    </row>
    <row r="4172" spans="1:4" x14ac:dyDescent="0.2">
      <c r="A4172" s="5">
        <v>4111</v>
      </c>
      <c r="B4172" s="138">
        <f>'Short-Term Long-Term Debt 24'!J49</f>
        <v>4072481</v>
      </c>
      <c r="C4172" s="2" t="s">
        <v>594</v>
      </c>
      <c r="D4172" s="2" t="str">
        <f t="shared" si="64"/>
        <v>Error?</v>
      </c>
    </row>
    <row r="4173" spans="1:4" x14ac:dyDescent="0.2">
      <c r="A4173" s="5">
        <v>4112</v>
      </c>
      <c r="B4173" s="138">
        <f>'Short-Term Long-Term Debt 24'!H49</f>
        <v>605000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2700</v>
      </c>
      <c r="C4268" s="2" t="s">
        <v>594</v>
      </c>
      <c r="D4268" s="2" t="str">
        <f t="shared" si="65"/>
        <v>Error?</v>
      </c>
    </row>
    <row r="4269" spans="1:5" x14ac:dyDescent="0.2">
      <c r="A4269" s="12">
        <v>4208</v>
      </c>
      <c r="B4269" s="138">
        <f>'FP Info 3'!J16</f>
        <v>2557121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118536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61972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8562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67197113</v>
      </c>
      <c r="D4995" s="2" t="str">
        <f t="shared" si="77"/>
        <v>Error?</v>
      </c>
    </row>
    <row r="4996" spans="1:4" x14ac:dyDescent="0.2">
      <c r="A4996" s="12">
        <v>4935</v>
      </c>
      <c r="B4996" s="138">
        <f>'FP Info 3'!H31</f>
        <v>9273201.5940000005</v>
      </c>
      <c r="D4996" s="2" t="str">
        <f t="shared" si="77"/>
        <v>Error?</v>
      </c>
    </row>
    <row r="4997" spans="1:4" x14ac:dyDescent="0.2">
      <c r="A4997" s="12">
        <v>4936</v>
      </c>
      <c r="B4997" s="138">
        <f>'FP Info 3'!H37</f>
        <v>4185000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51784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1276890</v>
      </c>
      <c r="D5061" s="2" t="str">
        <f t="shared" si="78"/>
        <v>Error?</v>
      </c>
    </row>
    <row r="5062" spans="1:4" x14ac:dyDescent="0.2">
      <c r="A5062" s="10">
        <v>5001</v>
      </c>
      <c r="D5062" s="2" t="str">
        <f t="shared" si="78"/>
        <v>OK</v>
      </c>
    </row>
    <row r="5063" spans="1:4" x14ac:dyDescent="0.2">
      <c r="A5063" s="5">
        <v>5002</v>
      </c>
      <c r="B5063" s="138">
        <f>'Revenues 9-14'!C7</f>
        <v>25539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1354213</v>
      </c>
      <c r="C5066" s="2" t="s">
        <v>594</v>
      </c>
      <c r="D5066" s="2" t="str">
        <f t="shared" si="78"/>
        <v>Error?</v>
      </c>
    </row>
    <row r="5067" spans="1:4" x14ac:dyDescent="0.2">
      <c r="A5067" s="5">
        <v>5006</v>
      </c>
      <c r="B5067" s="138">
        <f>'Revenues 9-14'!C14</f>
        <v>1195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131802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132997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20962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20962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27740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5274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34231</v>
      </c>
      <c r="C5096" s="2" t="s">
        <v>594</v>
      </c>
      <c r="D5096" s="2" t="str">
        <f t="shared" si="78"/>
        <v>Error?</v>
      </c>
    </row>
    <row r="5097" spans="1:4" x14ac:dyDescent="0.2">
      <c r="A5097" s="5">
        <v>5036</v>
      </c>
      <c r="B5097" s="138">
        <f>'Revenues 9-14'!C77</f>
        <v>54329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19386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73715</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985</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27764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54160</v>
      </c>
      <c r="D5119" s="2" t="str">
        <f t="shared" ref="D5119:D5182" si="79">IF(ISBLANK(B5119),"OK",IF(A5119-B5119=0,"OK","Error?"))</f>
        <v>Error?</v>
      </c>
    </row>
    <row r="5120" spans="1:4" x14ac:dyDescent="0.2">
      <c r="A5120" s="5">
        <v>5059</v>
      </c>
      <c r="B5120" s="138">
        <f>'Revenues 9-14'!C108</f>
        <v>87767</v>
      </c>
      <c r="C5120" s="2" t="s">
        <v>594</v>
      </c>
      <c r="D5120" s="2" t="str">
        <f t="shared" si="79"/>
        <v>Error?</v>
      </c>
    </row>
    <row r="5121" spans="1:4" x14ac:dyDescent="0.2">
      <c r="A5121" s="5">
        <v>5060</v>
      </c>
      <c r="B5121" s="138">
        <f>'Revenues 9-14'!C109</f>
        <v>1703885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5113379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5113379</v>
      </c>
      <c r="C5132" s="2" t="s">
        <v>594</v>
      </c>
      <c r="D5132" s="2" t="str">
        <f t="shared" si="79"/>
        <v>Error?</v>
      </c>
    </row>
    <row r="5133" spans="1:4" x14ac:dyDescent="0.2">
      <c r="A5133" s="5">
        <v>5072</v>
      </c>
      <c r="B5133" s="138">
        <f>'Revenues 9-14'!C124</f>
        <v>15367</v>
      </c>
      <c r="D5133" s="2" t="str">
        <f t="shared" si="79"/>
        <v>Error?</v>
      </c>
    </row>
    <row r="5134" spans="1:4" x14ac:dyDescent="0.2">
      <c r="A5134" s="5">
        <v>5073</v>
      </c>
      <c r="B5134" s="138">
        <f>'Revenues 9-14'!C125</f>
        <v>73063</v>
      </c>
      <c r="D5134" s="2" t="str">
        <f t="shared" si="79"/>
        <v>Error?</v>
      </c>
    </row>
    <row r="5135" spans="1:4" x14ac:dyDescent="0.2">
      <c r="A5135" s="5">
        <v>5074</v>
      </c>
      <c r="B5135" s="138">
        <f>'Revenues 9-14'!C126</f>
        <v>98625</v>
      </c>
      <c r="D5135" s="2" t="str">
        <f t="shared" si="79"/>
        <v>Error?</v>
      </c>
    </row>
    <row r="5136" spans="1:4" x14ac:dyDescent="0.2">
      <c r="A5136" s="10">
        <v>5075</v>
      </c>
      <c r="D5136" s="2" t="str">
        <f t="shared" si="79"/>
        <v>OK</v>
      </c>
    </row>
    <row r="5137" spans="1:4" x14ac:dyDescent="0.2">
      <c r="A5137" s="5">
        <v>5076</v>
      </c>
      <c r="B5137" s="138">
        <f>'Revenues 9-14'!C127</f>
        <v>27140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568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214763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5067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8412</v>
      </c>
      <c r="D5167" s="2" t="str">
        <f t="shared" si="79"/>
        <v>Error?</v>
      </c>
    </row>
    <row r="5168" spans="1:4" x14ac:dyDescent="0.2">
      <c r="A5168" s="5">
        <v>5107</v>
      </c>
      <c r="B5168" s="138">
        <f>'Revenues 9-14'!C147</f>
        <v>14587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242829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5356208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358584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109995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468579</v>
      </c>
      <c r="C5246" s="2" t="s">
        <v>594</v>
      </c>
      <c r="D5246" s="2" t="str">
        <f t="shared" si="80"/>
        <v>Error?</v>
      </c>
    </row>
    <row r="5247" spans="1:4" x14ac:dyDescent="0.2">
      <c r="A5247" s="5">
        <v>5186</v>
      </c>
      <c r="B5247" s="138">
        <f>'Revenues 9-14'!C203</f>
        <v>306657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306657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11191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11191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975497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975497</v>
      </c>
      <c r="C5326" s="2" t="s">
        <v>594</v>
      </c>
      <c r="D5326" s="2" t="str">
        <f t="shared" si="82"/>
        <v>Error?</v>
      </c>
    </row>
    <row r="5327" spans="1:4" x14ac:dyDescent="0.2">
      <c r="A5327" s="5">
        <v>5266</v>
      </c>
      <c r="B5327" s="138">
        <f>'Revenues 9-14'!C275</f>
        <v>8035590</v>
      </c>
      <c r="C5327" s="2" t="s">
        <v>594</v>
      </c>
      <c r="D5327" s="2" t="str">
        <f t="shared" si="82"/>
        <v>Error?</v>
      </c>
    </row>
    <row r="5328" spans="1:4" x14ac:dyDescent="0.2">
      <c r="A5328" s="5">
        <v>5267</v>
      </c>
      <c r="B5328" s="138">
        <f>'Revenues 9-14'!D5</f>
        <v>319224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319224</v>
      </c>
      <c r="C5334" s="2" t="s">
        <v>594</v>
      </c>
      <c r="D5334" s="2" t="str">
        <f t="shared" si="82"/>
        <v>Error?</v>
      </c>
    </row>
    <row r="5335" spans="1:4" x14ac:dyDescent="0.2">
      <c r="A5335" s="5">
        <v>5274</v>
      </c>
      <c r="B5335" s="138">
        <f>'Revenues 9-14'!D14</f>
        <v>282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282</v>
      </c>
      <c r="C5339" s="2" t="s">
        <v>594</v>
      </c>
      <c r="D5339" s="2" t="str">
        <f t="shared" si="82"/>
        <v>Error?</v>
      </c>
    </row>
    <row r="5340" spans="1:4" x14ac:dyDescent="0.2">
      <c r="A5340" s="5">
        <v>5279</v>
      </c>
      <c r="B5340" s="138">
        <f>'Revenues 9-14'!D65</f>
        <v>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62724</v>
      </c>
      <c r="D5354" s="2" t="str">
        <f t="shared" si="82"/>
        <v>Error?</v>
      </c>
    </row>
    <row r="5355" spans="1:4" x14ac:dyDescent="0.2">
      <c r="A5355" s="5">
        <v>5294</v>
      </c>
      <c r="B5355" s="138">
        <f>'Revenues 9-14'!D108</f>
        <v>62724</v>
      </c>
      <c r="C5355" s="2" t="s">
        <v>594</v>
      </c>
      <c r="D5355" s="2" t="str">
        <f t="shared" si="82"/>
        <v>Error?</v>
      </c>
    </row>
    <row r="5356" spans="1:4" x14ac:dyDescent="0.2">
      <c r="A5356" s="5">
        <v>5295</v>
      </c>
      <c r="B5356" s="138">
        <f>'Revenues 9-14'!D109</f>
        <v>382252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472893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472893</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472893</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855145</v>
      </c>
      <c r="C5508" s="2" t="s">
        <v>594</v>
      </c>
      <c r="D5508" s="2" t="str">
        <f t="shared" si="85"/>
        <v>Error?</v>
      </c>
    </row>
    <row r="5509" spans="1:4" x14ac:dyDescent="0.2">
      <c r="A5509" s="5">
        <v>5448</v>
      </c>
      <c r="B5509" s="138">
        <f>'Revenues 9-14'!E5</f>
        <v>766208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766208</v>
      </c>
      <c r="C5513" s="2" t="s">
        <v>594</v>
      </c>
      <c r="D5513" s="2" t="str">
        <f t="shared" si="85"/>
        <v>Error?</v>
      </c>
    </row>
    <row r="5514" spans="1:4" x14ac:dyDescent="0.2">
      <c r="A5514" s="5">
        <v>5453</v>
      </c>
      <c r="B5514" s="138">
        <f>'Revenues 9-14'!E14</f>
        <v>675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675</v>
      </c>
      <c r="C5518" s="2" t="s">
        <v>594</v>
      </c>
      <c r="D5518" s="2" t="str">
        <f t="shared" si="85"/>
        <v>Error?</v>
      </c>
    </row>
    <row r="5519" spans="1:4" x14ac:dyDescent="0.2">
      <c r="A5519" s="5">
        <v>5458</v>
      </c>
      <c r="B5519" s="138">
        <f>'Revenues 9-14'!E65</f>
        <v>53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766936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766936</v>
      </c>
      <c r="C5552" s="2" t="s">
        <v>594</v>
      </c>
      <c r="D5552" s="2" t="str">
        <f t="shared" si="85"/>
        <v>Error?</v>
      </c>
    </row>
    <row r="5553" spans="1:4" x14ac:dyDescent="0.2">
      <c r="A5553" s="5">
        <v>5492</v>
      </c>
      <c r="B5553" s="138">
        <f>'Revenues 9-14'!F5</f>
        <v>127691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127691</v>
      </c>
      <c r="C5557" s="2" t="s">
        <v>594</v>
      </c>
      <c r="D5557" s="2" t="str">
        <f t="shared" si="85"/>
        <v>Error?</v>
      </c>
    </row>
    <row r="5558" spans="1:4" x14ac:dyDescent="0.2">
      <c r="A5558" s="5">
        <v>5497</v>
      </c>
      <c r="B5558" s="138">
        <f>'Revenues 9-14'!F14</f>
        <v>113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113</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127813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85000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85000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230699</v>
      </c>
      <c r="D5615" s="2" t="str">
        <f t="shared" si="86"/>
        <v>Error?</v>
      </c>
    </row>
    <row r="5616" spans="1:4" x14ac:dyDescent="0.2">
      <c r="A5616" s="10">
        <v>5555</v>
      </c>
      <c r="D5616" s="2" t="str">
        <f t="shared" si="86"/>
        <v>OK</v>
      </c>
    </row>
    <row r="5617" spans="1:4" x14ac:dyDescent="0.2">
      <c r="A5617" s="5">
        <v>5556</v>
      </c>
      <c r="B5617" s="138">
        <f>'Revenues 9-14'!F152</f>
        <v>110909</v>
      </c>
      <c r="D5617" s="2" t="str">
        <f t="shared" si="86"/>
        <v>Error?</v>
      </c>
    </row>
    <row r="5618" spans="1:4" x14ac:dyDescent="0.2">
      <c r="A5618" s="5">
        <v>5557</v>
      </c>
      <c r="B5618" s="138">
        <f>'Revenues 9-14'!F154</f>
        <v>341608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12400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354008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439008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566821</v>
      </c>
      <c r="C5720" s="2" t="s">
        <v>594</v>
      </c>
      <c r="D5720" s="2" t="str">
        <f t="shared" si="88"/>
        <v>Error?</v>
      </c>
    </row>
    <row r="5721" spans="1:4" x14ac:dyDescent="0.2">
      <c r="A5721" s="5">
        <v>5660</v>
      </c>
      <c r="B5721" s="138">
        <f>'Revenues 9-14'!G5</f>
        <v>174474</v>
      </c>
      <c r="D5721" s="2" t="str">
        <f t="shared" si="88"/>
        <v>Error?</v>
      </c>
    </row>
    <row r="5722" spans="1:4" x14ac:dyDescent="0.2">
      <c r="A5722" s="5">
        <v>5661</v>
      </c>
      <c r="B5722" s="138">
        <f>'Revenues 9-14'!G7</f>
        <v>0</v>
      </c>
      <c r="D5722" s="2" t="str">
        <f t="shared" si="88"/>
        <v>Error?</v>
      </c>
    </row>
    <row r="5723" spans="1:4" x14ac:dyDescent="0.2">
      <c r="A5723" s="5">
        <v>5662</v>
      </c>
      <c r="B5723" s="138">
        <f>'Revenues 9-14'!G8</f>
        <v>209370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383844</v>
      </c>
      <c r="C5725" s="2" t="s">
        <v>594</v>
      </c>
      <c r="D5725" s="2" t="str">
        <f t="shared" si="88"/>
        <v>Error?</v>
      </c>
    </row>
    <row r="5726" spans="1:4" x14ac:dyDescent="0.2">
      <c r="A5726" s="5">
        <v>5665</v>
      </c>
      <c r="B5726" s="138">
        <f>'Revenues 9-14'!G14</f>
        <v>338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5062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5400</v>
      </c>
      <c r="C5730" s="2" t="s">
        <v>594</v>
      </c>
      <c r="D5730" s="2" t="str">
        <f t="shared" si="88"/>
        <v>Error?</v>
      </c>
    </row>
    <row r="5731" spans="1:4" x14ac:dyDescent="0.2">
      <c r="A5731" s="5">
        <v>5670</v>
      </c>
      <c r="B5731" s="138">
        <f>'Revenues 9-14'!G65</f>
        <v>26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389270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524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524</v>
      </c>
      <c r="C5915" s="2" t="s">
        <v>594</v>
      </c>
      <c r="D5915" s="2" t="str">
        <f t="shared" si="91"/>
        <v>Error?</v>
      </c>
    </row>
    <row r="5916" spans="1:4" x14ac:dyDescent="0.2">
      <c r="A5916" s="5">
        <v>5855</v>
      </c>
      <c r="B5916" s="138">
        <f>'Revenues 9-14'!I5</f>
        <v>31923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31923</v>
      </c>
      <c r="C5918" s="2" t="s">
        <v>594</v>
      </c>
      <c r="D5918" s="2" t="str">
        <f t="shared" si="91"/>
        <v>Error?</v>
      </c>
    </row>
    <row r="5919" spans="1:4" x14ac:dyDescent="0.2">
      <c r="A5919" s="5">
        <v>5858</v>
      </c>
      <c r="B5919" s="138">
        <f>'Revenues 9-14'!I14</f>
        <v>28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28</v>
      </c>
      <c r="C5923" s="2" t="s">
        <v>594</v>
      </c>
      <c r="D5923" s="2" t="str">
        <f t="shared" si="91"/>
        <v>Error?</v>
      </c>
    </row>
    <row r="5924" spans="1:4" x14ac:dyDescent="0.2">
      <c r="A5924" s="5">
        <v>5863</v>
      </c>
      <c r="B5924" s="138">
        <f>'Revenues 9-14'!I65</f>
        <v>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31953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31923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31923</v>
      </c>
      <c r="C5987" s="2" t="s">
        <v>594</v>
      </c>
      <c r="D5987" s="2" t="str">
        <f t="shared" si="92"/>
        <v>Error?</v>
      </c>
    </row>
    <row r="5988" spans="1:4" x14ac:dyDescent="0.2">
      <c r="A5988" s="5">
        <v>5927</v>
      </c>
      <c r="B5988" s="138">
        <f>'Revenues 9-14'!K14</f>
        <v>28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28</v>
      </c>
      <c r="C5992" s="2" t="s">
        <v>594</v>
      </c>
      <c r="D5992" s="2" t="str">
        <f t="shared" si="92"/>
        <v>Error?</v>
      </c>
    </row>
    <row r="5993" spans="1:4" x14ac:dyDescent="0.2">
      <c r="A5993" s="5">
        <v>5932</v>
      </c>
      <c r="B5993" s="138">
        <f>'Revenues 9-14'!K65</f>
        <v>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31953</v>
      </c>
      <c r="C6023" s="2" t="s">
        <v>594</v>
      </c>
      <c r="D6023" s="2" t="str">
        <f t="shared" si="93"/>
        <v>Error?</v>
      </c>
    </row>
    <row r="6024" spans="1:5" x14ac:dyDescent="0.2">
      <c r="A6024" s="5">
        <v>5963</v>
      </c>
      <c r="B6024" s="138">
        <f>'Revenues 9-14'!G109</f>
        <v>389270</v>
      </c>
      <c r="C6024" s="2" t="s">
        <v>594</v>
      </c>
      <c r="D6024" s="2" t="str">
        <f t="shared" si="93"/>
        <v>Error?</v>
      </c>
    </row>
    <row r="6025" spans="1:5" x14ac:dyDescent="0.2">
      <c r="A6025" s="5">
        <v>5964</v>
      </c>
      <c r="B6025" s="138">
        <f>'Revenues 9-14'!H109</f>
        <v>524</v>
      </c>
      <c r="C6025" s="2" t="s">
        <v>594</v>
      </c>
      <c r="D6025" s="2" t="str">
        <f t="shared" si="93"/>
        <v>Error?</v>
      </c>
    </row>
    <row r="6026" spans="1:5" x14ac:dyDescent="0.2">
      <c r="A6026" s="5">
        <v>5965</v>
      </c>
      <c r="B6026" s="138">
        <f>'Revenues 9-14'!I109</f>
        <v>31953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31953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1217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43798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873.48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246150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246150</v>
      </c>
      <c r="D6215" s="2" t="str">
        <f t="shared" si="96"/>
        <v>Error?</v>
      </c>
      <c r="E6215" s="2" t="s">
        <v>199</v>
      </c>
    </row>
    <row r="6216" spans="1:5" x14ac:dyDescent="0.2">
      <c r="A6216">
        <v>6155</v>
      </c>
      <c r="B6216" s="138">
        <f>'Assets-Liab 5-6'!J41</f>
        <v>246150</v>
      </c>
      <c r="D6216" s="2" t="str">
        <f t="shared" si="96"/>
        <v>Error?</v>
      </c>
      <c r="E6216" s="2" t="s">
        <v>199</v>
      </c>
    </row>
    <row r="6217" spans="1:5" x14ac:dyDescent="0.2">
      <c r="A6217">
        <v>6156</v>
      </c>
      <c r="B6217" s="138">
        <f>'Assets-Liab 5-6'!J4</f>
        <v>246150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548866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548866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548866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475667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475667</v>
      </c>
      <c r="D6229" s="2" t="str">
        <f t="shared" si="96"/>
        <v>Error?</v>
      </c>
      <c r="E6229" s="2" t="s">
        <v>199</v>
      </c>
    </row>
    <row r="6230" spans="1:5" x14ac:dyDescent="0.2">
      <c r="A6230">
        <v>6169</v>
      </c>
      <c r="B6230" s="138">
        <f>'Acct Summary 7-8'!J20</f>
        <v>73199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73199</v>
      </c>
      <c r="D6263" s="2" t="str">
        <f t="shared" si="96"/>
        <v>Error?</v>
      </c>
      <c r="E6263" s="2" t="s">
        <v>199</v>
      </c>
    </row>
    <row r="6264" spans="1:5" x14ac:dyDescent="0.2">
      <c r="A6264">
        <v>6203</v>
      </c>
      <c r="B6264" s="138">
        <f>'Acct Summary 7-8'!J79</f>
        <v>172951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246150</v>
      </c>
      <c r="D6266" s="2" t="str">
        <f t="shared" si="96"/>
        <v>Error?</v>
      </c>
      <c r="E6266" s="2" t="s">
        <v>199</v>
      </c>
    </row>
    <row r="6267" spans="1:5" x14ac:dyDescent="0.2">
      <c r="A6267">
        <v>6206</v>
      </c>
      <c r="B6267" s="138">
        <f>'Acct Summary 7-8'!C82</f>
        <v>585640</v>
      </c>
      <c r="D6267" s="2" t="str">
        <f t="shared" si="96"/>
        <v>Error?</v>
      </c>
      <c r="E6267" s="2" t="s">
        <v>199</v>
      </c>
    </row>
    <row r="6268" spans="1:5" x14ac:dyDescent="0.2">
      <c r="A6268">
        <v>6207</v>
      </c>
      <c r="B6268" s="138">
        <f>'Acct Summary 7-8'!D82</f>
        <v>101269</v>
      </c>
      <c r="D6268" s="2" t="str">
        <f t="shared" si="96"/>
        <v>Error?</v>
      </c>
      <c r="E6268" s="2" t="s">
        <v>199</v>
      </c>
    </row>
    <row r="6269" spans="1:5" x14ac:dyDescent="0.2">
      <c r="A6269">
        <v>6208</v>
      </c>
      <c r="B6269" s="138">
        <f>'Acct Summary 7-8'!E82</f>
        <v>-2197</v>
      </c>
      <c r="D6269" s="2" t="str">
        <f t="shared" si="96"/>
        <v>Error?</v>
      </c>
      <c r="E6269" s="2" t="s">
        <v>199</v>
      </c>
    </row>
    <row r="6270" spans="1:5" x14ac:dyDescent="0.2">
      <c r="A6270">
        <v>6209</v>
      </c>
      <c r="B6270" s="138">
        <f>'Acct Summary 7-8'!F82</f>
        <v>95290</v>
      </c>
      <c r="D6270" s="2" t="str">
        <f t="shared" si="96"/>
        <v>Error?</v>
      </c>
      <c r="E6270" s="2" t="s">
        <v>199</v>
      </c>
    </row>
    <row r="6271" spans="1:5" x14ac:dyDescent="0.2">
      <c r="A6271">
        <v>6210</v>
      </c>
      <c r="B6271" s="138">
        <f>'Acct Summary 7-8'!G82</f>
        <v>-4788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31953</v>
      </c>
      <c r="D6273" s="2" t="str">
        <f t="shared" si="97"/>
        <v>Error?</v>
      </c>
      <c r="E6273" s="2" t="s">
        <v>199</v>
      </c>
    </row>
    <row r="6274" spans="1:5" x14ac:dyDescent="0.2">
      <c r="A6274">
        <v>6213</v>
      </c>
      <c r="B6274" s="138">
        <f>'Acct Summary 7-8'!J82</f>
        <v>73199</v>
      </c>
      <c r="D6274" s="2" t="str">
        <f t="shared" si="97"/>
        <v>Error?</v>
      </c>
      <c r="E6274" s="2" t="s">
        <v>199</v>
      </c>
    </row>
    <row r="6275" spans="1:5" x14ac:dyDescent="0.2">
      <c r="A6275">
        <v>6214</v>
      </c>
      <c r="B6275" s="138">
        <f>'Acct Summary 7-8'!K82</f>
        <v>-827658</v>
      </c>
      <c r="D6275" s="2" t="str">
        <f t="shared" si="97"/>
        <v>Error?</v>
      </c>
      <c r="E6275" s="2" t="s">
        <v>199</v>
      </c>
    </row>
    <row r="6276" spans="1:5" x14ac:dyDescent="0.2">
      <c r="A6276">
        <v>6215</v>
      </c>
      <c r="B6276" s="138">
        <f>'Acct Summary 7-8'!C83</f>
        <v>0.35015886416605579</v>
      </c>
      <c r="D6276" s="2" t="str">
        <f t="shared" si="97"/>
        <v>Error?</v>
      </c>
      <c r="E6276" s="2" t="s">
        <v>199</v>
      </c>
    </row>
    <row r="6277" spans="1:5" x14ac:dyDescent="0.2">
      <c r="A6277">
        <v>6216</v>
      </c>
      <c r="B6277" s="138">
        <f>'Acct Summary 7-8'!D83</f>
        <v>0.4903307961962311</v>
      </c>
      <c r="D6277" s="2" t="str">
        <f t="shared" si="97"/>
        <v>Error?</v>
      </c>
      <c r="E6277" s="2" t="s">
        <v>199</v>
      </c>
    </row>
    <row r="6278" spans="1:5" x14ac:dyDescent="0.2">
      <c r="A6278">
        <v>6217</v>
      </c>
      <c r="B6278" s="138">
        <f>'Acct Summary 7-8'!E83</f>
        <v>-1.9525591233480567E-2</v>
      </c>
      <c r="D6278" s="2" t="str">
        <f t="shared" si="97"/>
        <v>Error?</v>
      </c>
      <c r="E6278" s="2" t="s">
        <v>199</v>
      </c>
    </row>
    <row r="6279" spans="1:5" x14ac:dyDescent="0.2">
      <c r="A6279">
        <v>6218</v>
      </c>
      <c r="B6279" s="138">
        <f>'Acct Summary 7-8'!F83</f>
        <v>0.3179321895915494</v>
      </c>
      <c r="D6279" s="2" t="str">
        <f t="shared" si="97"/>
        <v>Error?</v>
      </c>
      <c r="E6279" s="2" t="s">
        <v>199</v>
      </c>
    </row>
    <row r="6280" spans="1:5" x14ac:dyDescent="0.2">
      <c r="A6280">
        <v>6219</v>
      </c>
      <c r="B6280" s="138">
        <f>'Acct Summary 7-8'!G83</f>
        <v>-1.7852548686226915E-2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8.4448414659608381E-2</v>
      </c>
      <c r="D6282" s="2" t="str">
        <f t="shared" si="97"/>
        <v>Error?</v>
      </c>
      <c r="E6282" s="2" t="s">
        <v>199</v>
      </c>
    </row>
    <row r="6283" spans="1:5" x14ac:dyDescent="0.2">
      <c r="A6283">
        <v>6222</v>
      </c>
      <c r="B6283" s="138">
        <f>'Acct Summary 7-8'!J83</f>
        <v>0.29737558399349989</v>
      </c>
      <c r="D6283" s="2" t="str">
        <f t="shared" si="97"/>
        <v>Error?</v>
      </c>
      <c r="E6283" s="2" t="s">
        <v>199</v>
      </c>
    </row>
    <row r="6284" spans="1:5" x14ac:dyDescent="0.2">
      <c r="A6284">
        <v>6223</v>
      </c>
      <c r="B6284" s="138">
        <f>'Acct Summary 7-8'!K83</f>
        <v>-0.40580939474112587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548345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548345</v>
      </c>
      <c r="D6301" s="2" t="str">
        <f t="shared" si="97"/>
        <v>Error?</v>
      </c>
      <c r="E6301" s="2" t="s">
        <v>199</v>
      </c>
    </row>
    <row r="6302" spans="1:5" x14ac:dyDescent="0.2">
      <c r="A6302">
        <v>6241</v>
      </c>
      <c r="B6302" s="138">
        <f>'Revenues 9-14'!J14</f>
        <v>483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483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4858</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548866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5067</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64645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89934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28500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33881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514362</v>
      </c>
      <c r="D6983" s="2" t="str">
        <f t="shared" si="108"/>
        <v>Error?</v>
      </c>
    </row>
    <row r="6984" spans="1:4" x14ac:dyDescent="0.2">
      <c r="A6984">
        <v>6923</v>
      </c>
      <c r="B6984" s="138">
        <f>'Expenditures 15-22'!K86</f>
        <v>514362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54049</v>
      </c>
      <c r="D6987" s="2" t="str">
        <f t="shared" si="108"/>
        <v>Error?</v>
      </c>
    </row>
    <row r="6988" spans="1:4" x14ac:dyDescent="0.2">
      <c r="A6988">
        <v>6927</v>
      </c>
      <c r="B6988" s="138">
        <f>'Expenditures 15-22'!K88</f>
        <v>54049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568411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475667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548866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7105</v>
      </c>
      <c r="D7073" s="2" t="str">
        <f t="shared" si="109"/>
        <v>Error?</v>
      </c>
    </row>
    <row r="7074" spans="1:4" x14ac:dyDescent="0.2">
      <c r="A7074">
        <v>7013</v>
      </c>
      <c r="B7074" s="138">
        <f>'Expenditures 15-22'!K216</f>
        <v>7105</v>
      </c>
      <c r="D7074" s="2" t="str">
        <f t="shared" si="109"/>
        <v>Error?</v>
      </c>
    </row>
    <row r="7075" spans="1:4" x14ac:dyDescent="0.2">
      <c r="A7075">
        <v>7014</v>
      </c>
      <c r="B7075" s="138">
        <f>'Expenditures 15-22'!D218</f>
        <v>3642</v>
      </c>
      <c r="D7075" s="2" t="str">
        <f t="shared" si="109"/>
        <v>Error?</v>
      </c>
    </row>
    <row r="7076" spans="1:4" x14ac:dyDescent="0.2">
      <c r="A7076">
        <v>7015</v>
      </c>
      <c r="B7076" s="138">
        <f>'Expenditures 15-22'!K218</f>
        <v>3642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380</v>
      </c>
      <c r="D7079" s="2" t="str">
        <f t="shared" si="109"/>
        <v>Error?</v>
      </c>
    </row>
    <row r="7080" spans="1:4" x14ac:dyDescent="0.2">
      <c r="A7080">
        <v>7019</v>
      </c>
      <c r="B7080" s="138">
        <f>'Expenditures 15-22'!K226</f>
        <v>380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68308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68308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26191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26191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269914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9378</v>
      </c>
      <c r="D7174" s="2" t="str">
        <f t="shared" si="111"/>
        <v>Error?</v>
      </c>
    </row>
    <row r="7175" spans="1:4" x14ac:dyDescent="0.2">
      <c r="A7175">
        <v>7114</v>
      </c>
      <c r="B7175" s="138">
        <f>'Expenditures 15-22'!F325</f>
        <v>4186</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283478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2937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2937</v>
      </c>
      <c r="D7198" s="2" t="str">
        <f t="shared" si="111"/>
        <v>Error?</v>
      </c>
    </row>
    <row r="7199" spans="1:4" x14ac:dyDescent="0.2">
      <c r="A7199">
        <v>7138</v>
      </c>
      <c r="B7199" s="138">
        <f>'Expenditures 15-22'!C330</f>
        <v>269914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201567</v>
      </c>
      <c r="D7201" s="2" t="str">
        <f t="shared" si="111"/>
        <v>Error?</v>
      </c>
    </row>
    <row r="7202" spans="1:4" x14ac:dyDescent="0.2">
      <c r="A7202">
        <v>7141</v>
      </c>
      <c r="B7202" s="138">
        <f>'Expenditures 15-22'!F330</f>
        <v>4186</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475667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269914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201567</v>
      </c>
      <c r="D7218" s="2" t="str">
        <f t="shared" si="111"/>
        <v>Error?</v>
      </c>
    </row>
    <row r="7219" spans="1:4" x14ac:dyDescent="0.2">
      <c r="A7219">
        <v>7158</v>
      </c>
      <c r="B7219" s="138">
        <f>'Expenditures 15-22'!F342</f>
        <v>4186</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475667</v>
      </c>
      <c r="D7224" s="2" t="str">
        <f t="shared" si="111"/>
        <v>Error?</v>
      </c>
    </row>
    <row r="7225" spans="1:4" x14ac:dyDescent="0.2">
      <c r="A7225">
        <v>7164</v>
      </c>
      <c r="B7225" s="138">
        <f>'Expenditures 15-22'!K343</f>
        <v>73199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20006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5283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20333</v>
      </c>
      <c r="D7251" s="2" t="str">
        <f t="shared" si="112"/>
        <v>Error?</v>
      </c>
    </row>
    <row r="7252" spans="1:4" x14ac:dyDescent="0.2">
      <c r="A7252">
        <f t="shared" si="113"/>
        <v>7191</v>
      </c>
      <c r="B7252" s="138">
        <f>'Expenditures 15-22'!D9</f>
        <v>8167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27343</v>
      </c>
      <c r="D7263" s="2" t="str">
        <f t="shared" si="112"/>
        <v>Error?</v>
      </c>
    </row>
    <row r="7264" spans="1:4" x14ac:dyDescent="0.2">
      <c r="A7264">
        <f t="shared" si="113"/>
        <v>7203</v>
      </c>
      <c r="B7264" s="138">
        <f>'Expenditures 15-22'!D17</f>
        <v>6538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460227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86992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86992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7761</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7761</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4858</v>
      </c>
      <c r="D7712" s="2" t="str">
        <f t="shared" si="126"/>
        <v>Error?</v>
      </c>
      <c r="E7712" s="2" t="s">
        <v>881</v>
      </c>
    </row>
    <row r="7713" spans="1:6" x14ac:dyDescent="0.2">
      <c r="A7713">
        <v>7652</v>
      </c>
      <c r="B7713" s="138">
        <f>'Rest Tax Levies-Tort Im 25'!J8</f>
        <v>524</v>
      </c>
      <c r="D7713" s="2" t="str">
        <f t="shared" si="126"/>
        <v>Error?</v>
      </c>
      <c r="E7713" s="2" t="s">
        <v>881</v>
      </c>
    </row>
    <row r="7714" spans="1:6" x14ac:dyDescent="0.2">
      <c r="A7714">
        <v>7653</v>
      </c>
      <c r="B7714" s="138">
        <f>'Rest Tax Levies-Tort Im 25'!K9</f>
        <v>14587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524</v>
      </c>
      <c r="D7718" s="2" t="str">
        <f t="shared" si="126"/>
        <v>Error?</v>
      </c>
      <c r="E7718" s="2" t="s">
        <v>881</v>
      </c>
    </row>
    <row r="7719" spans="1:6" x14ac:dyDescent="0.2">
      <c r="A7719">
        <v>7658</v>
      </c>
      <c r="B7719" s="138">
        <f>'Rest Tax Levies-Tort Im 25'!K12</f>
        <v>19445</v>
      </c>
      <c r="D7719" s="2" t="str">
        <f t="shared" si="126"/>
        <v>Error?</v>
      </c>
      <c r="E7719" s="2" t="s">
        <v>881</v>
      </c>
    </row>
    <row r="7720" spans="1:6" x14ac:dyDescent="0.2">
      <c r="A7720">
        <v>7659</v>
      </c>
      <c r="B7720" s="138">
        <f>'Rest Tax Levies-Tort Im 25'!H14</f>
        <v>25539</v>
      </c>
      <c r="D7720" s="2" t="str">
        <f t="shared" si="126"/>
        <v>Error?</v>
      </c>
      <c r="E7720" s="2" t="s">
        <v>881</v>
      </c>
    </row>
    <row r="7721" spans="1:6" x14ac:dyDescent="0.2">
      <c r="A7721">
        <v>7660</v>
      </c>
      <c r="B7721" s="138">
        <f>'Rest Tax Levies-Tort Im 25'!K14</f>
        <v>19445</v>
      </c>
      <c r="D7721" s="2" t="str">
        <f t="shared" si="126"/>
        <v>Error?</v>
      </c>
      <c r="E7721" s="2" t="s">
        <v>881</v>
      </c>
    </row>
    <row r="7722" spans="1:6" x14ac:dyDescent="0.2">
      <c r="A7722">
        <v>7661</v>
      </c>
      <c r="B7722" s="138">
        <f>'Rest Tax Levies-Tort Im 25'!J15</f>
        <v>524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524</v>
      </c>
      <c r="D7730" s="2" t="str">
        <f t="shared" si="126"/>
        <v>Error?</v>
      </c>
      <c r="E7730" s="2" t="s">
        <v>881</v>
      </c>
    </row>
    <row r="7731" spans="1:6" x14ac:dyDescent="0.2">
      <c r="A7731">
        <v>7670</v>
      </c>
      <c r="B7731" s="138">
        <f>'Revenues 9-14'!H103</f>
        <v>524</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0</v>
      </c>
      <c r="D7797" s="2" t="str">
        <f t="shared" si="127"/>
        <v>Error?</v>
      </c>
      <c r="E7797" s="4" t="s">
        <v>2016</v>
      </c>
    </row>
    <row r="7798" spans="1:5" x14ac:dyDescent="0.2">
      <c r="A7798">
        <v>7737</v>
      </c>
      <c r="B7798" s="138">
        <f>'Contracts Paid in CY 29'!F141</f>
        <v>0</v>
      </c>
      <c r="D7798" s="2" t="str">
        <f t="shared" si="127"/>
        <v>Error?</v>
      </c>
      <c r="E7798" s="4" t="s">
        <v>2016</v>
      </c>
    </row>
    <row r="7799" spans="1:5" x14ac:dyDescent="0.2">
      <c r="A7799">
        <v>7738</v>
      </c>
      <c r="B7799" s="138">
        <f>'Contracts Paid in CY 29'!G141</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Georgetown-Ridge Farm CUD 4</v>
      </c>
      <c r="B7" s="2423"/>
      <c r="C7" s="2423"/>
      <c r="D7" s="2424"/>
      <c r="E7" s="2425">
        <f>COVER!A13</f>
        <v>54092004026</v>
      </c>
      <c r="F7" s="2426"/>
      <c r="G7" s="2432" t="str">
        <f>COVER!T23</f>
        <v>065.018319</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JEAN NEAL</v>
      </c>
      <c r="B10" s="2413"/>
      <c r="C10" s="2413"/>
      <c r="D10" s="2413"/>
      <c r="E10" s="2413"/>
      <c r="F10" s="2414"/>
      <c r="G10" s="2406" t="str">
        <f>COVER!T17</f>
        <v>228 E MAIN ST</v>
      </c>
      <c r="H10" s="2407"/>
      <c r="I10" s="2407"/>
      <c r="J10" s="2407"/>
      <c r="K10" s="2407"/>
      <c r="L10" s="2408"/>
    </row>
    <row r="11" spans="1:29" ht="13.5" customHeight="1" x14ac:dyDescent="0.2">
      <c r="A11" s="1185" t="s">
        <v>1599</v>
      </c>
      <c r="B11" s="1186"/>
      <c r="C11" s="1187"/>
      <c r="D11" s="1192"/>
      <c r="E11" s="1187"/>
      <c r="F11" s="1191"/>
      <c r="G11" s="2406" t="str">
        <f>COVER!T19</f>
        <v>HOOPESTON</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admin@russleigh.com</v>
      </c>
      <c r="J13" s="2419"/>
      <c r="K13" s="2419"/>
      <c r="L13" s="2420"/>
    </row>
    <row r="14" spans="1:29" ht="13.5" customHeight="1" x14ac:dyDescent="0.2">
      <c r="A14" s="2406" t="str">
        <f>COVER!A19</f>
        <v>502 W MULBERRY ST</v>
      </c>
      <c r="B14" s="2407"/>
      <c r="C14" s="2407"/>
      <c r="D14" s="2407"/>
      <c r="E14" s="2407"/>
      <c r="F14" s="2408"/>
      <c r="G14" s="1196" t="s">
        <v>1247</v>
      </c>
      <c r="H14" s="1194"/>
      <c r="I14" s="1194"/>
      <c r="J14" s="1194"/>
      <c r="K14" s="1194"/>
      <c r="L14" s="1195"/>
    </row>
    <row r="15" spans="1:29" ht="13.5" customHeight="1" x14ac:dyDescent="0.2">
      <c r="A15" s="2406" t="str">
        <f>COVER!A21</f>
        <v>GEORGETOWN</v>
      </c>
      <c r="B15" s="2407"/>
      <c r="C15" s="2407"/>
      <c r="D15" s="2407"/>
      <c r="E15" s="2407"/>
      <c r="F15" s="2408"/>
      <c r="G15" s="2403" t="str">
        <f>COVER!T15</f>
        <v>RUSS LEIGH</v>
      </c>
      <c r="H15" s="2404"/>
      <c r="I15" s="2404"/>
      <c r="J15" s="2404"/>
      <c r="K15" s="2404"/>
      <c r="L15" s="2405"/>
    </row>
    <row r="16" spans="1:29" ht="12.2" customHeight="1" x14ac:dyDescent="0.2">
      <c r="A16" s="2428">
        <f>COVER!A25</f>
        <v>61846</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Georgetown-Ridge Farm CUD 4</v>
      </c>
      <c r="B1" s="2421"/>
      <c r="C1" s="2421"/>
      <c r="D1" s="2421"/>
    </row>
    <row r="2" spans="1:11" s="1215" customFormat="1" ht="12.75" x14ac:dyDescent="0.2">
      <c r="A2" s="2445">
        <f>'Single Audit Cover'!E7</f>
        <v>54092004026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Georgetown-Ridge Farm CUD 4</v>
      </c>
      <c r="B1" s="2448"/>
      <c r="C1" s="2448"/>
      <c r="D1" s="2448"/>
      <c r="E1" s="2448"/>
    </row>
    <row r="2" spans="1:5" x14ac:dyDescent="0.2">
      <c r="A2" s="2449">
        <f>'Single Audit Cover'!E7</f>
        <v>54092004026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975497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43798</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-61972</v>
      </c>
    </row>
    <row r="19" spans="1:4" ht="13.5" thickBot="1" x14ac:dyDescent="0.25">
      <c r="A19" s="1265" t="s">
        <v>1297</v>
      </c>
      <c r="D19" s="1266">
        <f>SUM(D10:D17)</f>
        <v>957323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957323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957323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Georgetown-Ridge Farm CUD 4</v>
      </c>
      <c r="B1" s="2461"/>
      <c r="C1" s="2461"/>
      <c r="D1" s="2461"/>
      <c r="E1" s="2461"/>
      <c r="F1" s="2461"/>
    </row>
    <row r="2" spans="1:7" ht="13.5" customHeight="1" x14ac:dyDescent="0.2">
      <c r="A2" s="2462">
        <f>'Single Audit Cover'!E7</f>
        <v>54092004026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2115</v>
      </c>
      <c r="B7" s="2460"/>
      <c r="C7" s="2460"/>
      <c r="D7" s="2460"/>
      <c r="E7" s="2460"/>
      <c r="F7" s="2460"/>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2116</v>
      </c>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2117</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t="s">
        <v>2118</v>
      </c>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2119</v>
      </c>
      <c r="B32" s="2454"/>
      <c r="C32" s="2454"/>
      <c r="D32" s="2454"/>
      <c r="E32" s="2454"/>
      <c r="F32" s="2454"/>
    </row>
    <row r="33" spans="1:6" ht="13.5" customHeight="1" x14ac:dyDescent="0.2">
      <c r="A33" s="328" t="s">
        <v>1509</v>
      </c>
      <c r="B33" s="328"/>
      <c r="C33" s="1288">
        <v>43798</v>
      </c>
      <c r="D33" s="1928"/>
      <c r="E33" s="1286"/>
    </row>
    <row r="34" spans="1:6" ht="13.5" customHeight="1" x14ac:dyDescent="0.2">
      <c r="A34" s="328" t="s">
        <v>1945</v>
      </c>
      <c r="B34" s="328"/>
      <c r="C34" s="1289">
        <v>0</v>
      </c>
      <c r="D34" s="1928" t="s">
        <v>1671</v>
      </c>
      <c r="E34" s="2455">
        <f>+C33+C34</f>
        <v>43798</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2120</v>
      </c>
      <c r="D38" s="1928"/>
      <c r="E38" s="1286"/>
    </row>
    <row r="39" spans="1:6" ht="14.25" customHeight="1" x14ac:dyDescent="0.2">
      <c r="A39" s="328"/>
      <c r="B39" s="328" t="s">
        <v>1511</v>
      </c>
      <c r="C39" s="1292" t="s">
        <v>2120</v>
      </c>
      <c r="D39" s="1928"/>
      <c r="E39" s="1286"/>
    </row>
    <row r="40" spans="1:6" ht="14.25" customHeight="1" x14ac:dyDescent="0.2">
      <c r="A40" s="328"/>
      <c r="B40" s="328" t="s">
        <v>1512</v>
      </c>
      <c r="C40" s="1292" t="s">
        <v>2120</v>
      </c>
      <c r="D40" s="1928"/>
      <c r="E40" s="1286"/>
    </row>
    <row r="41" spans="1:6" ht="14.25" customHeight="1" x14ac:dyDescent="0.2">
      <c r="A41" s="328"/>
      <c r="B41" s="328" t="s">
        <v>1513</v>
      </c>
      <c r="C41" s="1292" t="s">
        <v>2120</v>
      </c>
      <c r="D41" s="1928"/>
      <c r="E41" s="1286"/>
    </row>
    <row r="42" spans="1:6" ht="14.25" customHeight="1" x14ac:dyDescent="0.2">
      <c r="A42" s="328" t="s">
        <v>1514</v>
      </c>
      <c r="B42" s="328"/>
      <c r="C42" s="1926" t="s">
        <v>2120</v>
      </c>
      <c r="D42" s="1928"/>
      <c r="E42" s="1286"/>
    </row>
    <row r="43" spans="1:6" ht="14.25" customHeight="1" x14ac:dyDescent="0.2">
      <c r="A43" s="328" t="s">
        <v>1515</v>
      </c>
      <c r="B43" s="328"/>
      <c r="C43" s="1293" t="s">
        <v>2120</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M28" sqref="M2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Georgetown-Ridge Farm CUD 4</v>
      </c>
      <c r="C1" s="2465"/>
      <c r="D1" s="2465"/>
      <c r="E1" s="2465"/>
      <c r="F1" s="2465"/>
      <c r="G1" s="2465"/>
      <c r="H1" s="2465"/>
      <c r="I1" s="2465"/>
      <c r="J1" s="2465"/>
      <c r="K1" s="2465"/>
      <c r="L1" s="2465"/>
      <c r="M1" s="2465"/>
    </row>
    <row r="2" spans="2:14" ht="15" x14ac:dyDescent="0.2">
      <c r="B2" s="2462">
        <f>'Single Audit Cover'!E7</f>
        <v>54092004026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2121</v>
      </c>
      <c r="C11" s="1338"/>
      <c r="D11" s="1339"/>
      <c r="E11" s="1340"/>
      <c r="F11" s="1340"/>
      <c r="G11" s="1340"/>
      <c r="H11" s="1340"/>
      <c r="I11" s="1340"/>
      <c r="J11" s="1340"/>
      <c r="K11" s="1340"/>
      <c r="L11" s="1340">
        <f>+G11+I11+K11</f>
        <v>0</v>
      </c>
      <c r="M11" s="1340"/>
    </row>
    <row r="12" spans="2:14" ht="20.100000000000001" customHeight="1" x14ac:dyDescent="0.2">
      <c r="B12" s="1337" t="s">
        <v>2122</v>
      </c>
      <c r="C12" s="1341"/>
      <c r="D12" s="1342"/>
      <c r="E12" s="1343"/>
      <c r="F12" s="1343"/>
      <c r="G12" s="1343"/>
      <c r="H12" s="1343"/>
      <c r="I12" s="1343"/>
      <c r="J12" s="1343"/>
      <c r="K12" s="1343"/>
      <c r="L12" s="1340">
        <f t="shared" ref="L12:L27" si="0">+G12+I12+K12</f>
        <v>0</v>
      </c>
      <c r="M12" s="1343"/>
    </row>
    <row r="13" spans="2:14" ht="20.100000000000001" customHeight="1" x14ac:dyDescent="0.2">
      <c r="B13" s="1337" t="s">
        <v>2123</v>
      </c>
      <c r="C13" s="1341">
        <v>10.555</v>
      </c>
      <c r="D13" s="1342" t="s">
        <v>2124</v>
      </c>
      <c r="E13" s="1343">
        <v>308828</v>
      </c>
      <c r="F13" s="1343">
        <v>65492</v>
      </c>
      <c r="G13" s="1343">
        <v>308828</v>
      </c>
      <c r="H13" s="1343"/>
      <c r="I13" s="1343">
        <v>65492</v>
      </c>
      <c r="J13" s="1343"/>
      <c r="K13" s="1343"/>
      <c r="L13" s="1340">
        <f t="shared" si="0"/>
        <v>374320</v>
      </c>
      <c r="M13" s="1343"/>
    </row>
    <row r="14" spans="2:14" ht="20.100000000000001" customHeight="1" x14ac:dyDescent="0.2">
      <c r="B14" s="1337" t="s">
        <v>2123</v>
      </c>
      <c r="C14" s="1341">
        <v>10.555</v>
      </c>
      <c r="D14" s="1342" t="s">
        <v>2125</v>
      </c>
      <c r="E14" s="1343"/>
      <c r="F14" s="1343">
        <v>293092</v>
      </c>
      <c r="G14" s="1343"/>
      <c r="H14" s="1343"/>
      <c r="I14" s="1343">
        <v>293092</v>
      </c>
      <c r="J14" s="1343"/>
      <c r="K14" s="1343"/>
      <c r="L14" s="1340">
        <f t="shared" si="0"/>
        <v>293092</v>
      </c>
      <c r="M14" s="1343"/>
    </row>
    <row r="15" spans="2:14" ht="20.100000000000001" customHeight="1" x14ac:dyDescent="0.2">
      <c r="B15" s="1337" t="s">
        <v>2126</v>
      </c>
      <c r="C15" s="1341">
        <v>10.553000000000001</v>
      </c>
      <c r="D15" s="1342" t="s">
        <v>2124</v>
      </c>
      <c r="E15" s="1343">
        <v>96965</v>
      </c>
      <c r="F15" s="1343">
        <v>20045</v>
      </c>
      <c r="G15" s="1343">
        <v>96965</v>
      </c>
      <c r="H15" s="1343"/>
      <c r="I15" s="1343">
        <v>20045</v>
      </c>
      <c r="J15" s="1343"/>
      <c r="K15" s="1343"/>
      <c r="L15" s="1340">
        <f t="shared" si="0"/>
        <v>117010</v>
      </c>
      <c r="M15" s="1343"/>
    </row>
    <row r="16" spans="2:14" ht="20.100000000000001" customHeight="1" x14ac:dyDescent="0.2">
      <c r="B16" s="1337" t="s">
        <v>2126</v>
      </c>
      <c r="C16" s="1341">
        <v>10.553000000000001</v>
      </c>
      <c r="D16" s="1342" t="s">
        <v>2125</v>
      </c>
      <c r="E16" s="1343"/>
      <c r="F16" s="1343">
        <v>89950</v>
      </c>
      <c r="G16" s="1343"/>
      <c r="H16" s="1343"/>
      <c r="I16" s="1343">
        <v>89950</v>
      </c>
      <c r="J16" s="1343"/>
      <c r="K16" s="1343"/>
      <c r="L16" s="1340">
        <f t="shared" si="0"/>
        <v>89950</v>
      </c>
      <c r="M16" s="1343"/>
    </row>
    <row r="17" spans="2:14" ht="20.100000000000001" customHeight="1" x14ac:dyDescent="0.2">
      <c r="B17" s="1337" t="s">
        <v>2127</v>
      </c>
      <c r="C17" s="1341">
        <v>10.555</v>
      </c>
      <c r="D17" s="1342" t="s">
        <v>2128</v>
      </c>
      <c r="E17" s="1343"/>
      <c r="F17" s="1343">
        <v>18535</v>
      </c>
      <c r="G17" s="1343"/>
      <c r="H17" s="1343"/>
      <c r="I17" s="1343">
        <v>18535</v>
      </c>
      <c r="J17" s="1343"/>
      <c r="K17" s="1343"/>
      <c r="L17" s="1340">
        <f t="shared" si="0"/>
        <v>18535</v>
      </c>
      <c r="M17" s="1343"/>
    </row>
    <row r="18" spans="2:14" ht="20.100000000000001" customHeight="1" x14ac:dyDescent="0.2">
      <c r="B18" s="1337" t="s">
        <v>2129</v>
      </c>
      <c r="C18" s="1341">
        <v>10.555</v>
      </c>
      <c r="D18" s="1342" t="s">
        <v>2128</v>
      </c>
      <c r="E18" s="1343"/>
      <c r="F18" s="1343">
        <v>25263</v>
      </c>
      <c r="G18" s="1343"/>
      <c r="H18" s="1343"/>
      <c r="I18" s="1343">
        <v>25263</v>
      </c>
      <c r="J18" s="1343"/>
      <c r="K18" s="1343"/>
      <c r="L18" s="1340">
        <f t="shared" si="0"/>
        <v>25263</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2130</v>
      </c>
      <c r="C20" s="1341"/>
      <c r="D20" s="1342"/>
      <c r="E20" s="1343">
        <v>405793</v>
      </c>
      <c r="F20" s="1343">
        <v>512377</v>
      </c>
      <c r="G20" s="1343">
        <v>405793</v>
      </c>
      <c r="H20" s="1343"/>
      <c r="I20" s="1343">
        <v>512377</v>
      </c>
      <c r="J20" s="1343"/>
      <c r="K20" s="1343"/>
      <c r="L20" s="1340">
        <f t="shared" si="0"/>
        <v>918170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2131</v>
      </c>
      <c r="C22" s="1341"/>
      <c r="D22" s="1342"/>
      <c r="E22" s="1343"/>
      <c r="F22" s="1343"/>
      <c r="G22" s="1343"/>
      <c r="H22" s="1343"/>
      <c r="I22" s="1343"/>
      <c r="J22" s="1343"/>
      <c r="K22" s="1343"/>
      <c r="L22" s="1340">
        <f t="shared" si="0"/>
        <v>0</v>
      </c>
      <c r="M22" s="1343"/>
    </row>
    <row r="23" spans="2:14" ht="20.100000000000001" customHeight="1" x14ac:dyDescent="0.2">
      <c r="B23" s="1337" t="s">
        <v>2137</v>
      </c>
      <c r="C23" s="1341"/>
      <c r="D23" s="1342"/>
      <c r="E23" s="1343"/>
      <c r="F23" s="1343"/>
      <c r="G23" s="1343"/>
      <c r="H23" s="1343"/>
      <c r="I23" s="1343"/>
      <c r="J23" s="1343"/>
      <c r="K23" s="1343"/>
      <c r="L23" s="1340"/>
      <c r="M23" s="1343"/>
    </row>
    <row r="24" spans="2:14" ht="20.100000000000001" customHeight="1" x14ac:dyDescent="0.2">
      <c r="B24" s="1337" t="s">
        <v>2138</v>
      </c>
      <c r="C24" s="1341">
        <v>84.01</v>
      </c>
      <c r="D24" s="1342" t="s">
        <v>2132</v>
      </c>
      <c r="E24" s="1343">
        <v>339859</v>
      </c>
      <c r="F24" s="1343">
        <v>70223</v>
      </c>
      <c r="G24" s="1343">
        <v>339859</v>
      </c>
      <c r="H24" s="1343"/>
      <c r="I24" s="1343">
        <v>70223</v>
      </c>
      <c r="J24" s="1343"/>
      <c r="K24" s="1343"/>
      <c r="L24" s="1340">
        <v>410082</v>
      </c>
      <c r="M24" s="1343">
        <v>415440</v>
      </c>
    </row>
    <row r="25" spans="2:14" ht="20.100000000000001" customHeight="1" x14ac:dyDescent="0.2">
      <c r="B25" s="1337" t="s">
        <v>2138</v>
      </c>
      <c r="C25" s="1341">
        <v>84.01</v>
      </c>
      <c r="D25" s="1342" t="s">
        <v>2133</v>
      </c>
      <c r="E25" s="1343"/>
      <c r="F25" s="1343">
        <v>236434</v>
      </c>
      <c r="G25" s="1343"/>
      <c r="H25" s="1343"/>
      <c r="I25" s="1343">
        <v>297032</v>
      </c>
      <c r="J25" s="1343"/>
      <c r="K25" s="1343"/>
      <c r="L25" s="1340">
        <f t="shared" si="0"/>
        <v>297032</v>
      </c>
      <c r="M25" s="1343">
        <v>410110</v>
      </c>
    </row>
    <row r="26" spans="2:14" ht="20.100000000000001" customHeight="1" x14ac:dyDescent="0.2">
      <c r="B26" s="1337" t="s">
        <v>2134</v>
      </c>
      <c r="C26" s="1341">
        <v>84.367000000000004</v>
      </c>
      <c r="D26" s="1342" t="s">
        <v>2135</v>
      </c>
      <c r="E26" s="1343">
        <v>28325</v>
      </c>
      <c r="F26" s="1343">
        <v>47</v>
      </c>
      <c r="G26" s="1343">
        <v>28325</v>
      </c>
      <c r="H26" s="1343"/>
      <c r="I26" s="1343">
        <v>47</v>
      </c>
      <c r="J26" s="1343"/>
      <c r="K26" s="1343"/>
      <c r="L26" s="1340">
        <v>28372</v>
      </c>
      <c r="M26" s="1343"/>
    </row>
    <row r="27" spans="2:14" ht="20.100000000000001" customHeight="1" x14ac:dyDescent="0.2">
      <c r="B27" s="1337" t="s">
        <v>2134</v>
      </c>
      <c r="C27" s="1341">
        <v>84.367000000000004</v>
      </c>
      <c r="D27" s="1342" t="s">
        <v>2136</v>
      </c>
      <c r="E27" s="1343"/>
      <c r="F27" s="1343">
        <v>8515</v>
      </c>
      <c r="G27" s="1343"/>
      <c r="H27" s="1343"/>
      <c r="I27" s="1343">
        <v>12566</v>
      </c>
      <c r="J27" s="1343"/>
      <c r="K27" s="1343"/>
      <c r="L27" s="1340">
        <f t="shared" si="0"/>
        <v>12566</v>
      </c>
      <c r="M27" s="1343">
        <v>20541</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3" sqref="I2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Georgetown-Ridge Farm CUD 4</v>
      </c>
      <c r="C1" s="2465"/>
      <c r="D1" s="2465"/>
      <c r="E1" s="2465"/>
      <c r="F1" s="2465"/>
      <c r="G1" s="2465"/>
      <c r="H1" s="2465"/>
      <c r="I1" s="2465"/>
      <c r="J1" s="2465"/>
      <c r="K1" s="2465"/>
      <c r="L1" s="2465"/>
      <c r="M1" s="2465"/>
    </row>
    <row r="2" spans="2:14" ht="15" x14ac:dyDescent="0.2">
      <c r="B2" s="2462">
        <f>'Single Audit Cover'!E7</f>
        <v>54092004026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2139</v>
      </c>
      <c r="C11" s="1338" t="s">
        <v>2140</v>
      </c>
      <c r="D11" s="1339" t="s">
        <v>2141</v>
      </c>
      <c r="E11" s="1340"/>
      <c r="F11" s="1340">
        <v>11191</v>
      </c>
      <c r="G11" s="1340"/>
      <c r="H11" s="1340"/>
      <c r="I11" s="1340">
        <v>11191</v>
      </c>
      <c r="J11" s="1340"/>
      <c r="K11" s="1340"/>
      <c r="L11" s="1340">
        <f>+G11+I11+K11</f>
        <v>11191</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2142</v>
      </c>
      <c r="C13" s="1341"/>
      <c r="D13" s="1342"/>
      <c r="E13" s="1343">
        <v>368184</v>
      </c>
      <c r="F13" s="1343">
        <v>326410</v>
      </c>
      <c r="G13" s="1343">
        <v>369184</v>
      </c>
      <c r="H13" s="1343"/>
      <c r="I13" s="1343">
        <v>391059</v>
      </c>
      <c r="J13" s="1343"/>
      <c r="K13" s="1343"/>
      <c r="L13" s="1340">
        <f t="shared" si="0"/>
        <v>760243</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2143</v>
      </c>
      <c r="C15" s="1341"/>
      <c r="D15" s="1342"/>
      <c r="E15" s="1343"/>
      <c r="F15" s="1343"/>
      <c r="G15" s="1343"/>
      <c r="H15" s="1343"/>
      <c r="I15" s="1343"/>
      <c r="J15" s="1343"/>
      <c r="K15" s="1343"/>
      <c r="L15" s="1340">
        <f t="shared" si="0"/>
        <v>0</v>
      </c>
      <c r="M15" s="1343"/>
    </row>
    <row r="16" spans="2:14" ht="20.100000000000001" customHeight="1" x14ac:dyDescent="0.2">
      <c r="B16" s="1337" t="s">
        <v>2144</v>
      </c>
      <c r="C16" s="1341"/>
      <c r="D16" s="1342"/>
      <c r="E16" s="1343"/>
      <c r="F16" s="1343"/>
      <c r="G16" s="1343"/>
      <c r="H16" s="1343"/>
      <c r="I16" s="1343"/>
      <c r="J16" s="1343"/>
      <c r="K16" s="1343"/>
      <c r="L16" s="1340">
        <f t="shared" si="0"/>
        <v>0</v>
      </c>
      <c r="M16" s="1343"/>
    </row>
    <row r="17" spans="2:14" ht="20.100000000000001" customHeight="1" x14ac:dyDescent="0.2">
      <c r="B17" s="1337" t="s">
        <v>2145</v>
      </c>
      <c r="C17" s="1341">
        <v>93.778000000000006</v>
      </c>
      <c r="D17" s="1342" t="s">
        <v>2146</v>
      </c>
      <c r="E17" s="1343"/>
      <c r="F17" s="1343">
        <v>118536</v>
      </c>
      <c r="G17" s="1343"/>
      <c r="H17" s="1343"/>
      <c r="I17" s="1343">
        <v>118536</v>
      </c>
      <c r="J17" s="1343"/>
      <c r="K17" s="1343"/>
      <c r="L17" s="1340">
        <f t="shared" si="0"/>
        <v>118536</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2147</v>
      </c>
      <c r="C19" s="1341"/>
      <c r="D19" s="1342"/>
      <c r="E19" s="1343"/>
      <c r="F19" s="1343">
        <v>118536</v>
      </c>
      <c r="G19" s="1343"/>
      <c r="H19" s="1343"/>
      <c r="I19" s="1343">
        <v>118536</v>
      </c>
      <c r="J19" s="1343"/>
      <c r="K19" s="1343"/>
      <c r="L19" s="1340">
        <f t="shared" si="0"/>
        <v>118536</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2148</v>
      </c>
      <c r="C22" s="1341"/>
      <c r="D22" s="1342"/>
      <c r="E22" s="1343">
        <v>773977</v>
      </c>
      <c r="F22" s="1343">
        <v>957323</v>
      </c>
      <c r="G22" s="1343">
        <v>774977</v>
      </c>
      <c r="H22" s="1343"/>
      <c r="I22" s="1343">
        <v>1021972</v>
      </c>
      <c r="J22" s="1343"/>
      <c r="K22" s="1343"/>
      <c r="L22" s="1340">
        <f t="shared" si="0"/>
        <v>1796949</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9"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Georgetown-Ridge Farm CUD 4</v>
      </c>
      <c r="C1" s="2480"/>
      <c r="D1" s="2480"/>
      <c r="E1" s="2480"/>
      <c r="F1" s="2480"/>
      <c r="G1" s="2480"/>
      <c r="H1" s="2480"/>
      <c r="I1" s="2480"/>
      <c r="J1" s="1422"/>
    </row>
    <row r="2" spans="2:10" s="317" customFormat="1" ht="12.75" customHeight="1" x14ac:dyDescent="0.2">
      <c r="B2" s="2481">
        <f>'Single Audit Cover'!E7</f>
        <v>54092004026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t="s">
        <v>2149</v>
      </c>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2097</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2097</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2097</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2097</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2097</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t="s">
        <v>2150</v>
      </c>
      <c r="E29" s="2486"/>
      <c r="F29" s="2486"/>
      <c r="G29" s="2486"/>
      <c r="H29" s="2486"/>
      <c r="I29" s="2486"/>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2097</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87" t="s">
        <v>1851</v>
      </c>
      <c r="D37" s="2488"/>
      <c r="E37" s="2488"/>
      <c r="F37" s="2489"/>
      <c r="G37" s="2487" t="s">
        <v>1674</v>
      </c>
      <c r="H37" s="2488"/>
      <c r="I37" s="2489"/>
    </row>
    <row r="38" spans="2:9" ht="16.5" customHeight="1" x14ac:dyDescent="0.2">
      <c r="B38" s="1444">
        <v>10.555</v>
      </c>
      <c r="C38" s="2475" t="s">
        <v>2151</v>
      </c>
      <c r="D38" s="2476"/>
      <c r="E38" s="2476"/>
      <c r="F38" s="2477"/>
      <c r="G38" s="2490">
        <v>512378</v>
      </c>
      <c r="H38" s="2491"/>
      <c r="I38" s="2492"/>
    </row>
    <row r="39" spans="2:9" ht="16.5" customHeight="1" x14ac:dyDescent="0.2">
      <c r="B39" s="1444">
        <v>84.01</v>
      </c>
      <c r="C39" s="2475" t="s">
        <v>2152</v>
      </c>
      <c r="D39" s="2476"/>
      <c r="E39" s="2476"/>
      <c r="F39" s="2477"/>
      <c r="G39" s="2478">
        <v>367255</v>
      </c>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879633</v>
      </c>
      <c r="H43" s="2471"/>
      <c r="I43" s="2471"/>
    </row>
    <row r="44" spans="2:9" ht="12.75" customHeight="1" x14ac:dyDescent="0.2"/>
    <row r="45" spans="2:9" ht="12.75" customHeight="1" x14ac:dyDescent="0.2">
      <c r="B45" s="1435" t="s">
        <v>1948</v>
      </c>
      <c r="D45" s="2472">
        <v>1021972</v>
      </c>
      <c r="E45" s="2473"/>
    </row>
    <row r="46" spans="2:9" ht="5.25" customHeight="1" x14ac:dyDescent="0.2">
      <c r="B46" s="1445"/>
      <c r="D46" s="1446"/>
      <c r="E46" s="1447"/>
    </row>
    <row r="47" spans="2:9" ht="12.75" customHeight="1" x14ac:dyDescent="0.2">
      <c r="B47" s="1300" t="s">
        <v>1676</v>
      </c>
      <c r="C47" s="1300"/>
      <c r="D47" s="1448">
        <f>+G43/D45</f>
        <v>0.86072123306705073</v>
      </c>
      <c r="E47" s="1449"/>
      <c r="F47" s="1450"/>
      <c r="I47" s="1451"/>
    </row>
    <row r="48" spans="2:9" ht="9.9499999999999993" customHeight="1" x14ac:dyDescent="0.2"/>
    <row r="49" spans="1:9" x14ac:dyDescent="0.2">
      <c r="B49" s="1368" t="s">
        <v>1335</v>
      </c>
      <c r="C49" s="1282"/>
      <c r="D49" s="1282"/>
      <c r="E49" s="2474">
        <v>750000</v>
      </c>
      <c r="F49" s="2474"/>
      <c r="G49" s="2474"/>
      <c r="H49" s="322"/>
    </row>
    <row r="51" spans="1:9" ht="13.5" customHeight="1" x14ac:dyDescent="0.2">
      <c r="B51" s="1368" t="s">
        <v>1334</v>
      </c>
      <c r="C51" s="1282"/>
      <c r="E51" s="1438"/>
      <c r="F51" s="1300" t="s">
        <v>940</v>
      </c>
      <c r="G51" s="1438" t="s">
        <v>2097</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Georgetown-Ridge Farm CUD 4</v>
      </c>
      <c r="C1" s="2479"/>
      <c r="D1" s="2479"/>
      <c r="E1" s="2479"/>
      <c r="F1" s="2479"/>
      <c r="G1" s="2479"/>
      <c r="H1" s="2479"/>
      <c r="I1" s="2479"/>
      <c r="J1" s="2479"/>
      <c r="K1" s="2479"/>
      <c r="L1" s="1374"/>
      <c r="M1" s="1374"/>
    </row>
    <row r="2" spans="1:13" ht="12" customHeight="1" x14ac:dyDescent="0.2">
      <c r="B2" s="2481">
        <f>'Single Audit Cover'!E7</f>
        <v>54092004026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t="s">
        <v>2118</v>
      </c>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Georgetown-Ridge Farm CUD 4</v>
      </c>
      <c r="C1" s="2502"/>
      <c r="D1" s="2502"/>
      <c r="E1" s="2502"/>
      <c r="F1" s="2502"/>
      <c r="G1" s="2502"/>
      <c r="H1" s="2502"/>
      <c r="I1" s="2502"/>
      <c r="J1" s="2502"/>
      <c r="K1" s="2502"/>
      <c r="L1" s="1465"/>
    </row>
    <row r="2" spans="1:12" ht="12.75" customHeight="1" x14ac:dyDescent="0.2">
      <c r="B2" s="2503">
        <f>'Single Audit Cover'!E7</f>
        <v>54092004026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t="s">
        <v>2118</v>
      </c>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Georgetown-Ridge Farm CUD 4</v>
      </c>
      <c r="C1" s="2479"/>
      <c r="D1" s="2479"/>
      <c r="E1" s="1491"/>
    </row>
    <row r="2" spans="2:5" s="1282" customFormat="1" ht="12.75" customHeight="1" x14ac:dyDescent="0.2">
      <c r="B2" s="2481">
        <f>'Single Audit Cover'!E7</f>
        <v>54092004026</v>
      </c>
      <c r="C2" s="2481"/>
      <c r="D2" s="2481"/>
      <c r="E2" s="1492"/>
    </row>
    <row r="3" spans="2:5" ht="12.75" customHeight="1" x14ac:dyDescent="0.2">
      <c r="B3" s="2495" t="s">
        <v>1866</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t="s">
        <v>2118</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6ce3111e-7420-4802-b50a-75d4e9a0b980"/>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(2)</vt:lpstr>
      <vt:lpstr> SEFA</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2018-11-13T01:33:17Z</cp:lastPrinted>
  <dcterms:created xsi:type="dcterms:W3CDTF">2003-10-29T19:06:34Z</dcterms:created>
  <dcterms:modified xsi:type="dcterms:W3CDTF">2018-11-27T14:54:15Z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