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A2"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5" i="170"/>
  <c r="C18" i="170" s="1"/>
  <c r="C21" i="170" s="1"/>
  <c r="C24" i="170" s="1"/>
  <c r="C28" i="170" s="1"/>
  <c r="C13" i="170"/>
  <c r="B2" i="177" l="1"/>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c r="B6730" i="106"/>
  <c r="D6730" i="106" s="1"/>
  <c r="B6731" i="106"/>
  <c r="D6731" i="106"/>
  <c r="B6732" i="106"/>
  <c r="D6732" i="106" s="1"/>
  <c r="B6733" i="106"/>
  <c r="D6733" i="106"/>
  <c r="B6734" i="106"/>
  <c r="D6734" i="106" s="1"/>
  <c r="B6735" i="106"/>
  <c r="D6735" i="106"/>
  <c r="B6736" i="106"/>
  <c r="D6736" i="106" s="1"/>
  <c r="B6737" i="106"/>
  <c r="D6737" i="106"/>
  <c r="B6738" i="106"/>
  <c r="D6738" i="106" s="1"/>
  <c r="B6739" i="106"/>
  <c r="D6739" i="106"/>
  <c r="B6740" i="106"/>
  <c r="D6740" i="106" s="1"/>
  <c r="B6741" i="106"/>
  <c r="D6741" i="106"/>
  <c r="B6742" i="106"/>
  <c r="D6742" i="106" s="1"/>
  <c r="B6743" i="106"/>
  <c r="D6743" i="106"/>
  <c r="B6744" i="106"/>
  <c r="D6744" i="106" s="1"/>
  <c r="B6745" i="106"/>
  <c r="D6745" i="106"/>
  <c r="B6746" i="106"/>
  <c r="D6746" i="106" s="1"/>
  <c r="B6747" i="106"/>
  <c r="D6747" i="106"/>
  <c r="B6748" i="106"/>
  <c r="D6748" i="106" s="1"/>
  <c r="B6749" i="106"/>
  <c r="D6749" i="106"/>
  <c r="B6750" i="106"/>
  <c r="D6750" i="106" s="1"/>
  <c r="B6751" i="106"/>
  <c r="D6751" i="106"/>
  <c r="B6752" i="106"/>
  <c r="D6752" i="106" s="1"/>
  <c r="B6753" i="106"/>
  <c r="D6753" i="106"/>
  <c r="B6754" i="106"/>
  <c r="D6754" i="106" s="1"/>
  <c r="B6755" i="106"/>
  <c r="D6755" i="106"/>
  <c r="B6756" i="106"/>
  <c r="D6756" i="106" s="1"/>
  <c r="B6757" i="106"/>
  <c r="D6757" i="106"/>
  <c r="B6758" i="106"/>
  <c r="D6758" i="106" s="1"/>
  <c r="B6759" i="106"/>
  <c r="D6759" i="106"/>
  <c r="B6760" i="106"/>
  <c r="D6760" i="106" s="1"/>
  <c r="B6761" i="106"/>
  <c r="D6761" i="106"/>
  <c r="B6762" i="106"/>
  <c r="D6762" i="106" s="1"/>
  <c r="B6763" i="106"/>
  <c r="D6763" i="106"/>
  <c r="B6764" i="106"/>
  <c r="D6764" i="106" s="1"/>
  <c r="B6765" i="106"/>
  <c r="D6765" i="106"/>
  <c r="B6766" i="106"/>
  <c r="D6766" i="106" s="1"/>
  <c r="B6767" i="106"/>
  <c r="D6767" i="106"/>
  <c r="B6768" i="106"/>
  <c r="D6768" i="106" s="1"/>
  <c r="B6769" i="106"/>
  <c r="D6769" i="106"/>
  <c r="B6770" i="106"/>
  <c r="D6770" i="106" s="1"/>
  <c r="B6771" i="106"/>
  <c r="D6771" i="106"/>
  <c r="B6772" i="106"/>
  <c r="D6772" i="106" s="1"/>
  <c r="B6773" i="106"/>
  <c r="D6773" i="106"/>
  <c r="B6774" i="106"/>
  <c r="D6774" i="106" s="1"/>
  <c r="B6775" i="106"/>
  <c r="D6775" i="106"/>
  <c r="B6776" i="106"/>
  <c r="D6776" i="106" s="1"/>
  <c r="B6777" i="106"/>
  <c r="D6777" i="106"/>
  <c r="B6778" i="106"/>
  <c r="D6778" i="106" s="1"/>
  <c r="B6779" i="106"/>
  <c r="D6779" i="106"/>
  <c r="B6780" i="106"/>
  <c r="D6780" i="106" s="1"/>
  <c r="B6781" i="106"/>
  <c r="D6781" i="106"/>
  <c r="B6782" i="106"/>
  <c r="D6782" i="106" s="1"/>
  <c r="B6783" i="106"/>
  <c r="D6783" i="106"/>
  <c r="B6784" i="106"/>
  <c r="D6784" i="106" s="1"/>
  <c r="B6785" i="106"/>
  <c r="D6785" i="106"/>
  <c r="B6786" i="106"/>
  <c r="D6786" i="106" s="1"/>
  <c r="B6787" i="106"/>
  <c r="D6787" i="106"/>
  <c r="B6788" i="106"/>
  <c r="D6788" i="106" s="1"/>
  <c r="B6789" i="106"/>
  <c r="D6789" i="106"/>
  <c r="B6790" i="106"/>
  <c r="D6790" i="106" s="1"/>
  <c r="B6791" i="106"/>
  <c r="D6791" i="106"/>
  <c r="B6792" i="106"/>
  <c r="D6792" i="106" s="1"/>
  <c r="B6793" i="106"/>
  <c r="D6793" i="106"/>
  <c r="B6794" i="106"/>
  <c r="D6794" i="106" s="1"/>
  <c r="B6795" i="106"/>
  <c r="D6795" i="106"/>
  <c r="B6796" i="106"/>
  <c r="D6796" i="106" s="1"/>
  <c r="B6797" i="106"/>
  <c r="D6797" i="106"/>
  <c r="B6798" i="106"/>
  <c r="D6798" i="106" s="1"/>
  <c r="B6799" i="106"/>
  <c r="D6799" i="106"/>
  <c r="B6800" i="106"/>
  <c r="D6800" i="106" s="1"/>
  <c r="B6801" i="106"/>
  <c r="D6801" i="106"/>
  <c r="B6802" i="106"/>
  <c r="D6802" i="106" s="1"/>
  <c r="B6803" i="106"/>
  <c r="D6803" i="106"/>
  <c r="B6804" i="106"/>
  <c r="D6804" i="106" s="1"/>
  <c r="B6805" i="106"/>
  <c r="D6805" i="106"/>
  <c r="B6806" i="106"/>
  <c r="D6806" i="106" s="1"/>
  <c r="B6807" i="106"/>
  <c r="D6807" i="106"/>
  <c r="B6808" i="106"/>
  <c r="D6808" i="106" s="1"/>
  <c r="B6809" i="106"/>
  <c r="D6809" i="106"/>
  <c r="B6810" i="106"/>
  <c r="D6810" i="106" s="1"/>
  <c r="B6811" i="106"/>
  <c r="D6811" i="106"/>
  <c r="B6812" i="106"/>
  <c r="D6812" i="106" s="1"/>
  <c r="B6813" i="106"/>
  <c r="D6813" i="106"/>
  <c r="B6814" i="106"/>
  <c r="D6814" i="106" s="1"/>
  <c r="B6815" i="106"/>
  <c r="D6815" i="106"/>
  <c r="B6816" i="106"/>
  <c r="D6816" i="106" s="1"/>
  <c r="B6817" i="106"/>
  <c r="D6817" i="106"/>
  <c r="B6818" i="106"/>
  <c r="D6818" i="106" s="1"/>
  <c r="B6819" i="106"/>
  <c r="D6819" i="106"/>
  <c r="B6820" i="106"/>
  <c r="D6820" i="106" s="1"/>
  <c r="B6821" i="106"/>
  <c r="D6821" i="106"/>
  <c r="B6822" i="106"/>
  <c r="D6822" i="106" s="1"/>
  <c r="B6823" i="106"/>
  <c r="D6823" i="106"/>
  <c r="B6824" i="106"/>
  <c r="D6824" i="106" s="1"/>
  <c r="B6825" i="106"/>
  <c r="D6825" i="106"/>
  <c r="B6826" i="106"/>
  <c r="D6826" i="106" s="1"/>
  <c r="B6827" i="106"/>
  <c r="D6827" i="106"/>
  <c r="B6828" i="106"/>
  <c r="D6828" i="106" s="1"/>
  <c r="B6829" i="106"/>
  <c r="D6829" i="106"/>
  <c r="B6830" i="106"/>
  <c r="D6830" i="106" s="1"/>
  <c r="B6831" i="106"/>
  <c r="D6831" i="106"/>
  <c r="B6832" i="106"/>
  <c r="D6832" i="106" s="1"/>
  <c r="B6841" i="106"/>
  <c r="D6841" i="106"/>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6" i="108"/>
  <c r="F26" i="108"/>
  <c r="G26" i="108"/>
  <c r="E27" i="108"/>
  <c r="G27" i="108"/>
  <c r="F31" i="108"/>
  <c r="F36" i="108"/>
  <c r="G28" i="108"/>
  <c r="E29" i="108"/>
  <c r="D31" i="108"/>
  <c r="D36"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F41" i="34"/>
  <c r="C42" i="34"/>
  <c r="D42" i="34"/>
  <c r="F42" i="34"/>
  <c r="C43" i="34"/>
  <c r="D43" i="34"/>
  <c r="C44" i="34"/>
  <c r="D44" i="34"/>
  <c r="C45" i="34"/>
  <c r="D45" i="34"/>
  <c r="F45" i="34"/>
  <c r="C46" i="34"/>
  <c r="D46" i="34"/>
  <c r="F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c r="D5878" i="106" s="1"/>
  <c r="I18" i="5"/>
  <c r="B5923" i="106" s="1"/>
  <c r="D5923" i="106" s="1"/>
  <c r="J18" i="5"/>
  <c r="B6306" i="106"/>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J121" i="5"/>
  <c r="B6357" i="106" s="1"/>
  <c r="D6357" i="106" s="1"/>
  <c r="K121" i="5"/>
  <c r="B6006" i="106" s="1"/>
  <c r="D6006" i="106" s="1"/>
  <c r="C131" i="5"/>
  <c r="B5147" i="106" s="1"/>
  <c r="D5147" i="106" s="1"/>
  <c r="D131" i="5"/>
  <c r="B5369" i="106" s="1"/>
  <c r="D5369" i="106" s="1"/>
  <c r="B5614" i="106"/>
  <c r="D5614" i="106" s="1"/>
  <c r="C140" i="5"/>
  <c r="B5161" i="106" s="1"/>
  <c r="D5161" i="106" s="1"/>
  <c r="D140" i="5"/>
  <c r="F106" i="34" s="1"/>
  <c r="B5383" i="106"/>
  <c r="D5383" i="106" s="1"/>
  <c r="G140" i="5"/>
  <c r="G144" i="5"/>
  <c r="B5756" i="106" s="1"/>
  <c r="D5756" i="106" s="1"/>
  <c r="G154" i="5"/>
  <c r="B4357" i="106" s="1"/>
  <c r="D4357" i="106" s="1"/>
  <c r="G172" i="5"/>
  <c r="G173" i="5" s="1"/>
  <c r="B5778" i="106" s="1"/>
  <c r="D5778"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K274" i="5" s="1"/>
  <c r="C184" i="5"/>
  <c r="B5232" i="106" s="1"/>
  <c r="D5232" i="106" s="1"/>
  <c r="D184" i="5"/>
  <c r="B5425" i="106"/>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F211" i="5"/>
  <c r="B5677" i="106" s="1"/>
  <c r="D5677" i="106" s="1"/>
  <c r="G211" i="5"/>
  <c r="B5803" i="106" s="1"/>
  <c r="D5803" i="106" s="1"/>
  <c r="B4411" i="106"/>
  <c r="D4411" i="106" s="1"/>
  <c r="D216" i="5"/>
  <c r="B4412" i="106" s="1"/>
  <c r="D4412" i="106"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9" i="118"/>
  <c r="D22" i="37"/>
  <c r="J22" i="37"/>
  <c r="L22" i="37"/>
  <c r="D24" i="37"/>
  <c r="B4270" i="106" s="1"/>
  <c r="D4270" i="106" s="1"/>
  <c r="L5" i="11"/>
  <c r="B2056" i="106" s="1"/>
  <c r="D2056" i="106" s="1"/>
  <c r="F136" i="34"/>
  <c r="F128" i="34"/>
  <c r="F111" i="34"/>
  <c r="B5752" i="106"/>
  <c r="D5752" i="106" s="1"/>
  <c r="B5599" i="106"/>
  <c r="D5599" i="106" s="1"/>
  <c r="C172" i="5"/>
  <c r="B5214" i="106" s="1"/>
  <c r="D5214" i="106" s="1"/>
  <c r="D7" i="7"/>
  <c r="B1763" i="106" s="1"/>
  <c r="D1763" i="106" s="1"/>
  <c r="B1746" i="106"/>
  <c r="D1746" i="106" s="1"/>
  <c r="D17" i="7"/>
  <c r="B4104" i="106" s="1"/>
  <c r="D4104" i="106" s="1"/>
  <c r="D11" i="7"/>
  <c r="B1768" i="106" s="1"/>
  <c r="D1768" i="106" s="1"/>
  <c r="D15" i="7"/>
  <c r="B1772" i="106" s="1"/>
  <c r="D1772" i="106" s="1"/>
  <c r="F131" i="34" l="1"/>
  <c r="B4951" i="106"/>
  <c r="D4951" i="106" s="1"/>
  <c r="I173" i="5"/>
  <c r="B4216" i="106" s="1"/>
  <c r="D4216" i="106" s="1"/>
  <c r="B1751" i="106"/>
  <c r="D1751" i="106" s="1"/>
  <c r="D9" i="7"/>
  <c r="B1767" i="106" s="1"/>
  <c r="D1767" i="106" s="1"/>
  <c r="B7235" i="106"/>
  <c r="D7235" i="106" s="1"/>
  <c r="H342" i="29"/>
  <c r="B6899" i="106"/>
  <c r="D6899" i="106" s="1"/>
  <c r="F50" i="34"/>
  <c r="B6887" i="106"/>
  <c r="D6887" i="106" s="1"/>
  <c r="F44" i="34"/>
  <c r="B1990" i="106"/>
  <c r="D1990" i="106" s="1"/>
  <c r="I24" i="12"/>
  <c r="B1868" i="106"/>
  <c r="D1868" i="106" s="1"/>
  <c r="H28" i="118"/>
  <c r="K28" i="118"/>
  <c r="O27" i="118" s="1"/>
  <c r="O29" i="118" s="1"/>
  <c r="B5893" i="106"/>
  <c r="D5893" i="106" s="1"/>
  <c r="H173" i="5"/>
  <c r="B5444" i="106"/>
  <c r="D5444" i="106" s="1"/>
  <c r="F130" i="34"/>
  <c r="F127" i="34"/>
  <c r="B5770" i="106"/>
  <c r="D5770" i="106" s="1"/>
  <c r="B5513" i="106"/>
  <c r="D5513" i="106" s="1"/>
  <c r="E109" i="5"/>
  <c r="E4" i="4" s="1"/>
  <c r="B2630" i="106" s="1"/>
  <c r="D2630" i="106" s="1"/>
  <c r="B7205" i="106"/>
  <c r="D7205" i="106" s="1"/>
  <c r="I342" i="29"/>
  <c r="B7222" i="106" s="1"/>
  <c r="D7222" i="106" s="1"/>
  <c r="B3658" i="106"/>
  <c r="D3658" i="106" s="1"/>
  <c r="H365" i="29"/>
  <c r="B3621" i="106"/>
  <c r="D3621" i="106" s="1"/>
  <c r="C367" i="29"/>
  <c r="B3254" i="106"/>
  <c r="D3254" i="106" s="1"/>
  <c r="F77" i="4"/>
  <c r="B3255" i="106" s="1"/>
  <c r="D3255" i="106" s="1"/>
  <c r="K285" i="29"/>
  <c r="B3723" i="106"/>
  <c r="D3723" i="106" s="1"/>
  <c r="E14" i="145"/>
  <c r="G14" i="145" s="1"/>
  <c r="B1124" i="106"/>
  <c r="D1124" i="106" s="1"/>
  <c r="J274" i="5"/>
  <c r="B7054" i="106" s="1"/>
  <c r="D7054" i="106" s="1"/>
  <c r="L312" i="29"/>
  <c r="F94" i="34"/>
  <c r="J77" i="4"/>
  <c r="B6262" i="106" s="1"/>
  <c r="D6262" i="106" s="1"/>
  <c r="B3619" i="106"/>
  <c r="D3619" i="106" s="1"/>
  <c r="F21" i="8"/>
  <c r="B279" i="106"/>
  <c r="D279" i="106" s="1"/>
  <c r="M40" i="3"/>
  <c r="H76" i="4"/>
  <c r="B3298" i="106" s="1"/>
  <c r="D3298" i="106" s="1"/>
  <c r="D11" i="37"/>
  <c r="H33" i="118"/>
  <c r="L15" i="11"/>
  <c r="B3459" i="106" s="1"/>
  <c r="D3459" i="106" s="1"/>
  <c r="L13" i="11"/>
  <c r="B2060" i="106" s="1"/>
  <c r="D2060" i="106" s="1"/>
  <c r="F19" i="7"/>
  <c r="B1807" i="106" s="1"/>
  <c r="D1807" i="106" s="1"/>
  <c r="F27" i="108"/>
  <c r="B6995" i="106"/>
  <c r="D6995" i="106" s="1"/>
  <c r="D37" i="108"/>
  <c r="F37" i="108"/>
  <c r="E35" i="108"/>
  <c r="G35" i="108"/>
  <c r="G30" i="108"/>
  <c r="E30" i="108"/>
  <c r="F35" i="34"/>
  <c r="C173" i="5"/>
  <c r="B5223" i="106" s="1"/>
  <c r="D5223" i="106" s="1"/>
  <c r="C109" i="5"/>
  <c r="B5121" i="106" s="1"/>
  <c r="D5121" i="106" s="1"/>
  <c r="D13" i="7"/>
  <c r="B3726" i="106" s="1"/>
  <c r="D3726" i="106" s="1"/>
  <c r="D4" i="7"/>
  <c r="B1760" i="106" s="1"/>
  <c r="D1760" i="106" s="1"/>
  <c r="K352" i="29"/>
  <c r="K13" i="4" s="1"/>
  <c r="B3572" i="106" s="1"/>
  <c r="D3572" i="106" s="1"/>
  <c r="G352" i="29"/>
  <c r="D12" i="7"/>
  <c r="B1769" i="106" s="1"/>
  <c r="D1769" i="106" s="1"/>
  <c r="H109" i="5"/>
  <c r="H275" i="5" s="1"/>
  <c r="B1410" i="106"/>
  <c r="D1410" i="106" s="1"/>
  <c r="G109" i="5"/>
  <c r="K184" i="29"/>
  <c r="F13" i="4" s="1"/>
  <c r="B2596" i="106" s="1"/>
  <c r="D2596" i="106" s="1"/>
  <c r="G210" i="29"/>
  <c r="G29" i="108"/>
  <c r="B1329" i="106"/>
  <c r="D1329" i="106" s="1"/>
  <c r="F61" i="34"/>
  <c r="F28" i="108"/>
  <c r="E28" i="108"/>
  <c r="D109" i="5"/>
  <c r="D5" i="7"/>
  <c r="B1761" i="106" s="1"/>
  <c r="D1761" i="106" s="1"/>
  <c r="L342" i="29"/>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5914" i="106"/>
  <c r="D5914" i="106" s="1"/>
  <c r="J7" i="4"/>
  <c r="B2657" i="106"/>
  <c r="D2657" i="106" s="1"/>
  <c r="B7270" i="106"/>
  <c r="B280" i="106" l="1"/>
  <c r="D280" i="106" s="1"/>
  <c r="M41" i="3"/>
  <c r="D7254" i="106"/>
  <c r="D7250" i="106"/>
  <c r="B5527" i="106"/>
  <c r="D5527" i="106" s="1"/>
  <c r="B1328" i="106"/>
  <c r="D1328" i="106" s="1"/>
  <c r="D7255" i="106"/>
  <c r="D7252" i="106"/>
  <c r="B1879" i="106"/>
  <c r="D1879" i="106" s="1"/>
  <c r="H22" i="37"/>
  <c r="B5906" i="106"/>
  <c r="D5906" i="106" s="1"/>
  <c r="H6" i="4"/>
  <c r="B2656" i="106" s="1"/>
  <c r="D2656" i="106" s="1"/>
  <c r="H367" i="29"/>
  <c r="B3660" i="106" s="1"/>
  <c r="D3660" i="106" s="1"/>
  <c r="B7242" i="106"/>
  <c r="D7242" i="106" s="1"/>
  <c r="D274" i="5"/>
  <c r="D7" i="4" s="1"/>
  <c r="H151" i="29"/>
  <c r="B1273" i="106" s="1"/>
  <c r="D1273" i="106" s="1"/>
  <c r="D7256" i="106"/>
  <c r="D7251" i="106"/>
  <c r="L114" i="29"/>
  <c r="F73" i="34"/>
  <c r="G15" i="4"/>
  <c r="B6032" i="106" s="1"/>
  <c r="D6032" i="106" s="1"/>
  <c r="B1996" i="106"/>
  <c r="D1996" i="106" s="1"/>
  <c r="I26" i="12"/>
  <c r="B7741" i="106" s="1"/>
  <c r="D7741" i="106" s="1"/>
  <c r="L16" i="11"/>
  <c r="B2061" i="106" s="1"/>
  <c r="D2061" i="106" s="1"/>
  <c r="F41" i="108"/>
  <c r="G43" i="108" s="1"/>
  <c r="C114" i="29"/>
  <c r="B757" i="106" s="1"/>
  <c r="D757" i="106" s="1"/>
  <c r="C4" i="4"/>
  <c r="B2551" i="106" s="1"/>
  <c r="D2551" i="106" s="1"/>
  <c r="D19" i="7"/>
  <c r="B1775" i="106" s="1"/>
  <c r="D1775" i="106" s="1"/>
  <c r="B3649" i="106"/>
  <c r="D3649" i="106" s="1"/>
  <c r="G367" i="29"/>
  <c r="B3650" i="106" s="1"/>
  <c r="D3650" i="106" s="1"/>
  <c r="K342" i="29"/>
  <c r="F13" i="34" s="1"/>
  <c r="B6025" i="106"/>
  <c r="D6025" i="106" s="1"/>
  <c r="H4" i="4"/>
  <c r="B6024" i="106"/>
  <c r="D6024" i="106" s="1"/>
  <c r="G4" i="4"/>
  <c r="B2603" i="106" s="1"/>
  <c r="D2603" i="106" s="1"/>
  <c r="B1381" i="106"/>
  <c r="D1381" i="106" s="1"/>
  <c r="B1365" i="106"/>
  <c r="D1365" i="106" s="1"/>
  <c r="F65" i="34"/>
  <c r="F274" i="5"/>
  <c r="F275" i="5" s="1"/>
  <c r="B5356" i="106"/>
  <c r="D5356" i="106" s="1"/>
  <c r="D4" i="4"/>
  <c r="B2564" i="106" s="1"/>
  <c r="D2564"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G22" i="108"/>
  <c r="B1119" i="106"/>
  <c r="D1119" i="106" s="1"/>
  <c r="E22" i="108"/>
  <c r="G12" i="145"/>
  <c r="G19" i="145" s="1"/>
  <c r="J20" i="145" s="1"/>
  <c r="E19" i="145"/>
  <c r="B5915" i="106"/>
  <c r="D5915" i="106" s="1"/>
  <c r="B5720" i="106"/>
  <c r="D5720" i="106" s="1"/>
  <c r="B6222" i="106"/>
  <c r="D6222" i="106" s="1"/>
  <c r="D275" i="5"/>
  <c r="B5507" i="106"/>
  <c r="D5507" i="106" s="1"/>
  <c r="B7298" i="106"/>
  <c r="B7299" i="106"/>
  <c r="B281" i="106" l="1"/>
  <c r="D281" i="106" s="1"/>
  <c r="D54" i="36"/>
  <c r="B1145" i="106"/>
  <c r="D1145" i="106" s="1"/>
  <c r="J17" i="4"/>
  <c r="B6227" i="106" s="1"/>
  <c r="D6227" i="106" s="1"/>
  <c r="J8" i="4"/>
  <c r="B2655" i="106"/>
  <c r="D2655" i="106" s="1"/>
  <c r="H8" i="4"/>
  <c r="E41" i="108"/>
  <c r="E44" i="108" s="1"/>
  <c r="E45" i="108" s="1"/>
  <c r="G41" i="108"/>
  <c r="G44" i="108" s="1"/>
  <c r="G45" i="108" s="1"/>
  <c r="B2594" i="106"/>
  <c r="D2594" i="106" s="1"/>
  <c r="F8" i="4"/>
  <c r="B2595" i="106" s="1"/>
  <c r="D259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J19" i="4" l="1"/>
  <c r="B6229" i="106" s="1"/>
  <c r="D6229" i="106" s="1"/>
  <c r="F76" i="34"/>
  <c r="D10" i="171"/>
  <c r="D19" i="171" s="1"/>
  <c r="D32" i="171" s="1"/>
  <c r="D49" i="171" s="1"/>
  <c r="J20" i="4"/>
  <c r="B6230" i="106" s="1"/>
  <c r="D6230" i="106" s="1"/>
  <c r="B6223" i="106"/>
  <c r="D6223" i="106" s="1"/>
  <c r="J10" i="4"/>
  <c r="B6225" i="106" s="1"/>
  <c r="D6225" i="106" s="1"/>
  <c r="B2658" i="106"/>
  <c r="D2658" i="106" s="1"/>
  <c r="H10" i="4"/>
  <c r="B4127" i="106" s="1"/>
  <c r="D4127" i="106" s="1"/>
  <c r="F10" i="4"/>
  <c r="B4125" i="106" s="1"/>
  <c r="D4125" i="106" s="1"/>
  <c r="D8" i="146"/>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B6263" i="106" s="1"/>
  <c r="D6263"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D78" i="4"/>
  <c r="B2574" i="106"/>
  <c r="D2574" i="106" s="1"/>
  <c r="F179" i="34" l="1"/>
  <c r="F79" i="34"/>
  <c r="B6215" i="106"/>
  <c r="D6215" i="106" s="1"/>
  <c r="J41" i="3"/>
  <c r="B3588" i="106"/>
  <c r="D3588" i="106" s="1"/>
  <c r="K81" i="4"/>
  <c r="K39" i="3" s="1"/>
  <c r="F78" i="4"/>
  <c r="B2601" i="106"/>
  <c r="D2601" i="106" s="1"/>
  <c r="B3320" i="106"/>
  <c r="D3320" i="106" s="1"/>
  <c r="I81" i="4"/>
  <c r="I39" i="3" s="1"/>
  <c r="K17" i="118"/>
  <c r="B3300" i="106"/>
  <c r="D3300" i="106" s="1"/>
  <c r="H81" i="4"/>
  <c r="H39" i="3" s="1"/>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3567" i="106" l="1"/>
  <c r="D3567" i="106" s="1"/>
  <c r="K41" i="3"/>
  <c r="B6216" i="106"/>
  <c r="D6216" i="106" s="1"/>
  <c r="D51" i="36"/>
  <c r="B2912" i="106"/>
  <c r="D2912" i="106" s="1"/>
  <c r="I41" i="3"/>
  <c r="B212" i="106"/>
  <c r="D212" i="106" s="1"/>
  <c r="H41" i="3"/>
  <c r="B123" i="106"/>
  <c r="D123" i="106" s="1"/>
  <c r="D41" i="3"/>
  <c r="B3278" i="106"/>
  <c r="D3278" i="106" s="1"/>
  <c r="E81" i="4"/>
  <c r="E39" i="3" s="1"/>
  <c r="B3233" i="106"/>
  <c r="D3233" i="106" s="1"/>
  <c r="C81" i="4"/>
  <c r="C39" i="3" s="1"/>
  <c r="A7263" i="106"/>
  <c r="D7262" i="106"/>
  <c r="B1700" i="106"/>
  <c r="D1700" i="106" s="1"/>
  <c r="H82" i="4"/>
  <c r="D62" i="36"/>
  <c r="J20" i="118"/>
  <c r="O16" i="118"/>
  <c r="K20" i="118"/>
  <c r="F81" i="4"/>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3568" i="106" l="1"/>
  <c r="D3568" i="106" s="1"/>
  <c r="D52" i="36"/>
  <c r="B2913" i="106"/>
  <c r="D2913" i="106" s="1"/>
  <c r="D50" i="36"/>
  <c r="D49" i="36"/>
  <c r="B213" i="106"/>
  <c r="D213" i="106" s="1"/>
  <c r="B189" i="106"/>
  <c r="D189" i="106" s="1"/>
  <c r="G41" i="3"/>
  <c r="J16" i="37"/>
  <c r="B4269" i="106" s="1"/>
  <c r="D4269" i="106" s="1"/>
  <c r="F39" i="3"/>
  <c r="D76" i="36" s="1"/>
  <c r="B140" i="106"/>
  <c r="D140" i="106" s="1"/>
  <c r="E41" i="3"/>
  <c r="D45" i="36"/>
  <c r="B124" i="106"/>
  <c r="D124" i="106" s="1"/>
  <c r="B92" i="106"/>
  <c r="D92" i="106" s="1"/>
  <c r="C41" i="3"/>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8" i="36" l="1"/>
  <c r="B190" i="106"/>
  <c r="D190" i="106" s="1"/>
  <c r="B170" i="106"/>
  <c r="D170" i="106" s="1"/>
  <c r="F41" i="3"/>
  <c r="B141" i="106"/>
  <c r="D141" i="106" s="1"/>
  <c r="D46"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171" i="106" l="1"/>
  <c r="D171" i="106" s="1"/>
  <c r="D47"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<sst xmlns="http://schemas.openxmlformats.org/spreadsheetml/2006/main" count="5046" uniqueCount="2116">
  <si>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</si>
  <si>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</si>
  <si>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</si>
  <si>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</si>
  <si>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</si>
  <si>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</si>
  <si>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</si>
  <si>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</si>
  <si>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</si>
  <si>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</si>
  <si>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</si>
  <si>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</si>
  <si>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</si>
  <si>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</si>
  <si>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</si>
  <si>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</si>
  <si>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</si>
  <si>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</si>
  <si>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</si>
  <si>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</si>
  <si>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</si>
  <si>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</si>
  <si>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</si>
  <si>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</si>
  <si>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</si>
  <si>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</si>
  <si>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</si>
  <si>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</si>
  <si>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</si>
  <si>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</si>
  <si>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</si>
  <si>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</si>
  <si>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</si>
  <si>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</si>
  <si>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</si>
  <si>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</si>
  <si>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</si>
  <si>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</si>
  <si>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</si>
  <si>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</si>
  <si>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</si>
  <si>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</si>
  <si>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</si>
  <si>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</si>
  <si>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</si>
  <si>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</si>
  <si>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</si>
  <si>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</si>
  <si>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</si>
  <si>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</si>
  <si>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</si>
  <si>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</si>
  <si>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</si>
  <si>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</si>
  <si>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</si>
  <si>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</si>
  <si>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</si>
  <si>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</si>
  <si>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</si>
  <si>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</si>
  <si>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</si>
  <si>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</si>
  <si>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</si>
  <si>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</si>
  <si>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</si>
  <si>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</si>
  <si>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</si>
  <si>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</si>
  <si>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</si>
  <si>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</si>
  <si>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</si>
  <si>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</si>
  <si>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</si>
  <si>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</si>
  <si>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</si>
  <si>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</si>
  <si>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</si>
  <si>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</si>
  <si>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</si>
  <si>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</si>
  <si>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</si>
  <si>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</si>
  <si>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</si>
  <si>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</si>
  <si>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</si>
  <si>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</si>
  <si>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</si>
  <si>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</si>
  <si>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</si>
  <si>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</si>
  <si>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</si>
  <si>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</si>
  <si>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</si>
  <si>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</si>
  <si>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</si>
  <si>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</si>
  <si>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</si>
  <si>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</si>
  <si>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</si>
  <si>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</si>
  <si>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</si>
  <si>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</si>
  <si>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</si>
  <si>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</si>
  <si>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</si>
  <si>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</si>
  <si>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</si>
  <si>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</si>
  <si>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</si>
  <si>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</si>
  <si>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</si>
  <si>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</si>
  <si>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</si>
  <si>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</si>
  <si>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</si>
  <si>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</si>
  <si>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</si>
  <si>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</si>
  <si>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</si>
  <si>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</si>
  <si>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</si>
  <si>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</si>
  <si>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</si>
  <si>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</si>
  <si>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</si>
  <si>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</si>
  <si>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</si>
  <si>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</si>
  <si>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</si>
  <si>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</si>
  <si>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</si>
  <si>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</si>
  <si>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</si>
  <si>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</si>
  <si>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</si>
  <si>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</si>
  <si>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</si>
  <si>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</si>
  <si>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</si>
  <si>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</si>
  <si>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</si>
  <si>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</si>
  <si>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</si>
  <si>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</si>
  <si>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</si>
  <si>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</si>
  <si>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</si>
  <si>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</si>
  <si>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</si>
  <si>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</si>
  <si>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</si>
  <si>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</si>
  <si>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</si>
  <si>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</si>
  <si>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</si>
  <si>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</si>
  <si>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</si>
  <si>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</si>
  <si>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</si>
  <si>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</si>
  <si>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</si>
  <si>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</si>
  <si>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</si>
  <si>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</si>
  <si>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</si>
  <si>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</si>
  <si>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</si>
  <si>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</si>
  <si>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</si>
  <si>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</si>
  <si>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</si>
  <si>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</si>
  <si>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</si>
  <si>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</si>
  <si>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</si>
  <si>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</si>
  <si>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</si>
  <si>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</si>
  <si>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</si>
  <si>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</si>
  <si>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</si>
  <si>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</si>
  <si>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</si>
  <si>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</si>
  <si>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</si>
  <si>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</si>
  <si>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</si>
  <si>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</si>
  <si>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</si>
  <si>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</si>
  <si>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</si>
  <si>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</si>
  <si>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</si>
  <si>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</si>
  <si>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</si>
  <si>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</si>
  <si>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</si>
  <si>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</si>
  <si>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</si>
  <si>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</si>
  <si>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</si>
  <si>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</si>
  <si>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</si>
  <si>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</si>
  <si>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</si>
  <si>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</si>
  <si>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</si>
  <si>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</si>
  <si>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</si>
  <si>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</si>
  <si>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</si>
  <si>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</si>
  <si>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</si>
  <si>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</si>
  <si>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</si>
  <si>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</si>
  <si>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</si>
  <si>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</si>
  <si>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</si>
  <si>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</si>
  <si>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</si>
  <si>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</si>
  <si>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</si>
  <si>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</si>
  <si>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</si>
  <si>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</si>
  <si>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</si>
  <si>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</si>
  <si>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</si>
  <si>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</si>
  <si>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</si>
  <si>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</si>
  <si>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</si>
  <si>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</si>
  <si>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</si>
  <si>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</si>
  <si>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</si>
  <si>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</si>
  <si>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</si>
  <si>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</si>
  <si>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</si>
  <si>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</si>
  <si>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</si>
  <si>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</si>
  <si>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</si>
  <si>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</si>
  <si>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</si>
  <si>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</si>
  <si>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</si>
  <si>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</si>
  <si>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</si>
  <si>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</si>
  <si>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</si>
  <si>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</si>
  <si>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</si>
  <si>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</si>
  <si>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</si>
  <si>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</si>
  <si>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</si>
  <si>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</si>
  <si>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</si>
  <si>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</si>
  <si>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</si>
  <si>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</si>
  <si>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</si>
  <si>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</si>
  <si>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</si>
  <si>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</si>
  <si>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</si>
  <si>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</si>
  <si>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</si>
  <si>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</si>
  <si>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</si>
  <si>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</si>
  <si>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</si>
  <si>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</si>
  <si>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</si>
  <si>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</si>
  <si>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</si>
  <si>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</si>
  <si>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</si>
  <si>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</si>
  <si>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</si>
  <si>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</si>
  <si>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</si>
  <si>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</si>
  <si>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</si>
  <si>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</si>
  <si>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</si>
  <si>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</si>
  <si>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</si>
  <si>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</si>
  <si>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</si>
  <si>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</si>
  <si>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</si>
  <si>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</si>
  <si>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</si>
  <si>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</si>
  <si>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</si>
  <si>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</si>
  <si>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</si>
  <si>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</si>
  <si>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</si>
  <si>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</si>
  <si>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</si>
  <si>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</si>
  <si>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</si>
  <si>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</si>
  <si>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</si>
  <si>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</si>
  <si>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</si>
  <si>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</si>
  <si>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</si>
  <si>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</si>
  <si>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</si>
  <si>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</si>
  <si>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</si>
  <si>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</si>
  <si>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</si>
  <si>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</si>
  <si>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</si>
  <si>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</si>
  <si>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</si>
  <si>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</si>
  <si>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</si>
  <si>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</si>
  <si>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</si>
  <si>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</si>
  <si>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</si>
  <si>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</si>
  <si>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</si>
  <si>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</si>
  <si>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</si>
  <si>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</si>
  <si>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</si>
  <si>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</si>
  <si>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</si>
  <si>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</si>
  <si>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</si>
  <si>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</si>
  <si>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</si>
  <si>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</si>
  <si>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</si>
  <si>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</si>
  <si>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</si>
  <si>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</si>
  <si>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</si>
  <si>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</si>
  <si>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</si>
  <si>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</si>
  <si>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</si>
  <si>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</si>
  <si>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</si>
  <si>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</si>
  <si>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</si>
  <si>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</si>
  <si>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</si>
  <si>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</si>
  <si>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</si>
  <si>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</si>
  <si>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</si>
  <si>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</si>
  <si>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</si>
  <si>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</si>
  <si>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</si>
  <si>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</si>
  <si>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</si>
  <si>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</si>
  <si>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</si>
  <si>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</si>
  <si>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</si>
  <si>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</si>
  <si>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</si>
  <si>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</si>
  <si>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</si>
  <si>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</si>
  <si>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</si>
  <si>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</si>
  <si>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</si>
  <si>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</si>
  <si>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</si>
  <si>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</si>
  <si>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</si>
  <si>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</si>
  <si>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</si>
  <si>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</si>
  <si>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</si>
  <si>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</si>
  <si>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</si>
  <si>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</si>
  <si>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</si>
  <si>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</si>
  <si>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</si>
  <si>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</si>
  <si>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</si>
  <si>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</si>
  <si>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</si>
  <si>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</si>
  <si>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</si>
  <si>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</si>
  <si>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</si>
  <si>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</si>
  <si>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</si>
  <si>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</si>
  <si>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</si>
  <si>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</si>
  <si>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</si>
  <si>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</si>
  <si>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</si>
  <si>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</si>
  <si>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</si>
  <si>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</si>
  <si>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</si>
  <si>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</si>
  <si>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</si>
  <si>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</si>
  <si>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</si>
  <si>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</si>
  <si>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</si>
  <si>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</si>
  <si>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</si>
  <si>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</si>
  <si>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</si>
  <si>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</si>
  <si>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</si>
  <si>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</si>
  <si>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</si>
  <si>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</si>
  <si>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</si>
  <si>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</si>
  <si>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</si>
  <si>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</si>
  <si>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</si>
  <si>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</si>
  <si>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</si>
  <si>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</si>
  <si>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</si>
  <si>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</si>
  <si>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</si>
  <si>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</si>
  <si>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</si>
  <si>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</si>
  <si>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</si>
  <si>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</si>
  <si>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</si>
  <si>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</si>
  <si>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</si>
  <si>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</si>
  <si>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</si>
  <si>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</si>
  <si>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</si>
  <si>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</si>
  <si>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</si>
  <si>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</si>
  <si>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</si>
  <si>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</si>
  <si>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</si>
  <si>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</si>
  <si>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</si>
  <si>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</si>
  <si>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</si>
  <si>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</si>
  <si>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</si>
  <si>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</si>
  <si>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</si>
  <si>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</si>
  <si>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</si>
  <si>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</si>
  <si>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</si>
  <si>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</si>
  <si>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</si>
  <si>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</si>
  <si>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</si>
  <si>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</si>
  <si>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</si>
  <si>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</si>
  <si>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</si>
  <si>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</si>
  <si>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</si>
  <si>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</si>
  <si>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</si>
  <si>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</si>
  <si>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</si>
  <si>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</si>
  <si>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</si>
  <si>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</si>
  <si>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</si>
  <si>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</si>
  <si>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</si>
  <si>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</si>
  <si>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</si>
  <si>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</si>
  <si>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</si>
  <si>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</si>
  <si>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</si>
  <si>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</si>
  <si>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</si>
  <si>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</si>
  <si>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</si>
  <si>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</si>
  <si>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</si>
  <si>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</si>
  <si>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</si>
  <si>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</si>
  <si>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</si>
  <si>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</si>
  <si>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</si>
  <si>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</si>
  <si>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</si>
  <si>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</si>
  <si>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</si>
  <si>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</si>
  <si>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</si>
  <si>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</si>
  <si>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</si>
  <si>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</si>
  <si>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</si>
  <si>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</si>
  <si>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</si>
  <si>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</si>
  <si>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</si>
  <si>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</si>
  <si>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</si>
  <si>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</si>
  <si>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</si>
  <si>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</si>
  <si>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</si>
  <si>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</si>
  <si>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</si>
  <si>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</si>
  <si>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</si>
  <si>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</si>
  <si>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</si>
  <si>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</si>
  <si>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</si>
  <si>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</si>
  <si>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</si>
  <si>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</si>
  <si>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</si>
  <si>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</si>
  <si>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</si>
  <si>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</si>
  <si>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</si>
  <si>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</si>
  <si>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</si>
  <si>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</si>
  <si>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</si>
  <si>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</si>
  <si>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</si>
  <si>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</si>
  <si>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</si>
  <si>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</si>
  <si>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</si>
  <si>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</si>
  <si>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</si>
  <si>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</si>
  <si>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</si>
  <si>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</si>
  <si>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</si>
  <si>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</si>
  <si>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</si>
  <si>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</si>
  <si>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</si>
  <si>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</si>
  <si>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</si>
  <si>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</si>
  <si>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</si>
  <si>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</si>
  <si>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</si>
  <si>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</si>
  <si>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</si>
  <si>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</si>
  <si>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</si>
  <si>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</si>
  <si>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</si>
  <si>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</si>
  <si>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</si>
  <si>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</si>
  <si>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</si>
  <si>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</si>
  <si>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</si>
  <si>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</si>
  <si>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</si>
  <si>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</si>
  <si>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</si>
  <si>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</si>
  <si>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</si>
  <si>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</si>
  <si>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</si>
  <si>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</si>
  <si>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</si>
  <si>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</si>
  <si>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</si>
  <si>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</si>
  <si>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</si>
  <si>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</si>
  <si>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</si>
  <si>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</si>
  <si>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</si>
  <si>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</si>
  <si>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</si>
  <si>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</si>
  <si>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</si>
  <si>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</si>
  <si>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</si>
  <si>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</si>
  <si>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</si>
  <si>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</si>
  <si>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</si>
  <si>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</si>
  <si>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</si>
  <si>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</si>
  <si>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</si>
  <si>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</si>
  <si>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</si>
  <si>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</si>
  <si>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</si>
  <si>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</si>
  <si>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</si>
  <si>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</si>
  <si>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</si>
  <si>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</si>
  <si>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</si>
  <si>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</si>
  <si>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</si>
  <si>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</si>
  <si>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</si>
  <si>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</si>
  <si>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</si>
  <si>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</si>
  <si>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</si>
  <si>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</si>
  <si>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</si>
  <si>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</si>
  <si>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</si>
  <si>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</si>
  <si>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</si>
  <si>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</si>
  <si>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</si>
  <si>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</si>
  <si>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</si>
  <si>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</si>
  <si>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</si>
  <si>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</si>
  <si>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</si>
  <si>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</si>
  <si>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</si>
  <si>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</si>
  <si>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</si>
  <si>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</si>
  <si>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</si>
  <si>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</si>
  <si>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</si>
  <si>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</si>
  <si>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</si>
  <si>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</si>
  <si>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</si>
  <si>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</si>
  <si>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</si>
  <si>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</si>
  <si>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</si>
  <si>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</si>
  <si>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</si>
  <si>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</si>
  <si>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</si>
  <si>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</si>
  <si>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</si>
  <si>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</si>
  <si>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</si>
  <si>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</si>
  <si>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</si>
  <si>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</si>
  <si>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</si>
  <si>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</si>
  <si>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</si>
  <si>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</si>
  <si>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</si>
  <si>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</si>
  <si>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</si>
  <si>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</si>
  <si>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</si>
  <si>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</si>
  <si>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</si>
  <si>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</si>
  <si>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</si>
  <si>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</si>
  <si>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</si>
  <si>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</si>
  <si>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</si>
  <si>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</si>
  <si>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</si>
  <si>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</si>
  <si>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</si>
  <si>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</si>
  <si>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</si>
  <si>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</si>
  <si>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</si>
  <si>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</si>
  <si>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</si>
  <si>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</si>
  <si>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</si>
  <si>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</si>
  <si>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</si>
  <si>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</si>
  <si>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</si>
  <si>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</si>
  <si>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</si>
  <si>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</si>
  <si>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</si>
  <si>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</si>
  <si>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</si>
  <si>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</si>
  <si>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</si>
  <si>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</si>
  <si>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</si>
  <si>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</si>
  <si>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</si>
  <si>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</si>
  <si>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</si>
  <si>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</si>
  <si>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</si>
  <si>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</si>
  <si>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</si>
  <si>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</si>
  <si>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</si>
  <si>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</si>
  <si>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</si>
  <si>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</si>
  <si>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</si>
  <si>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</si>
  <si>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</si>
  <si>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</si>
  <si>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</si>
  <si>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</si>
  <si>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</si>
  <si>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</si>
  <si>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</si>
  <si>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</si>
  <si>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</si>
  <si>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</si>
  <si>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</si>
  <si>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</si>
  <si>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</si>
  <si>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</si>
  <si>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</si>
  <si>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</si>
  <si>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</si>
  <si>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</si>
  <si>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</si>
  <si>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</si>
  <si>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</si>
  <si>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</si>
  <si>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</si>
  <si>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</si>
  <si>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</si>
  <si>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</si>
  <si>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</si>
  <si>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</si>
  <si>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</si>
  <si>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</si>
  <si>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</si>
  <si>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</si>
  <si>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</si>
  <si>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</si>
  <si>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</si>
  <si>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</si>
  <si>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</si>
  <si>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</si>
  <si>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</si>
  <si>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</si>
  <si>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</si>
  <si>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</si>
  <si>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</si>
  <si>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</si>
  <si>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</si>
  <si>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</si>
  <si>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</si>
  <si>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</si>
  <si>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</si>
  <si>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</si>
  <si>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</si>
  <si>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</si>
  <si>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</si>
  <si>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</si>
  <si>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</si>
  <si>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</si>
  <si>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</si>
  <si>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</si>
  <si>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</si>
  <si>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</si>
  <si>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</si>
  <si>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</si>
  <si>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</si>
  <si>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</si>
  <si>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</si>
  <si>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</si>
  <si>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</si>
  <si>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</si>
  <si>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</si>
  <si>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</si>
  <si>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</si>
  <si>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</si>
  <si>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</si>
  <si>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</si>
  <si>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</si>
  <si>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</si>
  <si>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</si>
  <si>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</si>
  <si>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</si>
  <si>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</si>
  <si>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</si>
  <si>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</si>
  <si>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</si>
  <si>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</si>
  <si>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</si>
  <si>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</si>
  <si>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</si>
  <si>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</si>
  <si>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</si>
  <si>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</si>
  <si>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</si>
  <si>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</si>
  <si>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</si>
  <si>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</si>
  <si>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</si>
  <si>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</si>
  <si>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</si>
  <si>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</si>
  <si>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</si>
  <si>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</si>
  <si>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</si>
  <si>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</si>
  <si>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</si>
  <si>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</si>
  <si>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</si>
  <si>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</si>
  <si>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</si>
  <si>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</si>
  <si>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</si>
  <si>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</si>
  <si>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</si>
  <si>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</si>
  <si>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</si>
  <si>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</si>
  <si>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</si>
  <si>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</si>
  <si>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</si>
  <si>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</si>
  <si>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</si>
  <si>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</si>
  <si>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</si>
  <si>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</si>
  <si>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</si>
  <si>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</si>
  <si>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</si>
  <si>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</si>
  <si>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</si>
  <si>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</si>
  <si>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</si>
  <si>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</si>
  <si>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</si>
  <si>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</si>
  <si>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</si>
  <si>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</si>
  <si>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</si>
  <si>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</si>
  <si>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</si>
  <si>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</si>
  <si>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</si>
  <si>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</si>
  <si>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</si>
  <si>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</si>
  <si>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</si>
  <si>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</si>
  <si>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</si>
  <si>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</si>
  <si>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</si>
  <si>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</si>
  <si>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</si>
  <si>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</si>
  <si>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</si>
  <si>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</si>
  <si>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</si>
  <si>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</si>
  <si>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</si>
  <si>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</si>
  <si>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</si>
  <si>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</si>
  <si>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</si>
  <si>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</si>
  <si>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</si>
  <si>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</si>
  <si>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</si>
  <si>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</si>
  <si>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</si>
  <si>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</si>
  <si>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</si>
  <si>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</si>
  <si>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</si>
  <si>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</si>
  <si>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</si>
  <si>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</si>
  <si>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</si>
  <si>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</si>
  <si>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</si>
  <si>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</si>
  <si>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</si>
  <si>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</si>
  <si>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</si>
  <si>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</si>
  <si>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</si>
  <si>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</si>
  <si>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</si>
  <si>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</si>
  <si>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</si>
  <si>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</si>
  <si>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</si>
  <si>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</si>
  <si>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</si>
  <si>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</si>
  <si>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</si>
  <si>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</si>
  <si>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</si>
  <si>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</si>
  <si>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</si>
  <si>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</si>
  <si>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</si>
  <si>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</si>
  <si>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</si>
  <si>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</si>
  <si>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</si>
  <si>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</si>
  <si>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</si>
  <si>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</si>
  <si>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</si>
  <si>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</si>
  <si>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</si>
  <si>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</si>
  <si>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</si>
  <si>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</si>
  <si>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</si>
  <si>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</si>
  <si>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</si>
  <si>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</si>
  <si>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</si>
  <si>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</si>
  <si>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</si>
  <si>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</si>
  <si>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</si>
  <si>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</si>
  <si>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</si>
  <si>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</si>
  <si>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</si>
  <si>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</si>
  <si>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</si>
  <si>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</si>
  <si>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</si>
  <si>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</si>
  <si>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</si>
  <si>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</si>
  <si>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</si>
  <si>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</si>
  <si>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</si>
  <si>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</si>
  <si>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</si>
  <si>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</si>
  <si>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</si>
  <si>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</si>
  <si>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</si>
  <si>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</si>
  <si>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</si>
  <si>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</si>
  <si>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</si>
  <si>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</si>
  <si>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</si>
  <si>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</si>
  <si>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</si>
  <si>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</si>
  <si>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</si>
  <si>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</si>
  <si>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</si>
  <si>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</si>
  <si>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</si>
  <si>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</si>
  <si>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</si>
  <si>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</si>
  <si>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</si>
  <si>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</si>
  <si>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</si>
  <si>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</si>
  <si>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</si>
  <si>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</si>
  <si>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</si>
  <si>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</si>
  <si>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</si>
  <si>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</si>
  <si>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</si>
  <si>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</si>
  <si>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</si>
  <si>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</si>
  <si>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</si>
  <si>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</si>
  <si>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</si>
  <si>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</si>
  <si>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</si>
  <si>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</si>
  <si>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</si>
  <si>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</si>
  <si>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</si>
  <si>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</si>
  <si>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</si>
  <si>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</si>
  <si>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</si>
  <si>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</si>
  <si>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</si>
  <si>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</si>
  <si>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</si>
  <si>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</si>
  <si>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</si>
  <si>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</si>
  <si>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</si>
  <si>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</si>
  <si>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</si>
  <si>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</si>
  <si>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</si>
  <si>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</si>
  <si>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</si>
  <si>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</si>
  <si>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</si>
  <si>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</si>
  <si>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</si>
  <si>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</si>
  <si>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</si>
  <si>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</si>
  <si>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</si>
  <si>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</si>
  <si>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</si>
  <si>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</si>
  <si>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</si>
  <si>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</si>
  <si>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</si>
  <si>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</si>
  <si>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</si>
  <si>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</si>
  <si>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</si>
  <si>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</si>
  <si>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</si>
  <si>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</si>
  <si>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</si>
  <si>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</si>
  <si>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</si>
  <si>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</si>
  <si>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</si>
  <si>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</si>
  <si>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</si>
  <si>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</si>
  <si>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</si>
  <si>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</si>
  <si>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</si>
  <si>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</si>
  <si>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</si>
  <si>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</si>
  <si>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</si>
  <si>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</si>
  <si>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</si>
  <si>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</si>
  <si>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</si>
  <si>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</si>
  <si>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</si>
  <si>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</si>
  <si>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</si>
  <si>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</si>
  <si>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</si>
  <si>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</si>
  <si>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</si>
  <si>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</si>
  <si>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</si>
  <si>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</si>
  <si>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</si>
  <si>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</si>
  <si>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</si>
  <si>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</si>
  <si>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</si>
  <si>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</si>
  <si>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</si>
  <si>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</si>
  <si>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</si>
  <si>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</si>
  <si>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</si>
  <si>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</si>
  <si>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</si>
  <si>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</si>
  <si>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</si>
  <si>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</si>
  <si>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</si>
  <si>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</si>
  <si>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</si>
  <si>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</si>
  <si>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</si>
  <si>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</si>
  <si>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</si>
  <si>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</si>
  <si>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</si>
  <si>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</si>
  <si>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</si>
  <si>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</si>
  <si>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</si>
  <si>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</si>
  <si>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</si>
  <si>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</si>
  <si>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</si>
  <si>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</si>
  <si>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</si>
  <si>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</si>
  <si>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</si>
  <si>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</si>
  <si>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</si>
  <si>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</si>
  <si>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</si>
  <si>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</si>
  <si>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</si>
  <si>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</si>
  <si>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</si>
  <si>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</si>
  <si>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</si>
  <si>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</si>
  <si>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</si>
  <si>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</si>
  <si>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</si>
  <si>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</si>
  <si>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</si>
  <si>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</si>
  <si>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</si>
  <si>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</si>
  <si>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</si>
  <si>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</si>
  <si>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</si>
  <si>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</si>
  <si>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</si>
  <si>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</si>
  <si>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</si>
  <si>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</si>
  <si>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</si>
  <si>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</si>
  <si>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</si>
  <si>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</si>
  <si>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</si>
  <si>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</si>
  <si>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</si>
  <si>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</si>
  <si>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</si>
  <si>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</si>
  <si>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</si>
  <si>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</si>
  <si>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</si>
  <si>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</si>
  <si>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</si>
  <si>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</si>
  <si>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</si>
  <si>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</si>
  <si>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</si>
  <si>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</si>
  <si>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</si>
  <si>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</si>
  <si>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</si>
  <si>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</si>
  <si>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</si>
  <si>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</si>
  <si>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</si>
  <si>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</si>
  <si>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</si>
  <si>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</si>
  <si>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</si>
  <si>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</si>
  <si>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</si>
  <si>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</si>
  <si>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</si>
  <si>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</si>
  <si>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</si>
  <si>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</si>
  <si>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</si>
  <si>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</si>
  <si>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</si>
  <si>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</si>
  <si>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</si>
  <si>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</si>
  <si>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</si>
  <si>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</si>
  <si>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</si>
  <si>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</si>
  <si>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</si>
  <si>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</si>
  <si>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</si>
  <si>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</si>
  <si>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</si>
  <si>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</si>
  <si>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</si>
  <si>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</si>
  <si>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</si>
  <si>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</si>
  <si>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</si>
  <si>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</si>
  <si>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</si>
  <si>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</si>
  <si>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</si>
  <si>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</si>
  <si>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</si>
  <si>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</si>
  <si>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</si>
  <si>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</si>
  <si>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</si>
  <si>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</si>
  <si>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</si>
  <si>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</si>
  <si>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</si>
  <si>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</si>
  <si>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</si>
  <si>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</si>
  <si>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</si>
  <si>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</si>
  <si>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</si>
  <si>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</si>
  <si>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</si>
  <si>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</si>
  <si>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</si>
  <si>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</si>
  <si>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</si>
  <si>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</si>
  <si>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</si>
  <si>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</si>
  <si>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</si>
  <si>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</si>
  <si>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</si>
  <si>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</si>
  <si>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</si>
  <si>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</si>
  <si>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</si>
  <si>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</si>
  <si>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</si>
  <si>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</si>
  <si>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</si>
  <si>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</si>
  <si>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</si>
  <si>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</si>
  <si>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</si>
  <si>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</si>
  <si>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</si>
  <si>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</si>
  <si>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</si>
  <si>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</si>
  <si>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</si>
  <si>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</si>
  <si>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</si>
  <si>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</si>
  <si>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</si>
  <si>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</si>
  <si>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</si>
  <si>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</si>
  <si>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</si>
  <si>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</si>
  <si>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</si>
  <si>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</si>
  <si>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</si>
  <si>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</si>
  <si>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</si>
  <si>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</si>
  <si>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</si>
  <si>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</si>
  <si>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</si>
  <si>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</si>
  <si>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</si>
  <si>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</si>
  <si>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</si>
  <si>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</si>
  <si>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</si>
  <si>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</si>
  <si>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</si>
  <si>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</si>
  <si>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</si>
  <si>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</si>
  <si>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</si>
  <si>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</si>
  <si>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</si>
  <si>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</si>
  <si>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</si>
  <si>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</si>
  <si>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</si>
  <si>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</si>
  <si>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</si>
  <si>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</si>
  <si>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</si>
  <si>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</si>
  <si>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</si>
  <si>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</si>
  <si>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</si>
  <si>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</si>
  <si>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</si>
  <si>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</si>
  <si>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</si>
  <si>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</si>
  <si>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</si>
  <si>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</si>
  <si>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</si>
  <si>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</si>
  <si>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</si>
  <si>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</si>
  <si>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</si>
  <si>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</si>
  <si>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</si>
  <si>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</si>
  <si>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</si>
  <si>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</si>
  <si>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</si>
  <si>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</si>
  <si>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</si>
  <si>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</si>
  <si>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</si>
  <si>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</si>
  <si>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</si>
  <si>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</si>
  <si>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</si>
  <si>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</si>
  <si>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</si>
  <si>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</si>
  <si>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</si>
  <si>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</si>
  <si>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</si>
  <si>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</si>
  <si>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</si>
  <si>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</si>
  <si>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</si>
  <si>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</si>
  <si>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</si>
  <si>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</si>
  <si>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</si>
  <si>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</si>
  <si>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</si>
  <si>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</si>
  <si>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</si>
  <si>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</si>
  <si>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</si>
  <si>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</si>
  <si>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</si>
  <si>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</si>
  <si>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</si>
  <si>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</si>
  <si>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</si>
  <si>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</si>
  <si>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</si>
  <si>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</si>
  <si>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</si>
  <si>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</si>
  <si>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</si>
  <si>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</si>
  <si>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</si>
  <si>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</si>
  <si>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</si>
  <si>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</si>
  <si>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</si>
  <si>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</si>
  <si>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</si>
  <si>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</si>
  <si>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</si>
  <si>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</si>
  <si>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</si>
  <si>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</si>
  <si>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</si>
  <si>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</si>
  <si>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</si>
  <si>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</si>
  <si>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</si>
  <si>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</si>
  <si>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</si>
  <si>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</si>
  <si>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</si>
  <si>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</si>
  <si>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</si>
  <si>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</si>
  <si>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</si>
  <si>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</si>
  <si>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</si>
  <si>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</si>
  <si>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</si>
  <si>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</si>
  <si>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</si>
  <si>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</si>
  <si>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</si>
  <si>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</si>
  <si>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</si>
  <si>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</si>
  <si>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</si>
  <si>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</si>
  <si>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</si>
  <si>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</si>
  <si>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</si>
  <si>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</si>
  <si>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</si>
  <si>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</si>
  <si>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</si>
  <si>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</si>
  <si>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</si>
  <si>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</si>
  <si>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</si>
  <si>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</si>
  <si>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</si>
  <si>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</si>
  <si>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</si>
  <si>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</si>
  <si>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</si>
  <si>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</si>
  <si>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</si>
  <si>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</si>
  <si>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</si>
  <si>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</si>
  <si>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</si>
  <si>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</si>
  <si>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</si>
  <si>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</si>
  <si>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</si>
  <si>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</si>
  <si>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</si>
  <si>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</si>
  <si>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</si>
  <si>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</si>
  <si>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</si>
  <si>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</si>
  <si>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</si>
  <si>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</si>
  <si>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</si>
  <si>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</si>
  <si>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</si>
  <si>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</si>
  <si>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</si>
  <si>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</si>
  <si>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</si>
  <si>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</si>
  <si>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</si>
  <si>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</si>
  <si>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</si>
  <si>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</si>
  <si>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</si>
  <si>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</si>
  <si>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</si>
  <si>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</si>
  <si>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</si>
  <si>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</si>
  <si>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</si>
  <si>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</si>
  <si>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</si>
  <si>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</si>
  <si>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</si>
  <si>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</si>
  <si>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</si>
  <si>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</si>
  <si>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</si>
  <si>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</si>
  <si>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</si>
  <si>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</si>
  <si>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</si>
  <si>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</si>
  <si>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</si>
  <si>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</si>
  <si>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</si>
  <si>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</si>
  <si>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</si>
  <si>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</si>
  <si>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</si>
  <si>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</si>
  <si>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</si>
  <si>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</si>
  <si>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</si>
  <si>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</si>
  <si>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</si>
  <si>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</si>
  <si>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</si>
  <si>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</si>
  <si>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</si>
  <si>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</si>
  <si>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</si>
  <si>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</si>
  <si>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</si>
  <si>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</si>
  <si>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</si>
  <si>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</si>
  <si>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</si>
  <si>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</si>
  <si>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</si>
  <si>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</si>
  <si>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</si>
  <si>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</si>
  <si>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</si>
  <si>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</si>
  <si>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</si>
  <si>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</si>
  <si>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</si>
  <si>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</si>
  <si>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</si>
  <si>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</si>
  <si>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</si>
  <si>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</si>
  <si>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</si>
  <si>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</si>
  <si>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</si>
  <si>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</si>
  <si>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</si>
  <si>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</si>
  <si>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</si>
  <si>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</si>
  <si>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</si>
  <si>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</si>
  <si>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</si>
  <si>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</si>
  <si>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</si>
  <si>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</si>
  <si>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</si>
  <si>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</si>
  <si>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</si>
  <si>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</si>
  <si>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</si>
  <si>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</si>
  <si>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</si>
  <si>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</si>
  <si>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</si>
  <si>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</si>
  <si>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</si>
  <si>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</si>
  <si>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</si>
  <si>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</si>
  <si>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</si>
  <si>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</si>
  <si>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</si>
  <si>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</si>
  <si>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</si>
  <si>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</si>
  <si>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</si>
  <si>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</si>
  <si>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</si>
  <si>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</si>
  <si>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</si>
  <si>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</si>
  <si>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</si>
  <si>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</si>
  <si>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</si>
  <si>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</si>
  <si>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</si>
  <si>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</si>
  <si>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</si>
  <si>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</si>
  <si>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</si>
  <si>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</si>
  <si>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</si>
  <si>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</si>
  <si>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</si>
  <si>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</si>
  <si>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</si>
  <si>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</si>
  <si>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</si>
  <si>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</si>
  <si>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</si>
  <si>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</si>
  <si>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</si>
  <si>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</si>
  <si>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</si>
  <si>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</si>
  <si>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</si>
  <si>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</si>
  <si>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</si>
  <si>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</si>
  <si>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</si>
  <si>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</si>
  <si>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</si>
  <si>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</si>
  <si>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</si>
  <si>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</si>
  <si>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</si>
  <si>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</si>
  <si>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</si>
  <si>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</si>
  <si>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</si>
  <si>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</si>
  <si>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</si>
  <si>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</si>
  <si>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</si>
  <si>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</si>
  <si>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</si>
  <si>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</si>
  <si>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</si>
  <si>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</si>
  <si>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</si>
  <si>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</si>
  <si>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</si>
  <si>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</si>
  <si>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</si>
  <si>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</si>
  <si>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</si>
  <si>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</si>
  <si>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</si>
  <si>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</si>
  <si>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</si>
  <si>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</si>
  <si>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</si>
  <si>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</si>
  <si>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</si>
  <si>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</si>
  <si>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</si>
  <si>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</si>
  <si>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</si>
  <si>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</si>
  <si>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</si>
  <si>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</si>
  <si>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</si>
  <si>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</si>
  <si>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</si>
  <si>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</si>
  <si>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</si>
  <si>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</si>
  <si>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</si>
  <si>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</si>
  <si>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</si>
  <si>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</si>
  <si>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</si>
  <si>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</si>
  <si>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</si>
  <si>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</si>
  <si>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</si>
  <si>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</si>
  <si>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</si>
  <si>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</si>
  <si>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</si>
  <si>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</si>
  <si>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</si>
  <si>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</si>
  <si>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</si>
  <si>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</si>
  <si>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</si>
  <si>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</si>
  <si>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</si>
  <si>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</si>
  <si>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</si>
  <si>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</si>
  <si>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</si>
  <si>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</si>
  <si>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</si>
  <si>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</si>
  <si>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</si>
  <si>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</si>
  <si>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</si>
  <si>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</si>
  <si>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</si>
  <si>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</si>
  <si>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</si>
  <si>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</si>
  <si>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</si>
  <si>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</si>
  <si>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</si>
  <si>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</si>
  <si>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</si>
  <si>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</si>
  <si>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</si>
  <si>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</si>
  <si>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</si>
  <si>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</si>
  <si>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</si>
  <si>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</si>
  <si>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</si>
  <si>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</si>
  <si>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</si>
  <si>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</si>
  <si>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</si>
  <si>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</si>
  <si>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</si>
  <si>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</si>
  <si>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</si>
  <si>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</si>
  <si>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</si>
  <si>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</si>
  <si>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</si>
  <si>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</si>
  <si>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</si>
  <si>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</si>
  <si>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</si>
  <si>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</si>
  <si>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</si>
  <si>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</si>
  <si>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</si>
  <si>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</si>
  <si>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</si>
  <si>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</si>
  <si>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</si>
  <si>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</si>
  <si>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</si>
  <si>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</si>
  <si>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</si>
  <si>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</si>
  <si>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</si>
  <si>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</si>
  <si>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</si>
  <si>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</si>
  <si>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</si>
  <si>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</si>
  <si>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</si>
  <si>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</si>
  <si>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</si>
  <si>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</si>
  <si>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</si>
  <si>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</si>
  <si>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</si>
  <si>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</si>
  <si>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</si>
  <si>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</si>
  <si>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</si>
  <si>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</si>
  <si>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</si>
  <si>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</si>
  <si>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</si>
  <si>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</si>
  <si>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</si>
  <si>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</si>
  <si>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</si>
  <si>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</si>
  <si>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</si>
  <si>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</si>
  <si>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</si>
  <si>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</si>
  <si>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</si>
  <si>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</si>
  <si>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</si>
  <si>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</si>
  <si>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</si>
  <si>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</si>
  <si>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</si>
  <si>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</si>
  <si>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</si>
  <si>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</si>
  <si>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</si>
  <si>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</si>
  <si>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</si>
  <si>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</si>
  <si>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</si>
  <si>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</si>
  <si>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</si>
  <si>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</si>
  <si>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</si>
  <si>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</si>
  <si>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</si>
  <si>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</si>
  <si>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</si>
  <si>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</si>
  <si>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</si>
  <si>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</si>
  <si>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</si>
  <si>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</si>
  <si>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</si>
  <si>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</si>
  <si>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</si>
  <si>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</si>
  <si>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</si>
  <si>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</si>
  <si>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</si>
  <si>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</si>
  <si>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</si>
  <si>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</si>
  <si>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</si>
  <si>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</si>
  <si>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</si>
  <si>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</si>
  <si>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</si>
  <si>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</si>
  <si>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</si>
  <si>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</si>
  <si>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</si>
  <si>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</si>
  <si>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</si>
  <si>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</si>
  <si>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</si>
  <si>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</si>
  <si>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</si>
  <si>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</si>
  <si>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</si>
  <si>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</si>
  <si>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</si>
  <si>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</si>
  <si>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</si>
  <si>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</si>
  <si>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</si>
  <si>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</si>
  <si>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</si>
  <si>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</si>
  <si>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</si>
  <si>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</si>
  <si>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</si>
  <si>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</si>
  <si>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</si>
  <si>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</si>
  <si>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</si>
  <si>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</si>
  <si>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</si>
  <si>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</si>
  <si>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</si>
  <si>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</si>
  <si>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</si>
  <si>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</si>
  <si>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</si>
  <si>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</si>
  <si>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</si>
  <si>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</si>
  <si>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</si>
  <si>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</si>
  <si>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</si>
  <si>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</si>
  <si>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</si>
  <si>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</si>
  <si>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</si>
  <si>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</si>
  <si>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</si>
  <si>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</si>
  <si>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</si>
  <si>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</si>
  <si>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</si>
  <si>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</si>
  <si>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</si>
  <si>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</si>
  <si>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</si>
  <si>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</si>
  <si>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</si>
  <si>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</si>
  <si>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</si>
  <si>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</si>
  <si>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</si>
  <si>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</si>
  <si>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</si>
  <si>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</si>
  <si>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</si>
  <si>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</si>
  <si>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</si>
  <si>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</si>
  <si>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</si>
  <si>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</si>
  <si>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</si>
  <si>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</si>
  <si>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</si>
  <si>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</si>
  <si>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</si>
  <si>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</si>
  <si>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</si>
  <si>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</si>
  <si>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</si>
  <si>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</si>
  <si>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</si>
  <si>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</si>
  <si>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</si>
  <si>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</si>
  <si>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</si>
  <si>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</si>
  <si>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</si>
  <si>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</si>
  <si>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</si>
  <si>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</si>
  <si>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</si>
  <si>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</si>
  <si>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</si>
  <si>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</si>
  <si>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</si>
  <si>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</si>
  <si>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</si>
  <si>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</si>
  <si>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</si>
  <si>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</si>
  <si>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</si>
  <si>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</si>
  <si>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</si>
  <si>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</si>
  <si>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</si>
  <si>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</si>
  <si>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</si>
  <si>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</si>
  <si>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</si>
  <si>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</si>
  <si>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</si>
  <si>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</si>
  <si>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</si>
  <si>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</si>
  <si>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</si>
  <si>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</si>
  <si>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</si>
  <si>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</si>
  <si>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</si>
  <si>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</si>
  <si>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</si>
  <si>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</si>
  <si>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</si>
  <si>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</si>
  <si>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</si>
  <si>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</si>
  <si>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</si>
  <si>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</si>
  <si>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</si>
  <si>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</si>
  <si>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</si>
  <si>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</si>
  <si>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</si>
  <si>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</si>
  <si>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</si>
  <si>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</si>
  <si>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</si>
  <si>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</si>
  <si>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</si>
  <si>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</si>
  <si>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</si>
  <si>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</si>
  <si>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</si>
  <si>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</si>
  <si>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</si>
  <si>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</si>
  <si>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</si>
  <si>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</si>
  <si>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</si>
  <si>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</si>
  <si>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</si>
  <si>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</si>
  <si>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</si>
  <si>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</si>
  <si>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</si>
  <si>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</si>
  <si>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</si>
  <si>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</si>
  <si>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</si>
  <si>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</si>
  <si>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</si>
  <si>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</si>
  <si>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</si>
  <si>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</si>
  <si>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</si>
  <si>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</si>
  <si>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</si>
  <si>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</si>
  <si>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</si>
  <si>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</si>
  <si>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</si>
  <si>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</si>
  <si>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</si>
  <si>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</si>
  <si>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</si>
  <si>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</si>
  <si>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</si>
  <si>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</si>
  <si>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</si>
  <si>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</si>
  <si>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</si>
  <si>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</si>
  <si>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</si>
  <si>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</si>
  <si>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</si>
  <si>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</si>
  <si>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</si>
  <si>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</si>
  <si>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</si>
  <si>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</si>
  <si>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</si>
  <si>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</si>
  <si>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</si>
  <si>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</si>
  <si>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</si>
  <si>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</si>
  <si>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</si>
  <si>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</si>
  <si>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</si>
  <si>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</si>
  <si>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</si>
  <si>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</si>
  <si>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</si>
  <si>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</si>
  <si>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</si>
  <si>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</si>
  <si>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</si>
  <si>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</si>
  <si>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</si>
  <si>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</si>
  <si>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</si>
  <si>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</si>
  <si>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</si>
  <si>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</si>
  <si>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</si>
  <si>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</si>
  <si>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</si>
  <si>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</si>
  <si>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</si>
  <si>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</si>
  <si>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</si>
  <si>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</si>
  <si>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</si>
  <si>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</si>
  <si>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</si>
  <si>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</si>
  <si>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</si>
  <si>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</si>
  <si>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</si>
  <si>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</si>
  <si>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</si>
  <si>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</si>
  <si>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</si>
  <si>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</si>
  <si>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</si>
  <si>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</si>
  <si>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</si>
  <si>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</si>
  <si>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</si>
  <si>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</si>
  <si>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</si>
  <si>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</si>
  <si>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</si>
  <si>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</si>
  <si>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</si>
  <si>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</si>
  <si>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</si>
  <si>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</si>
  <si>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</si>
  <si>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</si>
  <si>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</si>
  <si>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</si>
  <si>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</si>
  <si>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</si>
  <si>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</si>
  <si>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</si>
  <si>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</si>
  <si>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</si>
  <si>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</si>
  <si>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</si>
  <si>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</si>
  <si>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</si>
  <si>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</si>
  <si>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</si>
  <si>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</si>
  <si>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</si>
  <si>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</si>
  <si>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</si>
  <si>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</si>
  <si>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</si>
  <si>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</si>
  <si>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</si>
  <si>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</si>
  <si>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</si>
  <si>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</si>
  <si>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</si>
  <si>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</si>
  <si>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</si>
  <si>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</si>
  <si>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</si>
  <si>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</si>
  <si>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</si>
  <si>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</si>
  <si>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</si>
  <si>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</si>
  <si>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</si>
  <si>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</si>
  <si>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</si>
  <si>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</si>
  <si>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</si>
  <si>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</si>
  <si>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</si>
  <si>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</si>
  <si>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</si>
  <si>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</si>
  <si>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</si>
  <si>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</si>
  <si>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</si>
  <si>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</si>
  <si>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</si>
  <si>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</si>
  <si>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</si>
  <si>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</si>
  <si>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</si>
  <si>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</si>
  <si>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</si>
  <si>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</si>
  <si>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</si>
  <si>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</si>
  <si>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</si>
  <si>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Woodford</t>
  </si>
  <si>
    <t>Germantown Hills School District No. 69</t>
  </si>
  <si>
    <t>103 Warrior Way</t>
  </si>
  <si>
    <t>dmair@ghills69.com</t>
  </si>
  <si>
    <t>Dan Mair</t>
  </si>
  <si>
    <t>(309) 383-2121</t>
  </si>
  <si>
    <t>(309) 383-2123</t>
  </si>
  <si>
    <t>Meister,  Hilton, Chitwood &amp; Associates,  inc.</t>
  </si>
  <si>
    <t>Ron Hilton</t>
  </si>
  <si>
    <t>809 W. Detweiller Drive, Suite 804</t>
  </si>
  <si>
    <t>Peoria</t>
  </si>
  <si>
    <t>IL</t>
  </si>
  <si>
    <t>(309) 683-0441</t>
  </si>
  <si>
    <t>(309) 683-0443</t>
  </si>
  <si>
    <t>066-004769</t>
  </si>
  <si>
    <t>ron.hilton1@comcast.net</t>
  </si>
  <si>
    <t>G.O. School  Bonds, Series 2015A</t>
  </si>
  <si>
    <t>2 and 3</t>
  </si>
  <si>
    <t>Capital lease - buses</t>
  </si>
  <si>
    <t>Capital lease</t>
  </si>
  <si>
    <t>23. The District has prepared these financial statements using regulatory accounting practices prescribed or permitted by the Illinois State Board of Education, which differ from accounting principles generally accepted in the United States of America.  Additionally, disclosures required by GASB Statement No. 45 - Accounting and Financial Reporting for Post-Retirement Benefits Other Than Pensions has been omitted.</t>
  </si>
  <si>
    <t>Woodford County Special Education Association</t>
  </si>
  <si>
    <t>Page 10, 1690 - Other Food Service: Lunches served to Woodford  County Special   Education Association $18,034, cook book sales $20.</t>
  </si>
  <si>
    <t>Page 10, 1790 -  Other District/School Activity Revenue: Yearbook fees $7,171, Gym suits $ 2,182, Supply program $21,307</t>
  </si>
  <si>
    <t>Page 11, 1993 -  Other Local Fees:  Latchkey Program fees $7,438</t>
  </si>
  <si>
    <t>Page 11, 1999 -  Other Local Revenues:  Educational Fund: Miscellaneous refunds/reimbursements $556</t>
  </si>
  <si>
    <t xml:space="preserve">                                                                                Transportation: Miscellaneous refunds $2,376</t>
  </si>
  <si>
    <t>Page 15, 2190 - Other Support Service - Pupils: Gym uniforms $2,383</t>
  </si>
  <si>
    <t>Metamora  Grade School No. 1, Riverview Grade School</t>
  </si>
  <si>
    <t>O &amp; M-Operation &amp; maintenance of plant services-purchased services</t>
  </si>
  <si>
    <t>20-2540-300</t>
  </si>
  <si>
    <t>MTCO</t>
  </si>
  <si>
    <t>Tort-Worker's  compensation-purchased services</t>
  </si>
  <si>
    <t>Accident Fund</t>
  </si>
  <si>
    <t>Tort-Property insurance-purchased services</t>
  </si>
  <si>
    <t>James Unland</t>
  </si>
  <si>
    <t xml:space="preserve">Germantown Hills </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</si>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</sst>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53102069002</v>
      </c>
      <c r="B13" s="2005"/>
      <c r="C13" s="2005"/>
      <c r="D13" s="2005"/>
      <c r="E13" s="2005"/>
      <c r="F13" s="2005"/>
      <c r="G13" s="2005"/>
      <c r="H13" s="2006"/>
      <c r="I13" s="31"/>
      <c r="J13" s="30"/>
      <c r="K13" s="28"/>
      <c r="L13" s="30"/>
      <c r="M13" s="30"/>
      <c r="N13" s="30"/>
      <c r="O13" s="30"/>
      <c r="P13" s="30"/>
      <c r="Q13" s="30"/>
      <c r="R13" s="30"/>
      <c r="S13" s="30"/>
      <c r="T13" s="2009" t="s">
        <v>2085</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2078</v>
      </c>
      <c r="B15" s="2007"/>
      <c r="C15" s="2007"/>
      <c r="D15" s="2007"/>
      <c r="E15" s="2007"/>
      <c r="F15" s="2007"/>
      <c r="G15" s="2007"/>
      <c r="H15" s="2008"/>
      <c r="T15" s="1970" t="s">
        <v>2086</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2079</v>
      </c>
      <c r="B17" s="2032"/>
      <c r="C17" s="2032"/>
      <c r="D17" s="2032"/>
      <c r="E17" s="2032"/>
      <c r="F17" s="2032"/>
      <c r="G17" s="2032"/>
      <c r="H17" s="2033"/>
      <c r="T17" s="2019" t="s">
        <v>2087</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2080</v>
      </c>
      <c r="B19" s="2003"/>
      <c r="C19" s="2003"/>
      <c r="D19" s="2003"/>
      <c r="E19" s="2003"/>
      <c r="F19" s="2003"/>
      <c r="G19" s="2003"/>
      <c r="H19" s="2001"/>
      <c r="I19" s="30"/>
      <c r="J19" s="99"/>
      <c r="K19" s="40"/>
      <c r="L19" s="38"/>
      <c r="M19" s="112" t="s">
        <v>333</v>
      </c>
      <c r="P19" s="27"/>
      <c r="Q19" s="27"/>
      <c r="R19" s="27"/>
      <c r="S19" s="31"/>
      <c r="T19" s="2002" t="s">
        <v>2088</v>
      </c>
      <c r="U19" s="2000"/>
      <c r="V19" s="2000"/>
      <c r="W19" s="2001"/>
      <c r="X19" s="2017" t="s">
        <v>2089</v>
      </c>
      <c r="Y19" s="2018"/>
      <c r="Z19" s="2015">
        <v>61615</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2114</v>
      </c>
      <c r="B21" s="2000"/>
      <c r="C21" s="2000"/>
      <c r="D21" s="2000"/>
      <c r="E21" s="2000"/>
      <c r="F21" s="2000"/>
      <c r="G21" s="2000"/>
      <c r="H21" s="2001"/>
      <c r="I21" s="2025" t="s">
        <v>699</v>
      </c>
      <c r="J21" s="1988"/>
      <c r="K21" s="1988"/>
      <c r="L21" s="1988"/>
      <c r="M21" s="1988"/>
      <c r="N21" s="1988"/>
      <c r="O21" s="1988"/>
      <c r="P21" s="1988"/>
      <c r="Q21" s="1988"/>
      <c r="R21" s="1988"/>
      <c r="S21" s="1989"/>
      <c r="T21" s="1967" t="s">
        <v>2090</v>
      </c>
      <c r="U21" s="1968"/>
      <c r="V21" s="1968"/>
      <c r="W21" s="1968"/>
      <c r="X21" s="1981" t="s">
        <v>2091</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2081</v>
      </c>
      <c r="B23" s="2023"/>
      <c r="C23" s="2023"/>
      <c r="D23" s="2023"/>
      <c r="E23" s="2023"/>
      <c r="F23" s="2023"/>
      <c r="G23" s="2023"/>
      <c r="H23" s="2024"/>
      <c r="T23" s="1962" t="s">
        <v>2092</v>
      </c>
      <c r="U23" s="1963"/>
      <c r="V23" s="1963"/>
      <c r="W23" s="1963"/>
      <c r="X23" s="1978">
        <v>43434</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61548</v>
      </c>
      <c r="B25" s="2000"/>
      <c r="C25" s="2000"/>
      <c r="D25" s="2000"/>
      <c r="E25" s="2000"/>
      <c r="F25" s="2000"/>
      <c r="G25" s="2000"/>
      <c r="H25" s="2001"/>
      <c r="I25" s="113"/>
      <c r="J25" s="2066"/>
      <c r="K25" s="2066"/>
      <c r="L25" s="2066"/>
      <c r="M25" s="2066"/>
      <c r="N25" s="2066"/>
      <c r="O25" s="2066"/>
      <c r="P25" s="2066"/>
      <c r="Q25" s="2066"/>
      <c r="R25" s="2066"/>
      <c r="S25" s="2067"/>
      <c r="T25" s="1959" t="s">
        <v>2093</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2077</v>
      </c>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2082</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2081</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2083</v>
      </c>
      <c r="B42" s="2049"/>
      <c r="C42" s="2050"/>
      <c r="D42" s="2063" t="s">
        <v>2084</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4" sqref="E1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2827146</v>
      </c>
      <c r="C4" s="1546">
        <v>0</v>
      </c>
      <c r="D4" s="1774">
        <f>B4-C4</f>
        <v>2827146</v>
      </c>
      <c r="E4" s="1546">
        <v>2828312</v>
      </c>
      <c r="F4" s="1774">
        <f>E4-C4</f>
        <v>2828312</v>
      </c>
    </row>
    <row r="5" spans="1:6" ht="13.7" customHeight="1" x14ac:dyDescent="0.2">
      <c r="A5" s="716" t="s">
        <v>925</v>
      </c>
      <c r="B5" s="1772">
        <f>'Revenues 9-14'!D5</f>
        <v>584224</v>
      </c>
      <c r="C5" s="585">
        <v>0</v>
      </c>
      <c r="D5" s="1775">
        <f t="shared" ref="D5:D18" si="0">B5-C5</f>
        <v>584224</v>
      </c>
      <c r="E5" s="585">
        <v>500104</v>
      </c>
      <c r="F5" s="1775">
        <f>E5-C5</f>
        <v>500104</v>
      </c>
    </row>
    <row r="6" spans="1:6" ht="13.7" customHeight="1" x14ac:dyDescent="0.2">
      <c r="A6" s="716" t="s">
        <v>431</v>
      </c>
      <c r="B6" s="1772">
        <f>'Revenues 9-14'!E5</f>
        <v>1079065</v>
      </c>
      <c r="C6" s="585">
        <v>0</v>
      </c>
      <c r="D6" s="1775">
        <f t="shared" si="0"/>
        <v>1079065</v>
      </c>
      <c r="E6" s="585">
        <v>1095031</v>
      </c>
      <c r="F6" s="1775">
        <f t="shared" ref="F6:F18" si="1">E6-C6</f>
        <v>1095031</v>
      </c>
    </row>
    <row r="7" spans="1:6" ht="13.7" customHeight="1" x14ac:dyDescent="0.2">
      <c r="A7" s="716" t="s">
        <v>157</v>
      </c>
      <c r="B7" s="1772">
        <f>'Revenues 9-14'!F5</f>
        <v>196101</v>
      </c>
      <c r="C7" s="585">
        <v>0</v>
      </c>
      <c r="D7" s="1775">
        <f t="shared" si="0"/>
        <v>196101</v>
      </c>
      <c r="E7" s="585">
        <v>196184</v>
      </c>
      <c r="F7" s="1775">
        <f t="shared" si="1"/>
        <v>196184</v>
      </c>
    </row>
    <row r="8" spans="1:6" ht="13.7" customHeight="1" x14ac:dyDescent="0.2">
      <c r="A8" s="716" t="s">
        <v>1241</v>
      </c>
      <c r="B8" s="1772">
        <f>'Revenues 9-14'!G5</f>
        <v>76972</v>
      </c>
      <c r="C8" s="585">
        <v>0</v>
      </c>
      <c r="D8" s="1775">
        <f t="shared" si="0"/>
        <v>76972</v>
      </c>
      <c r="E8" s="585">
        <v>77002</v>
      </c>
      <c r="F8" s="1775">
        <f t="shared" si="1"/>
        <v>77002</v>
      </c>
    </row>
    <row r="9" spans="1:6" ht="13.7" customHeight="1" x14ac:dyDescent="0.2">
      <c r="A9" s="716" t="s">
        <v>428</v>
      </c>
      <c r="B9" s="1772">
        <f>'Revenues 9-14'!H5</f>
        <v>0</v>
      </c>
      <c r="C9" s="585">
        <v>0</v>
      </c>
      <c r="D9" s="1775">
        <f t="shared" si="0"/>
        <v>0</v>
      </c>
      <c r="E9" s="585">
        <v>0</v>
      </c>
      <c r="F9" s="1775">
        <f t="shared" si="1"/>
        <v>0</v>
      </c>
    </row>
    <row r="10" spans="1:6" ht="13.7" customHeight="1" x14ac:dyDescent="0.2">
      <c r="A10" s="716" t="s">
        <v>427</v>
      </c>
      <c r="B10" s="1772">
        <f>'Revenues 9-14'!I5</f>
        <v>0</v>
      </c>
      <c r="C10" s="585">
        <v>0</v>
      </c>
      <c r="D10" s="1775">
        <f t="shared" si="0"/>
        <v>0</v>
      </c>
      <c r="E10" s="585">
        <v>0</v>
      </c>
      <c r="F10" s="1775">
        <f t="shared" si="1"/>
        <v>0</v>
      </c>
    </row>
    <row r="11" spans="1:6" x14ac:dyDescent="0.2">
      <c r="A11" s="716" t="s">
        <v>429</v>
      </c>
      <c r="B11" s="1772">
        <f>'Revenues 9-14'!J5</f>
        <v>289582</v>
      </c>
      <c r="C11" s="585">
        <v>0</v>
      </c>
      <c r="D11" s="1775">
        <f t="shared" si="0"/>
        <v>289582</v>
      </c>
      <c r="E11" s="585">
        <v>280052</v>
      </c>
      <c r="F11" s="1775">
        <f t="shared" si="1"/>
        <v>280052</v>
      </c>
    </row>
    <row r="12" spans="1:6" ht="13.7" customHeight="1" x14ac:dyDescent="0.2">
      <c r="A12" s="716" t="s">
        <v>159</v>
      </c>
      <c r="B12" s="1772">
        <f>'Revenues 9-14'!K5</f>
        <v>33175</v>
      </c>
      <c r="C12" s="585">
        <v>0</v>
      </c>
      <c r="D12" s="1775">
        <f t="shared" si="0"/>
        <v>33175</v>
      </c>
      <c r="E12" s="585">
        <v>0</v>
      </c>
      <c r="F12" s="1775">
        <f t="shared" si="1"/>
        <v>0</v>
      </c>
    </row>
    <row r="13" spans="1:6" ht="13.7" customHeight="1" x14ac:dyDescent="0.2">
      <c r="A13" s="716" t="s">
        <v>993</v>
      </c>
      <c r="B13" s="1772">
        <f>SUM('Revenues 9-14'!C6:D6)</f>
        <v>16671</v>
      </c>
      <c r="C13" s="585">
        <v>0</v>
      </c>
      <c r="D13" s="1775">
        <f t="shared" si="0"/>
        <v>16671</v>
      </c>
      <c r="E13" s="585">
        <v>17003</v>
      </c>
      <c r="F13" s="1775">
        <f t="shared" si="1"/>
        <v>17003</v>
      </c>
    </row>
    <row r="14" spans="1:6" ht="13.7" customHeight="1" x14ac:dyDescent="0.2">
      <c r="A14" s="716" t="s">
        <v>430</v>
      </c>
      <c r="B14" s="1772">
        <f>SUM('Revenues 9-14'!C7:D7,'Revenues 9-14'!F7:H7)</f>
        <v>32683</v>
      </c>
      <c r="C14" s="585">
        <v>0</v>
      </c>
      <c r="D14" s="1775">
        <f t="shared" si="0"/>
        <v>32683</v>
      </c>
      <c r="E14" s="585">
        <v>32697</v>
      </c>
      <c r="F14" s="1775">
        <f t="shared" si="1"/>
        <v>32697</v>
      </c>
    </row>
    <row r="15" spans="1:6" ht="13.7" customHeight="1" x14ac:dyDescent="0.2">
      <c r="A15" s="716" t="s">
        <v>1220</v>
      </c>
      <c r="B15" s="1772">
        <f>'Revenues 9-14'!E9</f>
        <v>0</v>
      </c>
      <c r="C15" s="585">
        <v>0</v>
      </c>
      <c r="D15" s="1775">
        <f t="shared" si="0"/>
        <v>0</v>
      </c>
      <c r="E15" s="585">
        <v>0</v>
      </c>
      <c r="F15" s="1775">
        <f t="shared" si="1"/>
        <v>0</v>
      </c>
    </row>
    <row r="16" spans="1:6" ht="13.7" customHeight="1" x14ac:dyDescent="0.2">
      <c r="A16" s="716" t="s">
        <v>1221</v>
      </c>
      <c r="B16" s="1772">
        <f>'Revenues 9-14'!G8</f>
        <v>101976</v>
      </c>
      <c r="C16" s="585">
        <v>0</v>
      </c>
      <c r="D16" s="1775">
        <f t="shared" si="0"/>
        <v>101976</v>
      </c>
      <c r="E16" s="585">
        <v>102015</v>
      </c>
      <c r="F16" s="1775">
        <f t="shared" si="1"/>
        <v>102015</v>
      </c>
    </row>
    <row r="17" spans="1:6" ht="13.7" customHeight="1" x14ac:dyDescent="0.2">
      <c r="A17" s="716" t="s">
        <v>1222</v>
      </c>
      <c r="B17" s="1772">
        <f>'Revenues 9-14'!C10</f>
        <v>0</v>
      </c>
      <c r="C17" s="585">
        <v>0</v>
      </c>
      <c r="D17" s="1775">
        <f t="shared" si="0"/>
        <v>0</v>
      </c>
      <c r="E17" s="585">
        <v>0</v>
      </c>
      <c r="F17" s="1775">
        <f t="shared" si="1"/>
        <v>0</v>
      </c>
    </row>
    <row r="18" spans="1:6" ht="13.7" customHeight="1" x14ac:dyDescent="0.2">
      <c r="A18" s="716" t="s">
        <v>786</v>
      </c>
      <c r="B18" s="1772">
        <f>SUM('Revenues 9-14'!C11:K11)</f>
        <v>0</v>
      </c>
      <c r="C18" s="585">
        <v>0</v>
      </c>
      <c r="D18" s="1775">
        <f t="shared" si="0"/>
        <v>0</v>
      </c>
      <c r="E18" s="585">
        <v>0</v>
      </c>
      <c r="F18" s="1775">
        <f t="shared" si="1"/>
        <v>0</v>
      </c>
    </row>
    <row r="19" spans="1:6" ht="13.7" customHeight="1" thickBot="1" x14ac:dyDescent="0.25">
      <c r="A19" s="1776" t="s">
        <v>1223</v>
      </c>
      <c r="B19" s="1773">
        <f>SUM(B4:B18)</f>
        <v>5237595</v>
      </c>
      <c r="C19" s="1773">
        <f>SUM(C4:C18)</f>
        <v>0</v>
      </c>
      <c r="D19" s="1773">
        <f>SUM(D4:D18)</f>
        <v>5237595</v>
      </c>
      <c r="E19" s="1773">
        <f>SUM(E4:E18)</f>
        <v>5128400</v>
      </c>
      <c r="F19" s="1773">
        <f>SUM(F4:F18)</f>
        <v>5128400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7" colorId="8" zoomScale="98" zoomScaleNormal="98" workbookViewId="0">
      <selection activeCell="J35" sqref="J3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2038</v>
      </c>
      <c r="D2" s="724" t="s">
        <v>2045</v>
      </c>
      <c r="E2" s="724" t="s">
        <v>2046</v>
      </c>
      <c r="F2" s="1909" t="s">
        <v>2039</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t="s">
        <v>2094</v>
      </c>
      <c r="B32" s="734">
        <v>42367</v>
      </c>
      <c r="C32" s="735">
        <v>8735000</v>
      </c>
      <c r="D32" s="736" t="s">
        <v>2095</v>
      </c>
      <c r="E32" s="735">
        <v>7920000</v>
      </c>
      <c r="F32" s="735">
        <v>0</v>
      </c>
      <c r="G32" s="735">
        <v>0</v>
      </c>
      <c r="H32" s="735">
        <v>915000</v>
      </c>
      <c r="I32" s="1778">
        <f>((E32+F32)-H32)+G32</f>
        <v>7005000</v>
      </c>
      <c r="J32" s="735">
        <v>6974705</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t="s">
        <v>2096</v>
      </c>
      <c r="B34" s="734">
        <v>42690</v>
      </c>
      <c r="C34" s="735">
        <v>159877</v>
      </c>
      <c r="D34" s="736">
        <v>7</v>
      </c>
      <c r="E34" s="735">
        <v>126335</v>
      </c>
      <c r="F34" s="735">
        <v>0</v>
      </c>
      <c r="G34" s="735">
        <v>0</v>
      </c>
      <c r="H34" s="735">
        <v>30446</v>
      </c>
      <c r="I34" s="1778">
        <f t="shared" si="1"/>
        <v>95889</v>
      </c>
      <c r="J34" s="735">
        <v>95889</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8894877</v>
      </c>
      <c r="D49" s="746"/>
      <c r="E49" s="1778">
        <f t="shared" ref="E49:J49" si="2">SUM(E31:E48)</f>
        <v>8046335</v>
      </c>
      <c r="F49" s="1778">
        <f t="shared" si="2"/>
        <v>0</v>
      </c>
      <c r="G49" s="1778">
        <f t="shared" si="2"/>
        <v>0</v>
      </c>
      <c r="H49" s="1778">
        <f t="shared" si="2"/>
        <v>945446</v>
      </c>
      <c r="I49" s="1778">
        <f t="shared" si="2"/>
        <v>7100889</v>
      </c>
      <c r="J49" s="1778">
        <f t="shared" si="2"/>
        <v>7070594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t="s">
        <v>2097</v>
      </c>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v>0</v>
      </c>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32683</v>
      </c>
      <c r="I5" s="773"/>
      <c r="J5" s="774"/>
      <c r="K5" s="774"/>
    </row>
    <row r="6" spans="1:11" x14ac:dyDescent="0.2">
      <c r="A6" s="775" t="s">
        <v>744</v>
      </c>
      <c r="B6" s="776"/>
      <c r="C6" s="776"/>
      <c r="D6" s="776"/>
      <c r="E6" s="777"/>
      <c r="F6" s="778" t="s">
        <v>904</v>
      </c>
      <c r="G6" s="765"/>
      <c r="H6" s="765">
        <v>7</v>
      </c>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32690</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32690</v>
      </c>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32690</v>
      </c>
      <c r="I23" s="1780">
        <f>SUM(I14:I16,I21,I22)</f>
        <v>0</v>
      </c>
      <c r="J23" s="1780">
        <f>SUM(J14:J16,J21,J22)</f>
        <v>0</v>
      </c>
      <c r="K23" s="1780">
        <f>SUM(K14:K16,K21,K22)</f>
        <v>0</v>
      </c>
    </row>
    <row r="24" spans="1:11" ht="14.25" thickTop="1" thickBot="1" x14ac:dyDescent="0.25">
      <c r="A24" s="2253" t="s">
        <v>2026</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96" zoomScaleNormal="96" workbookViewId="0">
      <selection activeCell="J14" sqref="J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132126</v>
      </c>
      <c r="D5" s="842">
        <v>5395</v>
      </c>
      <c r="E5" s="842"/>
      <c r="F5" s="1782">
        <f>(C5+D5)-E5</f>
        <v>137521</v>
      </c>
      <c r="G5" s="838"/>
      <c r="H5" s="843"/>
      <c r="I5" s="843"/>
      <c r="J5" s="843"/>
      <c r="K5" s="794"/>
      <c r="L5" s="1791">
        <f>F5-K5</f>
        <v>137521</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11982504</v>
      </c>
      <c r="D8" s="845">
        <v>6196170</v>
      </c>
      <c r="E8" s="845"/>
      <c r="F8" s="1782">
        <f>(C8+D8)-E8</f>
        <v>18178674</v>
      </c>
      <c r="G8" s="844">
        <v>50</v>
      </c>
      <c r="H8" s="766">
        <v>4334875</v>
      </c>
      <c r="I8" s="766">
        <v>357240</v>
      </c>
      <c r="J8" s="766"/>
      <c r="K8" s="1791">
        <f>(H8+I8)-J8</f>
        <v>4692115</v>
      </c>
      <c r="L8" s="1791">
        <f>F8-K8</f>
        <v>13486559</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233211</v>
      </c>
      <c r="D10" s="847">
        <v>30100</v>
      </c>
      <c r="E10" s="847">
        <v>150503</v>
      </c>
      <c r="F10" s="1786">
        <f>(C10+D10)-E10</f>
        <v>112808</v>
      </c>
      <c r="G10" s="844">
        <v>20</v>
      </c>
      <c r="H10" s="848">
        <v>177238</v>
      </c>
      <c r="I10" s="848">
        <v>5345</v>
      </c>
      <c r="J10" s="848">
        <v>150503</v>
      </c>
      <c r="K10" s="1791">
        <f>(H10+I10)-J10</f>
        <v>32080</v>
      </c>
      <c r="L10" s="1791">
        <f>F10-K10</f>
        <v>80728</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351046</v>
      </c>
      <c r="D12" s="845">
        <v>568190</v>
      </c>
      <c r="E12" s="845">
        <v>189416</v>
      </c>
      <c r="F12" s="1782">
        <f>(C12+D12)-E12</f>
        <v>729820</v>
      </c>
      <c r="G12" s="844">
        <v>10</v>
      </c>
      <c r="H12" s="766">
        <v>292530</v>
      </c>
      <c r="I12" s="766">
        <v>67270</v>
      </c>
      <c r="J12" s="766">
        <v>189416</v>
      </c>
      <c r="K12" s="1791">
        <f>(H12+I12)-J12</f>
        <v>170384</v>
      </c>
      <c r="L12" s="1791">
        <f>F12-K12</f>
        <v>559436</v>
      </c>
    </row>
    <row r="13" spans="1:14" ht="14.25" thickTop="1" thickBot="1" x14ac:dyDescent="0.25">
      <c r="A13" s="849" t="s">
        <v>1184</v>
      </c>
      <c r="B13" s="841">
        <v>252</v>
      </c>
      <c r="C13" s="845">
        <v>725023</v>
      </c>
      <c r="D13" s="845">
        <v>21059</v>
      </c>
      <c r="E13" s="845">
        <v>151978</v>
      </c>
      <c r="F13" s="1782">
        <f>(C13+D13)-E13</f>
        <v>594104</v>
      </c>
      <c r="G13" s="844">
        <v>5</v>
      </c>
      <c r="H13" s="766">
        <v>523164</v>
      </c>
      <c r="I13" s="766">
        <v>69411</v>
      </c>
      <c r="J13" s="766">
        <v>151978</v>
      </c>
      <c r="K13" s="1791">
        <f>(H13+I13)-J13</f>
        <v>440597</v>
      </c>
      <c r="L13" s="1791">
        <f>F13-K13</f>
        <v>153507</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6116535</v>
      </c>
      <c r="D15" s="845">
        <v>573215</v>
      </c>
      <c r="E15" s="845">
        <v>6689750</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19540445</v>
      </c>
      <c r="D16" s="1782">
        <f>SUM(D3,D5:D6,D8:D10,D12:D15)</f>
        <v>7394129</v>
      </c>
      <c r="E16" s="1782">
        <f>SUM(E3,E5:E6,E8:E10,E12:E15)</f>
        <v>7181647</v>
      </c>
      <c r="F16" s="1782">
        <f>SUM(F3,F5:F6,F8:F10,F12:F15)</f>
        <v>19752927</v>
      </c>
      <c r="G16" s="844"/>
      <c r="H16" s="1782">
        <f>SUM(H3,H6,H8:H10,H12:H14,)</f>
        <v>5327807</v>
      </c>
      <c r="I16" s="1782">
        <f>SUM(I3,I6,I8:I10,I12:I14,)</f>
        <v>499266</v>
      </c>
      <c r="J16" s="1782">
        <f>SUM(J3,J6,J8:J10,J12:J14,)</f>
        <v>491897</v>
      </c>
      <c r="K16" s="1782">
        <f>(H16+I16)-J16</f>
        <v>5335176</v>
      </c>
      <c r="L16" s="1782">
        <f>F16-K16</f>
        <v>14417751</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3049</v>
      </c>
      <c r="G17" s="838">
        <v>10</v>
      </c>
      <c r="H17" s="770"/>
      <c r="I17" s="1791">
        <f>F17/G17</f>
        <v>304.89999999999998</v>
      </c>
      <c r="J17" s="770"/>
      <c r="K17" s="796"/>
      <c r="L17" s="796"/>
    </row>
    <row r="18" spans="1:12" ht="14.25" thickTop="1" thickBot="1" x14ac:dyDescent="0.25">
      <c r="A18" s="1789" t="s">
        <v>706</v>
      </c>
      <c r="B18" s="1790"/>
      <c r="C18" s="772"/>
      <c r="D18" s="772"/>
      <c r="E18" s="772"/>
      <c r="F18" s="851"/>
      <c r="G18" s="852"/>
      <c r="H18" s="774"/>
      <c r="I18" s="1782">
        <f>SUM(I16,I17)</f>
        <v>499570.9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6" activePane="bottomLeft" state="frozen"/>
      <selection activeCell="A47" sqref="A47"/>
      <selection pane="bottomLeft" activeCell="F176" sqref="F17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5482502</v>
      </c>
      <c r="G8" s="866"/>
    </row>
    <row r="9" spans="1:7" x14ac:dyDescent="0.2">
      <c r="A9" s="870" t="s">
        <v>480</v>
      </c>
      <c r="B9" s="871" t="s">
        <v>1989</v>
      </c>
      <c r="C9" s="872"/>
      <c r="D9" s="870" t="s">
        <v>522</v>
      </c>
      <c r="E9" s="869"/>
      <c r="F9" s="1935">
        <f>'Expenditures 15-22'!K151</f>
        <v>532434</v>
      </c>
      <c r="G9" s="873"/>
    </row>
    <row r="10" spans="1:7" x14ac:dyDescent="0.2">
      <c r="A10" s="870" t="s">
        <v>520</v>
      </c>
      <c r="B10" s="871" t="s">
        <v>1990</v>
      </c>
      <c r="C10" s="872"/>
      <c r="D10" s="870" t="s">
        <v>522</v>
      </c>
      <c r="E10" s="869"/>
      <c r="F10" s="1935">
        <f>'Expenditures 15-22'!K174</f>
        <v>1080386</v>
      </c>
      <c r="G10" s="873"/>
    </row>
    <row r="11" spans="1:7" x14ac:dyDescent="0.2">
      <c r="A11" s="870" t="s">
        <v>481</v>
      </c>
      <c r="B11" s="871" t="s">
        <v>1991</v>
      </c>
      <c r="C11" s="872"/>
      <c r="D11" s="870" t="s">
        <v>522</v>
      </c>
      <c r="E11" s="869"/>
      <c r="F11" s="1935">
        <f>'Expenditures 15-22'!K210</f>
        <v>355731</v>
      </c>
      <c r="G11" s="873"/>
    </row>
    <row r="12" spans="1:7" x14ac:dyDescent="0.2">
      <c r="A12" s="870" t="s">
        <v>482</v>
      </c>
      <c r="B12" s="871" t="s">
        <v>1992</v>
      </c>
      <c r="C12" s="872"/>
      <c r="D12" s="870" t="s">
        <v>522</v>
      </c>
      <c r="E12" s="869"/>
      <c r="F12" s="1935">
        <f>'Expenditures 15-22'!K295</f>
        <v>219655</v>
      </c>
      <c r="G12" s="873"/>
    </row>
    <row r="13" spans="1:7" x14ac:dyDescent="0.2">
      <c r="A13" s="870" t="s">
        <v>108</v>
      </c>
      <c r="B13" s="871" t="s">
        <v>1993</v>
      </c>
      <c r="C13" s="872"/>
      <c r="D13" s="870" t="s">
        <v>522</v>
      </c>
      <c r="E13" s="869"/>
      <c r="F13" s="1935">
        <f>'Expenditures 15-22'!K342</f>
        <v>276549</v>
      </c>
      <c r="G13" s="874"/>
    </row>
    <row r="14" spans="1:7" ht="12" customHeight="1" thickBot="1" x14ac:dyDescent="0.25">
      <c r="A14" s="1792"/>
      <c r="B14" s="1793"/>
      <c r="C14" s="1794"/>
      <c r="D14" s="1795" t="s">
        <v>522</v>
      </c>
      <c r="E14" s="1796" t="s">
        <v>1015</v>
      </c>
      <c r="F14" s="1797">
        <f>SUM(F8:F13)</f>
        <v>7947257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408</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1309</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508414</v>
      </c>
      <c r="G53" s="866"/>
    </row>
    <row r="54" spans="1:7" x14ac:dyDescent="0.2">
      <c r="A54" s="870" t="s">
        <v>479</v>
      </c>
      <c r="B54" s="870" t="s">
        <v>1552</v>
      </c>
      <c r="C54" s="890" t="s">
        <v>1039</v>
      </c>
      <c r="D54" s="886" t="s">
        <v>1157</v>
      </c>
      <c r="E54" s="869"/>
      <c r="F54" s="1939">
        <f>'Expenditures 15-22'!G114</f>
        <v>21059</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78770</v>
      </c>
      <c r="G58" s="866"/>
    </row>
    <row r="59" spans="1:7" x14ac:dyDescent="0.2">
      <c r="A59" s="894" t="s">
        <v>480</v>
      </c>
      <c r="B59" s="857" t="s">
        <v>1996</v>
      </c>
      <c r="C59" s="895" t="s">
        <v>1039</v>
      </c>
      <c r="D59" s="857" t="s">
        <v>309</v>
      </c>
      <c r="F59" s="1942">
        <f>'Expenditures 15-22'!I151</f>
        <v>3049</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915000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30446</v>
      </c>
      <c r="G64" s="866"/>
    </row>
    <row r="65" spans="1:8" x14ac:dyDescent="0.2">
      <c r="A65" s="870" t="s">
        <v>481</v>
      </c>
      <c r="B65" s="870" t="s">
        <v>2002</v>
      </c>
      <c r="C65" s="887" t="s">
        <v>1039</v>
      </c>
      <c r="D65" s="886" t="s">
        <v>1157</v>
      </c>
      <c r="E65" s="869"/>
      <c r="F65" s="1939">
        <f>'Expenditures 15-22'!G210</f>
        <v>1235</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1559690</v>
      </c>
      <c r="G76" s="866"/>
    </row>
    <row r="77" spans="1:8" s="894" customFormat="1" ht="12" customHeight="1" thickTop="1" thickBot="1" x14ac:dyDescent="0.25">
      <c r="A77" s="1801"/>
      <c r="B77" s="1798"/>
      <c r="C77" s="1794"/>
      <c r="D77" s="1799" t="s">
        <v>2012</v>
      </c>
      <c r="E77" s="1796"/>
      <c r="F77" s="1802">
        <f>(F14-F76)</f>
        <v>6387567</v>
      </c>
      <c r="G77" s="870"/>
    </row>
    <row r="78" spans="1:8" s="894" customFormat="1" ht="12" customHeight="1" thickTop="1" x14ac:dyDescent="0.2">
      <c r="A78" s="1803"/>
      <c r="B78" s="1798"/>
      <c r="C78" s="1794"/>
      <c r="D78" s="1799" t="s">
        <v>2059</v>
      </c>
      <c r="E78" s="1796"/>
      <c r="F78" s="899">
        <v>765.59</v>
      </c>
      <c r="G78" s="900"/>
      <c r="H78" s="870"/>
    </row>
    <row r="79" spans="1:8" s="894" customFormat="1" ht="12" customHeight="1" thickBot="1" x14ac:dyDescent="0.25">
      <c r="A79" s="1804"/>
      <c r="B79" s="1798"/>
      <c r="C79" s="1794"/>
      <c r="D79" s="1799" t="s">
        <v>2013</v>
      </c>
      <c r="E79" s="1796" t="s">
        <v>1015</v>
      </c>
      <c r="F79" s="1805">
        <f>IF(F78&gt;0,F77/F78," Complete Line 78")</f>
        <v>8343.3260622526413</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638</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193890</v>
      </c>
      <c r="G94" s="913"/>
    </row>
    <row r="95" spans="1:7" x14ac:dyDescent="0.2">
      <c r="A95" s="909" t="s">
        <v>142</v>
      </c>
      <c r="B95" s="909" t="s">
        <v>177</v>
      </c>
      <c r="C95" s="911">
        <v>1700</v>
      </c>
      <c r="D95" s="919" t="str">
        <f>'Revenues 9-14'!A82</f>
        <v>Total District/School Activity Income</v>
      </c>
      <c r="E95" s="907"/>
      <c r="F95" s="1811">
        <f>SUM('Revenues 9-14'!C82,'Revenues 9-14'!D82)</f>
        <v>56744</v>
      </c>
      <c r="G95" s="913"/>
    </row>
    <row r="96" spans="1:7" x14ac:dyDescent="0.2">
      <c r="A96" s="909" t="s">
        <v>479</v>
      </c>
      <c r="B96" s="909" t="s">
        <v>178</v>
      </c>
      <c r="C96" s="911">
        <f>'Revenues 9-14'!B84</f>
        <v>1811</v>
      </c>
      <c r="D96" s="912" t="str">
        <f>'Revenues 9-14'!A84</f>
        <v>Rentals - Regular Textbooks</v>
      </c>
      <c r="E96" s="907"/>
      <c r="F96" s="1811">
        <f>'Revenues 9-14'!C84</f>
        <v>63318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52510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7000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7438</v>
      </c>
      <c r="G104" s="913"/>
    </row>
    <row r="105" spans="1:7" x14ac:dyDescent="0.2">
      <c r="A105" s="909" t="s">
        <v>524</v>
      </c>
      <c r="B105" s="909" t="s">
        <v>842</v>
      </c>
      <c r="C105" s="914">
        <v>3100</v>
      </c>
      <c r="D105" s="920" t="str">
        <f>'Revenues 9-14'!A131</f>
        <v>Total Special Education</v>
      </c>
      <c r="E105" s="907"/>
      <c r="F105" s="1811">
        <f>SUM('Revenues 9-14'!C131:D131,'Revenues 9-14'!F131)</f>
        <v>154359</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658</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199909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69334</v>
      </c>
      <c r="G129" s="931"/>
    </row>
    <row r="130" spans="1:7" x14ac:dyDescent="0.2">
      <c r="A130" s="928" t="s">
        <v>689</v>
      </c>
      <c r="B130" s="928" t="s">
        <v>804</v>
      </c>
      <c r="C130" s="933">
        <v>4300</v>
      </c>
      <c r="D130" s="934" t="str">
        <f>'Revenues 9-14'!A211</f>
        <v>Total Title I</v>
      </c>
      <c r="E130" s="907"/>
      <c r="F130" s="1811">
        <f>SUM('Revenues 9-14'!C211,'Revenues 9-14'!D211,'Revenues 9-14'!F211,'Revenues 9-14'!G211)</f>
        <v>70322</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165935</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26663</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4643</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9803</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v>235722</v>
      </c>
      <c r="G175" s="928"/>
    </row>
    <row r="176" spans="1:7" x14ac:dyDescent="0.2">
      <c r="A176" s="1944" t="s">
        <v>685</v>
      </c>
      <c r="B176" s="1945" t="s">
        <v>2058</v>
      </c>
      <c r="C176" s="1946">
        <v>3300</v>
      </c>
      <c r="D176" s="1947" t="s">
        <v>2062</v>
      </c>
      <c r="E176" s="907"/>
      <c r="F176" s="1931">
        <v>0</v>
      </c>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1318886</v>
      </c>
    </row>
    <row r="179" spans="1:7" ht="12" customHeight="1" x14ac:dyDescent="0.2">
      <c r="A179" s="1792"/>
      <c r="B179" s="1806"/>
      <c r="C179" s="1807"/>
      <c r="D179" s="1808" t="s">
        <v>2015</v>
      </c>
      <c r="E179" s="1809"/>
      <c r="F179" s="1811">
        <f>'PCTC-OEPP 27-28'!F77-F178</f>
        <v>5068681</v>
      </c>
    </row>
    <row r="180" spans="1:7" ht="12" customHeight="1" x14ac:dyDescent="0.2">
      <c r="A180" s="1792"/>
      <c r="B180" s="1806"/>
      <c r="C180" s="1807"/>
      <c r="D180" s="1808" t="s">
        <v>1924</v>
      </c>
      <c r="E180" s="1809"/>
      <c r="F180" s="1811">
        <f>'Cap Outlay Deprec 26'!I18</f>
        <v>499570.9</v>
      </c>
    </row>
    <row r="181" spans="1:7" ht="12" customHeight="1" x14ac:dyDescent="0.2">
      <c r="A181" s="1792"/>
      <c r="B181" s="1806"/>
      <c r="C181" s="1807"/>
      <c r="D181" s="1808" t="s">
        <v>2016</v>
      </c>
      <c r="E181" s="1809"/>
      <c r="F181" s="1811">
        <f>F179+F180</f>
        <v>5568251.9000000004</v>
      </c>
    </row>
    <row r="182" spans="1:7" ht="12" customHeight="1" x14ac:dyDescent="0.2">
      <c r="A182" s="1792"/>
      <c r="B182" s="1812"/>
      <c r="C182" s="1807"/>
      <c r="D182" s="1808" t="str">
        <f>D78</f>
        <v>9 Month ADA from District Average Daily Attendance/Prior General State Aid Inquiry 2017-2018</v>
      </c>
      <c r="E182" s="1809"/>
      <c r="F182" s="1813">
        <f>'PCTC-OEPP 27-28'!F78</f>
        <v>765.59</v>
      </c>
      <c r="G182" s="931"/>
    </row>
    <row r="183" spans="1:7" ht="12" customHeight="1" thickBot="1" x14ac:dyDescent="0.25">
      <c r="A183" s="1792"/>
      <c r="B183" s="1812"/>
      <c r="C183" s="1807"/>
      <c r="D183" s="1808" t="s">
        <v>2017</v>
      </c>
      <c r="E183" s="1809" t="s">
        <v>1626</v>
      </c>
      <c r="F183" s="1814">
        <f>F181/F182</f>
        <v>7273.1512950796123</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20" sqref="B20"/>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t="30" x14ac:dyDescent="0.25">
      <c r="A17" s="1956" t="s">
        <v>2107</v>
      </c>
      <c r="B17" s="1957" t="s">
        <v>2108</v>
      </c>
      <c r="C17" s="1958" t="s">
        <v>2109</v>
      </c>
      <c r="D17" s="1867">
        <v>28111</v>
      </c>
      <c r="E17" s="1562">
        <f t="shared" ref="E17:E141" si="1">IF(D17&lt;=25000,D17,IF(D17&gt;25000,25000,0))</f>
        <v>25000</v>
      </c>
      <c r="F17" s="1815">
        <f t="shared" si="0"/>
        <v>25000</v>
      </c>
      <c r="G17" s="1816">
        <f>IF(F17=0,0,D17-F17)</f>
        <v>3111</v>
      </c>
      <c r="H17" s="1669"/>
    </row>
    <row r="18" spans="1:8" x14ac:dyDescent="0.25">
      <c r="A18" s="1956" t="s">
        <v>2110</v>
      </c>
      <c r="B18" s="2505" t="s">
        <v>2115</v>
      </c>
      <c r="C18" s="1958" t="s">
        <v>2111</v>
      </c>
      <c r="D18" s="1867">
        <v>34952</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9952</v>
      </c>
    </row>
    <row r="19" spans="1:8" x14ac:dyDescent="0.25">
      <c r="A19" s="1956" t="s">
        <v>2112</v>
      </c>
      <c r="B19" s="2505" t="s">
        <v>2115</v>
      </c>
      <c r="C19" s="1958" t="s">
        <v>2113</v>
      </c>
      <c r="D19" s="1867">
        <v>58299</v>
      </c>
      <c r="E19" s="1562">
        <f t="shared" si="2"/>
        <v>25000</v>
      </c>
      <c r="F19" s="1815">
        <f t="shared" si="3"/>
        <v>25000</v>
      </c>
      <c r="G19" s="1816">
        <f t="shared" si="4"/>
        <v>33299</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956"/>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121362</v>
      </c>
      <c r="E141" s="1563">
        <f t="shared" si="1"/>
        <v>25000</v>
      </c>
      <c r="F141" s="1817">
        <f>SUM(F17:F140)</f>
        <v>75000</v>
      </c>
      <c r="G141" s="1818">
        <f>SUM(G17:G140)</f>
        <v>46362</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2" colorId="8" zoomScale="110" zoomScaleNormal="110" workbookViewId="0">
      <selection activeCell="E15" sqref="E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2076</v>
      </c>
      <c r="B10" s="972"/>
      <c r="C10" s="977"/>
      <c r="D10" s="973"/>
      <c r="E10" s="974">
        <v>0</v>
      </c>
      <c r="F10" s="975"/>
      <c r="G10" s="976"/>
      <c r="H10" s="162"/>
      <c r="I10" s="162"/>
    </row>
    <row r="11" spans="1:9" s="669" customFormat="1" ht="22.5" customHeight="1" x14ac:dyDescent="0.2">
      <c r="A11" s="2305" t="s">
        <v>1945</v>
      </c>
      <c r="B11" s="2306"/>
      <c r="C11" s="2306"/>
      <c r="D11" s="2307"/>
      <c r="E11" s="978">
        <v>39010</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3941156</v>
      </c>
      <c r="F19" s="1822"/>
      <c r="G19" s="1824">
        <f>'Expenditures 15-22'!K33-SUM('Expenditures 15-22'!G33,'Expenditures 15-22'!I33)+'Expenditures 15-22'!D229</f>
        <v>3941156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13924</v>
      </c>
      <c r="F21" s="1825"/>
      <c r="G21" s="1828">
        <f>'Expenditures 15-22'!K42-SUM('Expenditures 15-22'!G42,'Expenditures 15-22'!I42)+'Expenditures 15-22'!K120-SUM('Expenditures 15-22'!G120,'Expenditures 15-22'!I120)+'Expenditures 15-22'!K180-SUM('Expenditures 15-22'!G180,'Expenditures 15-22'!I180)+'Expenditures 15-22'!D238</f>
        <v>13924</v>
      </c>
      <c r="H21" s="988"/>
      <c r="I21" s="162"/>
    </row>
    <row r="22" spans="1:9" s="669" customFormat="1" ht="12" customHeight="1" x14ac:dyDescent="0.2">
      <c r="A22" s="995" t="s">
        <v>585</v>
      </c>
      <c r="B22" s="996"/>
      <c r="C22" s="994">
        <v>2200</v>
      </c>
      <c r="D22" s="1825"/>
      <c r="E22" s="1827">
        <f>'Expenditures 15-22'!K47-SUM('Expenditures 15-22'!G47,'Expenditures 15-22'!I47)+'Expenditures 15-22'!D243</f>
        <v>149448</v>
      </c>
      <c r="F22" s="1825"/>
      <c r="G22" s="1828">
        <f>'Expenditures 15-22'!K47-SUM('Expenditures 15-22'!G47,'Expenditures 15-22'!I47)+'Expenditures 15-22'!D243</f>
        <v>149448</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491350</v>
      </c>
      <c r="F23" s="1825"/>
      <c r="G23" s="1827">
        <f>'Expenditures 15-22'!K53-SUM('Expenditures 15-22'!G53,'Expenditures 15-22'!I53)+'Expenditures 15-22'!D257+'Expenditures 15-22'!K330-SUM('Expenditures 15-22'!G330,'Expenditures 15-22'!I330)</f>
        <v>491350</v>
      </c>
      <c r="H23" s="988"/>
      <c r="I23" s="162"/>
    </row>
    <row r="24" spans="1:9" s="669" customFormat="1" ht="12" customHeight="1" x14ac:dyDescent="0.2">
      <c r="A24" s="995" t="s">
        <v>587</v>
      </c>
      <c r="B24" s="996"/>
      <c r="C24" s="994">
        <v>2400</v>
      </c>
      <c r="D24" s="1825"/>
      <c r="E24" s="1827">
        <f>'Expenditures 15-22'!K57-SUM('Expenditures 15-22'!G57,'Expenditures 15-22'!I57)+'Expenditures 15-22'!D261</f>
        <v>305361</v>
      </c>
      <c r="F24" s="1825"/>
      <c r="G24" s="1828">
        <f>'Expenditures 15-22'!K57-SUM('Expenditures 15-22'!G57,'Expenditures 15-22'!I57)+'Expenditures 15-22'!D261</f>
        <v>305361</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61984</v>
      </c>
      <c r="E27" s="1827">
        <f>E8</f>
        <v>0</v>
      </c>
      <c r="F27" s="1827">
        <f>'Expenditures 15-22'!K60-SUM('Expenditures 15-22'!G60,'Expenditures 15-22'!I60)+'Expenditures 15-22'!D264-E8</f>
        <v>61984</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487385</v>
      </c>
      <c r="F28" s="1829">
        <f>'Expenditures 15-22'!K61-SUM('Expenditures 15-22'!G61,'Expenditures 15-22'!I61)+'Expenditures 15-22'!K124-SUM('Expenditures 15-22'!G124,'Expenditures 15-22'!I124)+'Expenditures 15-22'!D266-E9</f>
        <v>487385</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343355</v>
      </c>
      <c r="F29" s="1825"/>
      <c r="G29" s="1828">
        <f>'Expenditures 15-22'!K62-SUM('Expenditures 15-22'!G62,'Expenditures 15-22'!I62)+'Expenditures 15-22'!K125-SUM('Expenditures 15-22'!G125,'Expenditures 15-22'!I125)+'Expenditures 15-22'!K182-SUM('Expenditures 15-22'!G182,'Expenditures 15-22'!I182)+'Expenditures 15-22'!D267</f>
        <v>343355</v>
      </c>
      <c r="H29" s="986"/>
    </row>
    <row r="30" spans="1:9" ht="12" customHeight="1" x14ac:dyDescent="0.2">
      <c r="A30" s="995" t="s">
        <v>102</v>
      </c>
      <c r="B30" s="998"/>
      <c r="C30" s="994">
        <v>2560</v>
      </c>
      <c r="D30" s="1825"/>
      <c r="E30" s="1827">
        <f>'Expenditures 15-22'!K63-SUM('Expenditures 15-22'!G63,'Expenditures 15-22'!I63)+'Expenditures 15-22'!D268-E10</f>
        <v>310262</v>
      </c>
      <c r="F30" s="1825"/>
      <c r="G30" s="1827">
        <f>'Expenditures 15-22'!K63-SUM('Expenditures 15-22'!G63,'Expenditures 15-22'!I63)+'Expenditures 15-22'!D268-E10</f>
        <v>310262</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3824</v>
      </c>
      <c r="F35" s="1825"/>
      <c r="G35" s="1827">
        <f>'Expenditures 15-22'!K69-SUM('Expenditures 15-22'!G69,'Expenditures 15-22'!I69)+'Expenditures 15-22'!D274</f>
        <v>3824</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98307</v>
      </c>
      <c r="E37" s="1827">
        <f>E14</f>
        <v>0</v>
      </c>
      <c r="F37" s="1827">
        <f>'Expenditures 15-22'!K71-SUM('Expenditures 15-22'!G71,'Expenditures 15-22'!I71)+'Expenditures 15-22'!D276-E14</f>
        <v>98307</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-46362</v>
      </c>
      <c r="F40" s="1825"/>
      <c r="G40" s="1829">
        <f>-'Contracts Paid in CY 29'!G141</f>
        <v>-46362</v>
      </c>
    </row>
    <row r="41" spans="1:7" ht="12" customHeight="1" x14ac:dyDescent="0.2">
      <c r="A41" s="999" t="s">
        <v>158</v>
      </c>
      <c r="B41" s="1000"/>
      <c r="C41" s="1001"/>
      <c r="D41" s="1829">
        <f>SUM(D19:D39)</f>
        <v>160291</v>
      </c>
      <c r="E41" s="1829">
        <f>SUM(E19:E40)</f>
        <v>5999703</v>
      </c>
      <c r="F41" s="1829">
        <f>SUM(F19:F39)</f>
        <v>647676</v>
      </c>
      <c r="G41" s="1829">
        <f>SUM(G19:G40)</f>
        <v>5512318</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160291</v>
      </c>
      <c r="F43" s="1830" t="s">
        <v>495</v>
      </c>
      <c r="G43" s="1831">
        <f>F41</f>
        <v>647676</v>
      </c>
    </row>
    <row r="44" spans="1:7" ht="12" customHeight="1" x14ac:dyDescent="0.2">
      <c r="A44" s="988"/>
      <c r="B44" s="162"/>
      <c r="C44" s="1002"/>
      <c r="D44" s="1830" t="s">
        <v>494</v>
      </c>
      <c r="E44" s="1831">
        <f>E41</f>
        <v>5999703</v>
      </c>
      <c r="F44" s="1830" t="s">
        <v>494</v>
      </c>
      <c r="G44" s="1831">
        <f>G41</f>
        <v>5512318</v>
      </c>
    </row>
    <row r="45" spans="1:7" ht="12" customHeight="1" x14ac:dyDescent="0.2">
      <c r="A45" s="988"/>
      <c r="B45" s="162"/>
      <c r="C45" s="162"/>
      <c r="D45" s="1832" t="s">
        <v>1063</v>
      </c>
      <c r="E45" s="1833">
        <f>(E43/E44)</f>
        <v>2.6716489132878746E-2</v>
      </c>
      <c r="F45" s="1832" t="s">
        <v>1063</v>
      </c>
      <c r="G45" s="1833">
        <f>(G43/G44)</f>
        <v>0.11749612413507349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32" sqref="F32"/>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Germantown Hills School District No. 69</v>
      </c>
      <c r="D6" s="2315"/>
      <c r="E6" s="2315"/>
      <c r="F6" s="1877"/>
    </row>
    <row r="7" spans="1:10" ht="11.25" customHeight="1" thickBot="1" x14ac:dyDescent="0.3">
      <c r="A7" s="1875"/>
      <c r="B7" s="1876"/>
      <c r="C7" s="2316">
        <f>COVER!A13</f>
        <v>53102069002</v>
      </c>
      <c r="D7" s="2316"/>
      <c r="E7" s="2316"/>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t="s">
        <v>2099</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c r="F31" s="1892" t="s">
        <v>2106</v>
      </c>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55000000000000004" right="0.2" top="0.93" bottom="0.37" header="0.17" footer="0.17"/>
  <pageSetup scale="82" orientation="landscape" r:id="rId1"/>
  <headerFooter>
    <oddHeader>&amp;L&amp;9Page 31&amp;R&amp;9Page 31</oddHead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G18" sqref="G1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Germantown Hills School District No. 69</v>
      </c>
      <c r="J6" s="2336"/>
      <c r="Q6" s="1686"/>
    </row>
    <row r="7" spans="1:17" x14ac:dyDescent="0.2">
      <c r="A7" s="2337" t="s">
        <v>924</v>
      </c>
      <c r="B7" s="2338"/>
      <c r="C7" s="2338"/>
      <c r="D7" s="2338"/>
      <c r="E7" s="2339"/>
      <c r="F7" s="1018"/>
      <c r="G7" s="1010"/>
      <c r="H7" s="1017" t="s">
        <v>390</v>
      </c>
      <c r="I7" s="2340">
        <f>COVER!A13</f>
        <v>53102069002</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158829</v>
      </c>
      <c r="F12" s="1040"/>
      <c r="G12" s="1834">
        <f t="shared" ref="G12:G18" si="0">SUM(E12:F12)</f>
        <v>158829</v>
      </c>
      <c r="H12" s="1041">
        <v>162750</v>
      </c>
      <c r="I12" s="1040"/>
      <c r="J12" s="1834">
        <f t="shared" ref="J12:J18" si="1">SUM(H12:I12)</f>
        <v>162750</v>
      </c>
    </row>
    <row r="13" spans="1:17" ht="15" customHeight="1" x14ac:dyDescent="0.2">
      <c r="A13" s="1036">
        <v>2</v>
      </c>
      <c r="B13" s="1037" t="s">
        <v>44</v>
      </c>
      <c r="C13" s="1038"/>
      <c r="D13" s="1039">
        <v>2330</v>
      </c>
      <c r="E13" s="1834">
        <f>'Expenditures 15-22'!K51</f>
        <v>0</v>
      </c>
      <c r="F13" s="1040"/>
      <c r="G13" s="1834">
        <f t="shared" si="0"/>
        <v>0</v>
      </c>
      <c r="H13" s="1041">
        <v>0</v>
      </c>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v>0</v>
      </c>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v>0</v>
      </c>
      <c r="I15" s="1041">
        <v>0</v>
      </c>
      <c r="J15" s="1834">
        <f t="shared" si="1"/>
        <v>0</v>
      </c>
    </row>
    <row r="16" spans="1:17" ht="15" customHeight="1" x14ac:dyDescent="0.2">
      <c r="A16" s="1036">
        <v>5</v>
      </c>
      <c r="B16" s="1037" t="s">
        <v>103</v>
      </c>
      <c r="C16" s="1038"/>
      <c r="D16" s="1039">
        <v>2570</v>
      </c>
      <c r="E16" s="1834">
        <f>'Expenditures 15-22'!K64</f>
        <v>0</v>
      </c>
      <c r="F16" s="1040"/>
      <c r="G16" s="1834">
        <f t="shared" si="0"/>
        <v>0</v>
      </c>
      <c r="H16" s="1041">
        <v>0</v>
      </c>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v>0</v>
      </c>
      <c r="I17" s="1040"/>
      <c r="J17" s="1834">
        <f t="shared" si="1"/>
        <v>0</v>
      </c>
    </row>
    <row r="18" spans="1:10" ht="22.5" customHeight="1" x14ac:dyDescent="0.2">
      <c r="A18" s="1043">
        <v>7</v>
      </c>
      <c r="B18" s="2344" t="s">
        <v>7</v>
      </c>
      <c r="C18" s="2345"/>
      <c r="D18" s="2346"/>
      <c r="E18" s="1044">
        <v>0</v>
      </c>
      <c r="F18" s="1044">
        <v>0</v>
      </c>
      <c r="G18" s="1835">
        <f t="shared" si="0"/>
        <v>0</v>
      </c>
      <c r="H18" s="1041">
        <v>0</v>
      </c>
      <c r="I18" s="1041">
        <v>0</v>
      </c>
      <c r="J18" s="1834">
        <f t="shared" si="1"/>
        <v>0</v>
      </c>
    </row>
    <row r="19" spans="1:10" ht="12.75" customHeight="1" thickBot="1" x14ac:dyDescent="0.25">
      <c r="A19" s="1036">
        <v>8</v>
      </c>
      <c r="B19" s="1045" t="s">
        <v>1223</v>
      </c>
      <c r="D19" s="1046"/>
      <c r="E19" s="1836">
        <f t="shared" ref="E19:J19" si="2">SUM(E12:E17)-E18</f>
        <v>158829</v>
      </c>
      <c r="F19" s="1836">
        <f t="shared" si="2"/>
        <v>0</v>
      </c>
      <c r="G19" s="1836">
        <f t="shared" si="2"/>
        <v>158829</v>
      </c>
      <c r="H19" s="1836">
        <f t="shared" si="2"/>
        <v>162750</v>
      </c>
      <c r="I19" s="1836">
        <f t="shared" si="2"/>
        <v>0</v>
      </c>
      <c r="J19" s="1836">
        <f t="shared" si="2"/>
        <v>162750</v>
      </c>
    </row>
    <row r="20" spans="1:10" ht="13.5" thickTop="1" x14ac:dyDescent="0.2">
      <c r="A20" s="1036">
        <v>9</v>
      </c>
      <c r="B20" s="2347" t="s">
        <v>1703</v>
      </c>
      <c r="C20" s="2347"/>
      <c r="D20" s="2348"/>
      <c r="E20" s="1047"/>
      <c r="F20" s="1047"/>
      <c r="G20" s="1047"/>
      <c r="H20" s="1047"/>
      <c r="I20" s="1047"/>
      <c r="J20" s="1837">
        <f>IF(AND(G19&gt;0,J19&gt;0),(((J19-G19)/G19)),"Enter Budget Data")</f>
        <v>2.4686927450276713E-2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1" sqref="B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2100</v>
      </c>
    </row>
    <row r="6" spans="1:2" x14ac:dyDescent="0.2">
      <c r="A6" s="1069">
        <v>2</v>
      </c>
      <c r="B6" s="329" t="s">
        <v>2101</v>
      </c>
    </row>
    <row r="7" spans="1:2" x14ac:dyDescent="0.2">
      <c r="A7" s="1069">
        <v>3</v>
      </c>
      <c r="B7" s="329" t="s">
        <v>2102</v>
      </c>
    </row>
    <row r="8" spans="1:2" x14ac:dyDescent="0.2">
      <c r="A8" s="1069">
        <v>4</v>
      </c>
      <c r="B8" s="329" t="s">
        <v>2103</v>
      </c>
    </row>
    <row r="9" spans="1:2" x14ac:dyDescent="0.2">
      <c r="A9" s="1069"/>
      <c r="B9" s="329" t="s">
        <v>2104</v>
      </c>
    </row>
    <row r="10" spans="1:2" x14ac:dyDescent="0.2">
      <c r="A10" s="1069">
        <v>5</v>
      </c>
      <c r="B10" s="329" t="s">
        <v>2105</v>
      </c>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Germantown Hills School District No. 69</v>
      </c>
    </row>
    <row r="65" spans="2:2" x14ac:dyDescent="0.2">
      <c r="B65" s="1071">
        <f>COVER!A13</f>
        <v>53102069002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1" sqref="B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5795395</v>
      </c>
      <c r="C8" s="1838">
        <f>'Acct Summary 7-8'!D8</f>
        <v>668712</v>
      </c>
      <c r="D8" s="1838">
        <f>'Acct Summary 7-8'!F8</f>
        <v>408977</v>
      </c>
      <c r="E8" s="1838">
        <f>'Acct Summary 7-8'!I8</f>
        <v>10650</v>
      </c>
      <c r="F8" s="1838">
        <f>SUM(B8:E8)</f>
        <v>6883734</v>
      </c>
    </row>
    <row r="9" spans="1:8" s="1080" customFormat="1" ht="14.25" customHeight="1" thickBot="1" x14ac:dyDescent="0.25">
      <c r="A9" s="1079" t="s">
        <v>1436</v>
      </c>
      <c r="B9" s="1839">
        <f>'Acct Summary 7-8'!C17</f>
        <v>5482502</v>
      </c>
      <c r="C9" s="1839">
        <f>'Acct Summary 7-8'!D17</f>
        <v>532434</v>
      </c>
      <c r="D9" s="1839">
        <f>'Acct Summary 7-8'!F17</f>
        <v>355731</v>
      </c>
      <c r="E9" s="1838"/>
      <c r="F9" s="1838">
        <f>SUM(B9:E9)</f>
        <v>6370667</v>
      </c>
    </row>
    <row r="10" spans="1:8" s="1080" customFormat="1" ht="14.25" thickTop="1" thickBot="1" x14ac:dyDescent="0.25">
      <c r="A10" s="1081" t="s">
        <v>1437</v>
      </c>
      <c r="B10" s="1840">
        <f>(B8-B9)</f>
        <v>312893</v>
      </c>
      <c r="C10" s="1840">
        <f>(C8-C9)</f>
        <v>136278</v>
      </c>
      <c r="D10" s="1840">
        <f>(D8-D9)</f>
        <v>53246</v>
      </c>
      <c r="E10" s="1839">
        <f>(E8-E9)</f>
        <v>10650</v>
      </c>
      <c r="F10" s="1841">
        <f>SUM(F8-F9)</f>
        <v>513067</v>
      </c>
    </row>
    <row r="11" spans="1:8" s="1080" customFormat="1" ht="14.25" thickTop="1" thickBot="1" x14ac:dyDescent="0.25">
      <c r="A11" s="1082" t="s">
        <v>1785</v>
      </c>
      <c r="B11" s="1842">
        <f>'Acct Summary 7-8'!C81</f>
        <v>2984673</v>
      </c>
      <c r="C11" s="1842">
        <f>'Acct Summary 7-8'!D81</f>
        <v>2218189</v>
      </c>
      <c r="D11" s="1842">
        <f>'Acct Summary 7-8'!F81</f>
        <v>518499</v>
      </c>
      <c r="E11" s="1842">
        <f>'Acct Summary 7-8'!I81</f>
        <v>1007867</v>
      </c>
      <c r="F11" s="1843">
        <f>SUM(B11:E11)</f>
        <v>6729228</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election activeCell="A69" sqref="A69:XFD6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ERROR!</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53102069002</v>
      </c>
    </row>
    <row r="3" spans="1:2" x14ac:dyDescent="0.2">
      <c r="A3" t="s">
        <v>1013</v>
      </c>
      <c r="B3" s="138" t="str">
        <f>COVER!A15</f>
        <v>Woodford</v>
      </c>
    </row>
    <row r="4" spans="1:2" x14ac:dyDescent="0.2">
      <c r="A4" t="s">
        <v>1064</v>
      </c>
      <c r="B4" s="138" t="str">
        <f>COVER!A17</f>
        <v>Germantown Hills School District No. 69</v>
      </c>
    </row>
    <row r="5" spans="1:2" x14ac:dyDescent="0.2">
      <c r="A5" t="s">
        <v>728</v>
      </c>
      <c r="B5" s="138" t="str">
        <f>COVER!A38</f>
        <v>Dan Mair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066-004769</v>
      </c>
    </row>
    <row r="16" spans="1:2" x14ac:dyDescent="0.2">
      <c r="A16" t="s">
        <v>442</v>
      </c>
      <c r="B16" s="138" t="str">
        <f>COVER!T13</f>
        <v>Meister,  Hilton, Chitwood &amp; Associates,  inc.</v>
      </c>
    </row>
    <row r="17" spans="1:2" x14ac:dyDescent="0.2">
      <c r="A17" t="s">
        <v>939</v>
      </c>
      <c r="B17" s="138" t="str">
        <f>COVER!T15</f>
        <v>Ron Hilton</v>
      </c>
    </row>
    <row r="18" spans="1:2" x14ac:dyDescent="0.2">
      <c r="A18" t="s">
        <v>1212</v>
      </c>
      <c r="B18" s="138" t="str">
        <f>COVER!T17</f>
        <v>809 W. Detweiller Drive, Suite 804</v>
      </c>
    </row>
    <row r="19" spans="1:2" x14ac:dyDescent="0.2">
      <c r="A19" t="s">
        <v>941</v>
      </c>
      <c r="B19" s="138" t="str">
        <f>COVER!T25</f>
        <v>ron.hilton1@comcast.net</v>
      </c>
    </row>
    <row r="20" spans="1:2" x14ac:dyDescent="0.2">
      <c r="A20" t="s">
        <v>942</v>
      </c>
      <c r="B20" s="138" t="str">
        <f>COVER!T19</f>
        <v>Peoria</v>
      </c>
    </row>
    <row r="21" spans="1:2" x14ac:dyDescent="0.2">
      <c r="A21" t="s">
        <v>500</v>
      </c>
      <c r="B21" s="138" t="str">
        <f>COVER!X19</f>
        <v>IL</v>
      </c>
    </row>
    <row r="22" spans="1:2" x14ac:dyDescent="0.2">
      <c r="A22" t="s">
        <v>943</v>
      </c>
      <c r="B22" s="138">
        <f>COVER!Z19</f>
        <v>61615</v>
      </c>
    </row>
    <row r="23" spans="1:2" x14ac:dyDescent="0.2">
      <c r="A23" t="s">
        <v>1214</v>
      </c>
      <c r="B23" s="138" t="str">
        <f>COVER!T21</f>
        <v>(309) 683-0441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2984673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2984673</v>
      </c>
      <c r="D92" s="2" t="str">
        <f t="shared" si="0"/>
        <v>Error?</v>
      </c>
    </row>
    <row r="93" spans="1:4" x14ac:dyDescent="0.2">
      <c r="A93" s="5">
        <v>32</v>
      </c>
      <c r="B93" s="138">
        <f>'Assets-Liab 5-6'!C41</f>
        <v>2984673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2218189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2218189</v>
      </c>
      <c r="D123" s="2" t="str">
        <f t="shared" si="0"/>
        <v>Error?</v>
      </c>
    </row>
    <row r="124" spans="1:4" x14ac:dyDescent="0.2">
      <c r="A124" s="5">
        <v>63</v>
      </c>
      <c r="B124" s="138">
        <f>'Assets-Liab 5-6'!D41</f>
        <v>2218189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30295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30295</v>
      </c>
      <c r="D140" s="2" t="str">
        <f t="shared" si="1"/>
        <v>Error?</v>
      </c>
    </row>
    <row r="141" spans="1:4" x14ac:dyDescent="0.2">
      <c r="A141" s="5">
        <v>80</v>
      </c>
      <c r="B141" s="138">
        <f>'Assets-Liab 5-6'!E41</f>
        <v>30295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518499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518499</v>
      </c>
      <c r="D170" s="2" t="str">
        <f t="shared" si="1"/>
        <v>Error?</v>
      </c>
    </row>
    <row r="171" spans="1:4" x14ac:dyDescent="0.2">
      <c r="A171" s="5">
        <v>110</v>
      </c>
      <c r="B171" s="138">
        <f>'Assets-Liab 5-6'!F41</f>
        <v>518499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165197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81511</v>
      </c>
      <c r="D189" s="2" t="str">
        <f t="shared" si="1"/>
        <v>Error?</v>
      </c>
    </row>
    <row r="190" spans="1:4" x14ac:dyDescent="0.2">
      <c r="A190" s="5">
        <v>129</v>
      </c>
      <c r="B190" s="138">
        <f>'Assets-Liab 5-6'!G41</f>
        <v>165197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137521</v>
      </c>
      <c r="D273" s="2" t="str">
        <f t="shared" si="3"/>
        <v>Error?</v>
      </c>
    </row>
    <row r="274" spans="1:4" x14ac:dyDescent="0.2">
      <c r="A274" s="5">
        <v>213</v>
      </c>
      <c r="B274" s="138">
        <f>'Assets-Liab 5-6'!M17</f>
        <v>18178674</v>
      </c>
      <c r="D274" s="2" t="str">
        <f t="shared" si="3"/>
        <v>Error?</v>
      </c>
    </row>
    <row r="275" spans="1:4" x14ac:dyDescent="0.2">
      <c r="A275" s="5">
        <v>214</v>
      </c>
      <c r="B275" s="138">
        <f>'Assets-Liab 5-6'!M18</f>
        <v>112808</v>
      </c>
      <c r="D275" s="2" t="str">
        <f t="shared" si="3"/>
        <v>Error?</v>
      </c>
    </row>
    <row r="276" spans="1:4" x14ac:dyDescent="0.2">
      <c r="A276" s="5">
        <v>215</v>
      </c>
      <c r="B276" s="138">
        <f>'Assets-Liab 5-6'!M19</f>
        <v>1323924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19752927</v>
      </c>
      <c r="C279" s="2" t="s">
        <v>594</v>
      </c>
      <c r="D279" s="2" t="str">
        <f t="shared" si="3"/>
        <v>Error?</v>
      </c>
    </row>
    <row r="280" spans="1:4" x14ac:dyDescent="0.2">
      <c r="A280" s="5">
        <v>219</v>
      </c>
      <c r="B280" s="138">
        <f>'Assets-Liab 5-6'!M40</f>
        <v>19752927</v>
      </c>
      <c r="D280" s="2" t="str">
        <f t="shared" si="3"/>
        <v>Error?</v>
      </c>
    </row>
    <row r="281" spans="1:4" x14ac:dyDescent="0.2">
      <c r="A281" s="5">
        <v>220</v>
      </c>
      <c r="B281" s="138">
        <f>'Assets-Liab 5-6'!M41</f>
        <v>19752927</v>
      </c>
      <c r="C281" s="2" t="s">
        <v>594</v>
      </c>
      <c r="D281" s="2" t="str">
        <f t="shared" si="3"/>
        <v>Error?</v>
      </c>
    </row>
    <row r="282" spans="1:4" x14ac:dyDescent="0.2">
      <c r="A282" s="5">
        <v>221</v>
      </c>
      <c r="B282" s="138">
        <f>'Assets-Liab 5-6'!N21</f>
        <v>30295</v>
      </c>
      <c r="D282" s="2" t="str">
        <f t="shared" si="3"/>
        <v>Error?</v>
      </c>
    </row>
    <row r="283" spans="1:4" x14ac:dyDescent="0.2">
      <c r="A283" s="5">
        <v>222</v>
      </c>
      <c r="B283" s="138">
        <f>'Assets-Liab 5-6'!N22</f>
        <v>7070594</v>
      </c>
      <c r="D283" s="2" t="str">
        <f t="shared" si="3"/>
        <v>Error?</v>
      </c>
    </row>
    <row r="284" spans="1:4" x14ac:dyDescent="0.2">
      <c r="A284" s="5">
        <v>223</v>
      </c>
      <c r="B284" s="138">
        <f>'Assets-Liab 5-6'!N23</f>
        <v>7100889</v>
      </c>
      <c r="C284" s="2" t="s">
        <v>594</v>
      </c>
      <c r="D284" s="2" t="str">
        <f t="shared" si="3"/>
        <v>Error?</v>
      </c>
    </row>
    <row r="285" spans="1:4" x14ac:dyDescent="0.2">
      <c r="A285" s="5">
        <v>224</v>
      </c>
      <c r="B285" s="138">
        <f>'Assets-Liab 5-6'!N36</f>
        <v>7100889</v>
      </c>
      <c r="D285" s="2" t="str">
        <f t="shared" si="3"/>
        <v>Error?</v>
      </c>
    </row>
    <row r="286" spans="1:4" x14ac:dyDescent="0.2">
      <c r="A286" s="10">
        <v>225</v>
      </c>
      <c r="D286" s="2" t="str">
        <f t="shared" si="3"/>
        <v>OK</v>
      </c>
    </row>
    <row r="287" spans="1:4" x14ac:dyDescent="0.2">
      <c r="A287" s="5">
        <v>226</v>
      </c>
      <c r="B287" s="138">
        <f>'Assets-Liab 5-6'!N37</f>
        <v>7100889</v>
      </c>
      <c r="C287" s="2" t="s">
        <v>594</v>
      </c>
      <c r="D287" s="2" t="str">
        <f t="shared" si="3"/>
        <v>Error?</v>
      </c>
    </row>
    <row r="288" spans="1:4" x14ac:dyDescent="0.2">
      <c r="A288" s="5">
        <v>227</v>
      </c>
      <c r="B288" s="138">
        <f>'Assets-Liab 5-6'!N41</f>
        <v>7100889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2259130</v>
      </c>
      <c r="D705" s="2" t="str">
        <f t="shared" si="10"/>
        <v>Error?</v>
      </c>
    </row>
    <row r="706" spans="1:4" x14ac:dyDescent="0.2">
      <c r="A706" s="5">
        <v>645</v>
      </c>
      <c r="B706" s="138">
        <f>'Expenditures 15-22'!C16</f>
        <v>1200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78652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2961649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7332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7332</v>
      </c>
      <c r="C727" s="2" t="s">
        <v>594</v>
      </c>
      <c r="D727" s="2" t="str">
        <f t="shared" si="10"/>
        <v>Error?</v>
      </c>
    </row>
    <row r="728" spans="1:4" x14ac:dyDescent="0.2">
      <c r="A728" s="5">
        <v>667</v>
      </c>
      <c r="B728" s="138">
        <f>'Expenditures 15-22'!C44</f>
        <v>48032</v>
      </c>
      <c r="D728" s="2" t="str">
        <f t="shared" si="10"/>
        <v>Error?</v>
      </c>
    </row>
    <row r="729" spans="1:4" x14ac:dyDescent="0.2">
      <c r="A729" s="5">
        <v>668</v>
      </c>
      <c r="B729" s="138">
        <f>'Expenditures 15-22'!C45</f>
        <v>59006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107038</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129750</v>
      </c>
      <c r="D733" s="2" t="str">
        <f t="shared" si="10"/>
        <v>Error?</v>
      </c>
    </row>
    <row r="734" spans="1:4" x14ac:dyDescent="0.2">
      <c r="A734" s="5">
        <v>673</v>
      </c>
      <c r="B734" s="138">
        <f>'Expenditures 15-22'!C53</f>
        <v>129750</v>
      </c>
      <c r="C734" s="2" t="s">
        <v>594</v>
      </c>
      <c r="D734" s="2" t="str">
        <f t="shared" si="10"/>
        <v>Error?</v>
      </c>
    </row>
    <row r="735" spans="1:4" x14ac:dyDescent="0.2">
      <c r="A735" s="5">
        <v>674</v>
      </c>
      <c r="B735" s="138">
        <f>'Expenditures 15-22'!C55</f>
        <v>204914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204914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46758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113338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160096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3379</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70594</v>
      </c>
      <c r="D751" s="2" t="str">
        <f t="shared" si="10"/>
        <v>Error?</v>
      </c>
    </row>
    <row r="752" spans="1:4" x14ac:dyDescent="0.2">
      <c r="A752" s="10">
        <v>691</v>
      </c>
      <c r="D752" s="2" t="str">
        <f t="shared" si="10"/>
        <v>OK</v>
      </c>
    </row>
    <row r="753" spans="1:4" x14ac:dyDescent="0.2">
      <c r="A753" s="5">
        <v>692</v>
      </c>
      <c r="B753" s="138">
        <f>'Expenditures 15-22'!C72</f>
        <v>73973</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683103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3644752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491376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9080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641349</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995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995</v>
      </c>
      <c r="C785" s="2" t="s">
        <v>594</v>
      </c>
      <c r="D785" s="2" t="str">
        <f t="shared" si="11"/>
        <v>Error?</v>
      </c>
    </row>
    <row r="786" spans="1:4" x14ac:dyDescent="0.2">
      <c r="A786" s="5">
        <v>725</v>
      </c>
      <c r="B786" s="138">
        <f>'Expenditures 15-22'!D44</f>
        <v>13675</v>
      </c>
      <c r="D786" s="2" t="str">
        <f t="shared" si="11"/>
        <v>Error?</v>
      </c>
    </row>
    <row r="787" spans="1:4" x14ac:dyDescent="0.2">
      <c r="A787" s="5">
        <v>726</v>
      </c>
      <c r="B787" s="138">
        <f>'Expenditures 15-22'!D45</f>
        <v>13081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26756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25100</v>
      </c>
      <c r="D791" s="2" t="str">
        <f t="shared" si="11"/>
        <v>Error?</v>
      </c>
    </row>
    <row r="792" spans="1:4" x14ac:dyDescent="0.2">
      <c r="A792" s="5">
        <v>731</v>
      </c>
      <c r="B792" s="138">
        <f>'Expenditures 15-22'!D53</f>
        <v>25100</v>
      </c>
      <c r="C792" s="2" t="s">
        <v>594</v>
      </c>
      <c r="D792" s="2" t="str">
        <f t="shared" si="11"/>
        <v>Error?</v>
      </c>
    </row>
    <row r="793" spans="1:4" x14ac:dyDescent="0.2">
      <c r="A793" s="5">
        <v>732</v>
      </c>
      <c r="B793" s="138">
        <f>'Expenditures 15-22'!D55</f>
        <v>51371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51371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16611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16754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396</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14778</v>
      </c>
      <c r="D809" s="2" t="str">
        <f t="shared" si="11"/>
        <v>Error?</v>
      </c>
    </row>
    <row r="810" spans="1:4" x14ac:dyDescent="0.2">
      <c r="A810" s="10">
        <v>749</v>
      </c>
      <c r="D810" s="2" t="str">
        <f t="shared" si="11"/>
        <v>OK</v>
      </c>
    </row>
    <row r="811" spans="1:4" x14ac:dyDescent="0.2">
      <c r="A811" s="5">
        <v>750</v>
      </c>
      <c r="B811" s="138">
        <f>'Expenditures 15-22'!D72</f>
        <v>15174</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136150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777499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16896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9712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55447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1325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1325</v>
      </c>
      <c r="C843" s="2" t="s">
        <v>594</v>
      </c>
      <c r="D843" s="2" t="str">
        <f t="shared" si="12"/>
        <v>Error?</v>
      </c>
    </row>
    <row r="844" spans="1:4" x14ac:dyDescent="0.2">
      <c r="A844" s="5">
        <v>783</v>
      </c>
      <c r="B844" s="138">
        <f>'Expenditures 15-22'!E44</f>
        <v>1000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1000</v>
      </c>
      <c r="C847" s="2" t="s">
        <v>594</v>
      </c>
      <c r="D847" s="2" t="str">
        <f t="shared" si="12"/>
        <v>Error?</v>
      </c>
    </row>
    <row r="848" spans="1:4" x14ac:dyDescent="0.2">
      <c r="A848" s="5">
        <v>787</v>
      </c>
      <c r="B848" s="138">
        <f>'Expenditures 15-22'!E49</f>
        <v>23855</v>
      </c>
      <c r="D848" s="2" t="str">
        <f t="shared" si="12"/>
        <v>Error?</v>
      </c>
    </row>
    <row r="849" spans="1:4" x14ac:dyDescent="0.2">
      <c r="A849" s="5">
        <v>788</v>
      </c>
      <c r="B849" s="138">
        <f>'Expenditures 15-22'!E50</f>
        <v>1951</v>
      </c>
      <c r="D849" s="2" t="str">
        <f t="shared" si="12"/>
        <v>Error?</v>
      </c>
    </row>
    <row r="850" spans="1:4" x14ac:dyDescent="0.2">
      <c r="A850" s="5">
        <v>789</v>
      </c>
      <c r="B850" s="138">
        <f>'Expenditures 15-22'!E53</f>
        <v>25806</v>
      </c>
      <c r="C850" s="2" t="s">
        <v>594</v>
      </c>
      <c r="D850" s="2" t="str">
        <f t="shared" si="12"/>
        <v>Error?</v>
      </c>
    </row>
    <row r="851" spans="1:4" x14ac:dyDescent="0.2">
      <c r="A851" s="5">
        <v>790</v>
      </c>
      <c r="B851" s="138">
        <f>'Expenditures 15-22'!E55</f>
        <v>26584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26584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3603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3603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58318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383406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101133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30813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178977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602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2383</v>
      </c>
      <c r="D900" s="2" t="str">
        <f t="shared" si="13"/>
        <v>Error?</v>
      </c>
    </row>
    <row r="901" spans="1:4" x14ac:dyDescent="0.2">
      <c r="A901" s="5">
        <v>840</v>
      </c>
      <c r="B901" s="138">
        <f>'Expenditures 15-22'!F42</f>
        <v>2985</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9760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9760</v>
      </c>
      <c r="C905" s="2" t="s">
        <v>594</v>
      </c>
      <c r="D905" s="2" t="str">
        <f t="shared" si="13"/>
        <v>Error?</v>
      </c>
    </row>
    <row r="906" spans="1:4" x14ac:dyDescent="0.2">
      <c r="A906" s="5">
        <v>845</v>
      </c>
      <c r="B906" s="138">
        <f>'Expenditures 15-22'!F49</f>
        <v>2701</v>
      </c>
      <c r="D906" s="2" t="str">
        <f t="shared" si="13"/>
        <v>Error?</v>
      </c>
    </row>
    <row r="907" spans="1:4" x14ac:dyDescent="0.2">
      <c r="A907" s="5">
        <v>846</v>
      </c>
      <c r="B907" s="138">
        <f>'Expenditures 15-22'!F50</f>
        <v>429</v>
      </c>
      <c r="D907" s="2" t="str">
        <f t="shared" si="13"/>
        <v>Error?</v>
      </c>
    </row>
    <row r="908" spans="1:4" x14ac:dyDescent="0.2">
      <c r="A908" s="5">
        <v>847</v>
      </c>
      <c r="B908" s="138">
        <f>'Expenditures 15-22'!F53</f>
        <v>3130</v>
      </c>
      <c r="C908" s="2" t="s">
        <v>594</v>
      </c>
      <c r="D908" s="2" t="str">
        <f t="shared" si="13"/>
        <v>Error?</v>
      </c>
    </row>
    <row r="909" spans="1:4" x14ac:dyDescent="0.2">
      <c r="A909" s="5">
        <v>848</v>
      </c>
      <c r="B909" s="138">
        <f>'Expenditures 15-22'!F55</f>
        <v>2050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2050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5961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160835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166796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184721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363698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21059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21059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21059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25195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6867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32062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18400</v>
      </c>
      <c r="D1022" s="2" t="str">
        <f t="shared" si="14"/>
        <v>Error?</v>
      </c>
    </row>
    <row r="1023" spans="1:4" x14ac:dyDescent="0.2">
      <c r="A1023" s="5">
        <v>962</v>
      </c>
      <c r="B1023" s="138">
        <f>'Expenditures 15-22'!H50</f>
        <v>1599</v>
      </c>
      <c r="D1023" s="2" t="str">
        <f t="shared" ref="D1023:D1086" si="15">IF(ISBLANK(B1023),"OK",IF(A1023-B1023=0,"OK","Error?"))</f>
        <v>Error?</v>
      </c>
    </row>
    <row r="1024" spans="1:4" x14ac:dyDescent="0.2">
      <c r="A1024" s="5">
        <v>963</v>
      </c>
      <c r="B1024" s="138">
        <f>'Expenditures 15-22'!H53</f>
        <v>19999</v>
      </c>
      <c r="C1024" s="2" t="s">
        <v>594</v>
      </c>
      <c r="D1024" s="2" t="str">
        <f t="shared" si="15"/>
        <v>Error?</v>
      </c>
    </row>
    <row r="1025" spans="1:4" x14ac:dyDescent="0.2">
      <c r="A1025" s="5">
        <v>964</v>
      </c>
      <c r="B1025" s="138">
        <f>'Expenditures 15-22'!H55</f>
        <v>784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784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200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270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470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21253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238773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292088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2914789</v>
      </c>
      <c r="C1093" s="2" t="s">
        <v>594</v>
      </c>
      <c r="D1093" s="2" t="str">
        <f t="shared" si="16"/>
        <v>Error?</v>
      </c>
    </row>
    <row r="1094" spans="1:4" x14ac:dyDescent="0.2">
      <c r="A1094" s="5">
        <v>1033</v>
      </c>
      <c r="B1094" s="138">
        <f>'Expenditures 15-22'!K16</f>
        <v>1200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135124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3890543</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10254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2383</v>
      </c>
      <c r="C1114" s="2" t="s">
        <v>594</v>
      </c>
      <c r="D1114" s="2" t="str">
        <f t="shared" si="16"/>
        <v>Error?</v>
      </c>
    </row>
    <row r="1115" spans="1:4" x14ac:dyDescent="0.2">
      <c r="A1115" s="5">
        <v>1054</v>
      </c>
      <c r="B1115" s="138">
        <f>'Expenditures 15-22'!K42</f>
        <v>12637</v>
      </c>
      <c r="C1115" s="2" t="s">
        <v>594</v>
      </c>
      <c r="D1115" s="2" t="str">
        <f t="shared" si="16"/>
        <v>Error?</v>
      </c>
    </row>
    <row r="1116" spans="1:4" x14ac:dyDescent="0.2">
      <c r="A1116" s="5">
        <v>1055</v>
      </c>
      <c r="B1116" s="138">
        <f>'Expenditures 15-22'!K44</f>
        <v>62707</v>
      </c>
      <c r="C1116" s="2" t="s">
        <v>594</v>
      </c>
      <c r="D1116" s="2" t="str">
        <f t="shared" si="16"/>
        <v>Error?</v>
      </c>
    </row>
    <row r="1117" spans="1:4" x14ac:dyDescent="0.2">
      <c r="A1117" s="5">
        <v>1056</v>
      </c>
      <c r="B1117" s="138">
        <f>'Expenditures 15-22'!K45</f>
        <v>81847</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144554</v>
      </c>
      <c r="C1119" s="2" t="s">
        <v>594</v>
      </c>
      <c r="D1119" s="2" t="str">
        <f t="shared" si="16"/>
        <v>Error?</v>
      </c>
    </row>
    <row r="1120" spans="1:4" x14ac:dyDescent="0.2">
      <c r="A1120" s="5">
        <v>1059</v>
      </c>
      <c r="B1120" s="138">
        <f>'Expenditures 15-22'!K49</f>
        <v>44956</v>
      </c>
      <c r="C1120" s="2" t="s">
        <v>594</v>
      </c>
      <c r="D1120" s="2" t="str">
        <f t="shared" si="16"/>
        <v>Error?</v>
      </c>
    </row>
    <row r="1121" spans="1:4" x14ac:dyDescent="0.2">
      <c r="A1121" s="5">
        <v>1060</v>
      </c>
      <c r="B1121" s="138">
        <f>'Expenditures 15-22'!K50</f>
        <v>158829</v>
      </c>
      <c r="C1121" s="2" t="s">
        <v>594</v>
      </c>
      <c r="D1121" s="2" t="str">
        <f t="shared" si="16"/>
        <v>Error?</v>
      </c>
    </row>
    <row r="1122" spans="1:4" x14ac:dyDescent="0.2">
      <c r="A1122" s="5">
        <v>1061</v>
      </c>
      <c r="B1122" s="138">
        <f>'Expenditures 15-22'!K53</f>
        <v>203785</v>
      </c>
      <c r="C1122" s="2" t="s">
        <v>594</v>
      </c>
      <c r="D1122" s="2" t="str">
        <f t="shared" si="16"/>
        <v>Error?</v>
      </c>
    </row>
    <row r="1123" spans="1:4" x14ac:dyDescent="0.2">
      <c r="A1123" s="5">
        <v>1062</v>
      </c>
      <c r="B1123" s="138">
        <f>'Expenditures 15-22'!K55</f>
        <v>285703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285703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53062</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294657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347719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3775</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85372</v>
      </c>
      <c r="C1139" s="2" t="s">
        <v>594</v>
      </c>
      <c r="D1139" s="2" t="str">
        <f t="shared" si="16"/>
        <v>Error?</v>
      </c>
    </row>
    <row r="1140" spans="1:4" x14ac:dyDescent="0.2">
      <c r="A1140" s="10">
        <v>1079</v>
      </c>
      <c r="D1140" s="2" t="str">
        <f t="shared" si="16"/>
        <v>OK</v>
      </c>
    </row>
    <row r="1141" spans="1:4" x14ac:dyDescent="0.2">
      <c r="A1141" s="5">
        <v>1080</v>
      </c>
      <c r="B1141" s="138">
        <f>'Expenditures 15-22'!K72</f>
        <v>89147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1083545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508414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5482502</v>
      </c>
      <c r="C1152" s="2" t="s">
        <v>594</v>
      </c>
      <c r="D1152" s="2" t="str">
        <f t="shared" si="17"/>
        <v>Error?</v>
      </c>
    </row>
    <row r="1153" spans="1:4" x14ac:dyDescent="0.2">
      <c r="A1153" s="5">
        <v>1092</v>
      </c>
      <c r="B1153" s="138">
        <f>'Expenditures 15-22'!K115</f>
        <v>312893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182719</v>
      </c>
      <c r="D1221" s="2" t="str">
        <f t="shared" si="18"/>
        <v>Error?</v>
      </c>
    </row>
    <row r="1222" spans="1:4" x14ac:dyDescent="0.2">
      <c r="A1222" s="10">
        <v>1161</v>
      </c>
      <c r="D1222" s="2" t="str">
        <f t="shared" si="18"/>
        <v>OK</v>
      </c>
    </row>
    <row r="1223" spans="1:4" x14ac:dyDescent="0.2">
      <c r="A1223" s="5">
        <v>1162</v>
      </c>
      <c r="B1223" s="138">
        <f>'Expenditures 15-22'!C127</f>
        <v>182719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182719</v>
      </c>
      <c r="C1225" s="2" t="s">
        <v>594</v>
      </c>
      <c r="D1225" s="2" t="str">
        <f t="shared" si="18"/>
        <v>Error?</v>
      </c>
    </row>
    <row r="1226" spans="1:4" x14ac:dyDescent="0.2">
      <c r="A1226" s="5">
        <v>1165</v>
      </c>
      <c r="B1226" s="138">
        <f>'Expenditures 15-22'!C151</f>
        <v>182719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24635</v>
      </c>
      <c r="D1229" s="2" t="str">
        <f t="shared" si="18"/>
        <v>Error?</v>
      </c>
    </row>
    <row r="1230" spans="1:4" x14ac:dyDescent="0.2">
      <c r="A1230" s="10">
        <v>1169</v>
      </c>
      <c r="D1230" s="2" t="str">
        <f t="shared" si="18"/>
        <v>OK</v>
      </c>
    </row>
    <row r="1231" spans="1:4" x14ac:dyDescent="0.2">
      <c r="A1231" s="5">
        <v>1170</v>
      </c>
      <c r="B1231" s="138">
        <f>'Expenditures 15-22'!D127</f>
        <v>24635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24635</v>
      </c>
      <c r="C1233" s="2" t="s">
        <v>594</v>
      </c>
      <c r="D1233" s="2" t="str">
        <f t="shared" si="18"/>
        <v>Error?</v>
      </c>
    </row>
    <row r="1234" spans="1:4" x14ac:dyDescent="0.2">
      <c r="A1234" s="5">
        <v>1173</v>
      </c>
      <c r="B1234" s="138">
        <f>'Expenditures 15-22'!D151</f>
        <v>24635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928</v>
      </c>
      <c r="D1236" s="2" t="str">
        <f t="shared" si="18"/>
        <v>Error?</v>
      </c>
    </row>
    <row r="1237" spans="1:4" x14ac:dyDescent="0.2">
      <c r="A1237" s="5">
        <v>1176</v>
      </c>
      <c r="B1237" s="138">
        <f>'Expenditures 15-22'!E124</f>
        <v>78732</v>
      </c>
      <c r="D1237" s="2" t="str">
        <f t="shared" si="18"/>
        <v>Error?</v>
      </c>
    </row>
    <row r="1238" spans="1:4" x14ac:dyDescent="0.2">
      <c r="A1238" s="10">
        <v>1177</v>
      </c>
      <c r="D1238" s="2" t="str">
        <f t="shared" si="18"/>
        <v>OK</v>
      </c>
    </row>
    <row r="1239" spans="1:4" x14ac:dyDescent="0.2">
      <c r="A1239" s="5">
        <v>1178</v>
      </c>
      <c r="B1239" s="138">
        <f>'Expenditures 15-22'!E127</f>
        <v>79660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79660</v>
      </c>
      <c r="C1241" s="2" t="s">
        <v>594</v>
      </c>
      <c r="D1241" s="2" t="str">
        <f t="shared" si="18"/>
        <v>Error?</v>
      </c>
    </row>
    <row r="1242" spans="1:4" x14ac:dyDescent="0.2">
      <c r="A1242" s="5">
        <v>1181</v>
      </c>
      <c r="B1242" s="138">
        <f>'Expenditures 15-22'!E151</f>
        <v>79660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13518</v>
      </c>
      <c r="D1244" s="2" t="str">
        <f t="shared" si="18"/>
        <v>Error?</v>
      </c>
    </row>
    <row r="1245" spans="1:4" x14ac:dyDescent="0.2">
      <c r="A1245" s="5">
        <v>1184</v>
      </c>
      <c r="B1245" s="138">
        <f>'Expenditures 15-22'!F124</f>
        <v>150083</v>
      </c>
      <c r="D1245" s="2" t="str">
        <f t="shared" si="18"/>
        <v>Error?</v>
      </c>
    </row>
    <row r="1246" spans="1:4" x14ac:dyDescent="0.2">
      <c r="A1246" s="10">
        <v>1185</v>
      </c>
      <c r="D1246" s="2" t="str">
        <f t="shared" si="18"/>
        <v>OK</v>
      </c>
    </row>
    <row r="1247" spans="1:4" x14ac:dyDescent="0.2">
      <c r="A1247" s="5">
        <v>1186</v>
      </c>
      <c r="B1247" s="138">
        <f>'Expenditures 15-22'!F127</f>
        <v>163601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163601</v>
      </c>
      <c r="C1249" s="2" t="s">
        <v>594</v>
      </c>
      <c r="D1249" s="2" t="str">
        <f t="shared" si="18"/>
        <v>Error?</v>
      </c>
    </row>
    <row r="1250" spans="1:4" x14ac:dyDescent="0.2">
      <c r="A1250" s="5">
        <v>1189</v>
      </c>
      <c r="B1250" s="138">
        <f>'Expenditures 15-22'!F151</f>
        <v>163601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43990</v>
      </c>
      <c r="D1252" s="2" t="str">
        <f t="shared" si="18"/>
        <v>Error?</v>
      </c>
    </row>
    <row r="1253" spans="1:4" x14ac:dyDescent="0.2">
      <c r="A1253" s="5">
        <v>1192</v>
      </c>
      <c r="B1253" s="138">
        <f>'Expenditures 15-22'!G124</f>
        <v>34780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78770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78770</v>
      </c>
      <c r="C1258" s="2" t="s">
        <v>594</v>
      </c>
      <c r="D1258" s="2" t="str">
        <f t="shared" si="18"/>
        <v>Error?</v>
      </c>
    </row>
    <row r="1259" spans="1:4" x14ac:dyDescent="0.2">
      <c r="A1259" s="5">
        <v>1198</v>
      </c>
      <c r="B1259" s="138">
        <f>'Expenditures 15-22'!G151</f>
        <v>78770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58436</v>
      </c>
      <c r="C1275" s="2" t="s">
        <v>594</v>
      </c>
      <c r="D1275" s="2" t="str">
        <f t="shared" si="18"/>
        <v>Error?</v>
      </c>
    </row>
    <row r="1276" spans="1:4" x14ac:dyDescent="0.2">
      <c r="A1276" s="5">
        <v>1215</v>
      </c>
      <c r="B1276" s="138">
        <f>'Expenditures 15-22'!K124</f>
        <v>473998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532434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532434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532434</v>
      </c>
      <c r="C1288" s="2" t="s">
        <v>594</v>
      </c>
      <c r="D1288" s="2" t="str">
        <f t="shared" si="19"/>
        <v>Error?</v>
      </c>
    </row>
    <row r="1289" spans="1:4" x14ac:dyDescent="0.2">
      <c r="A1289" s="5">
        <v>1228</v>
      </c>
      <c r="B1289" s="138">
        <f>'Expenditures 15-22'!K152</f>
        <v>136278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165386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915000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1080386</v>
      </c>
      <c r="C1317" s="2" t="s">
        <v>594</v>
      </c>
      <c r="D1317" s="2" t="str">
        <f t="shared" si="19"/>
        <v>Error?</v>
      </c>
    </row>
    <row r="1318" spans="1:4" x14ac:dyDescent="0.2">
      <c r="A1318" s="5">
        <v>1257</v>
      </c>
      <c r="B1318" s="138">
        <f>'Expenditures 15-22'!H174</f>
        <v>1080386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165386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915000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1080386</v>
      </c>
      <c r="C1331" s="2" t="s">
        <v>594</v>
      </c>
      <c r="D1331" s="2" t="str">
        <f t="shared" si="19"/>
        <v>Error?</v>
      </c>
    </row>
    <row r="1332" spans="1:4" x14ac:dyDescent="0.2">
      <c r="A1332" s="5">
        <v>1271</v>
      </c>
      <c r="B1332" s="138">
        <f>'Expenditures 15-22'!K174</f>
        <v>1080386</v>
      </c>
      <c r="C1332" s="2" t="s">
        <v>594</v>
      </c>
      <c r="D1332" s="2" t="str">
        <f t="shared" si="19"/>
        <v>Error?</v>
      </c>
    </row>
    <row r="1333" spans="1:4" x14ac:dyDescent="0.2">
      <c r="A1333" s="5">
        <v>1272</v>
      </c>
      <c r="B1333" s="138">
        <f>'Expenditures 15-22'!K175</f>
        <v>755</v>
      </c>
      <c r="C1333" s="2" t="s">
        <v>594</v>
      </c>
      <c r="D1333" s="2" t="str">
        <f t="shared" si="19"/>
        <v>Error?</v>
      </c>
    </row>
    <row r="1334" spans="1:4" x14ac:dyDescent="0.2">
      <c r="A1334" s="10">
        <v>1273</v>
      </c>
      <c r="D1334" s="2" t="str">
        <f t="shared" si="19"/>
        <v>OK</v>
      </c>
    </row>
    <row r="1335" spans="1:4" x14ac:dyDescent="0.2">
      <c r="A1335" s="5">
        <v>1274</v>
      </c>
      <c r="B1335" s="138">
        <f>'Expenditures 15-22'!C182</f>
        <v>196850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196850</v>
      </c>
      <c r="C1339" s="2" t="s">
        <v>594</v>
      </c>
      <c r="D1339" s="2" t="str">
        <f t="shared" si="19"/>
        <v>Error?</v>
      </c>
    </row>
    <row r="1340" spans="1:4" x14ac:dyDescent="0.2">
      <c r="A1340" s="5">
        <v>1279</v>
      </c>
      <c r="B1340" s="138">
        <f>'Expenditures 15-22'!C210</f>
        <v>196850</v>
      </c>
      <c r="C1340" s="2" t="s">
        <v>594</v>
      </c>
      <c r="D1340" s="2" t="str">
        <f t="shared" si="19"/>
        <v>Error?</v>
      </c>
    </row>
    <row r="1341" spans="1:4" x14ac:dyDescent="0.2">
      <c r="A1341" s="5">
        <v>1280</v>
      </c>
      <c r="B1341" s="138">
        <f>'Expenditures 15-22'!D182</f>
        <v>15776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15776</v>
      </c>
      <c r="C1345" s="2" t="s">
        <v>594</v>
      </c>
      <c r="D1345" s="2" t="str">
        <f t="shared" si="20"/>
        <v>Error?</v>
      </c>
    </row>
    <row r="1346" spans="1:4" x14ac:dyDescent="0.2">
      <c r="A1346" s="5">
        <v>1285</v>
      </c>
      <c r="B1346" s="138">
        <f>'Expenditures 15-22'!D210</f>
        <v>15776</v>
      </c>
      <c r="C1346" s="2" t="s">
        <v>594</v>
      </c>
      <c r="D1346" s="2" t="str">
        <f t="shared" si="20"/>
        <v>Error?</v>
      </c>
    </row>
    <row r="1347" spans="1:4" x14ac:dyDescent="0.2">
      <c r="A1347" s="5">
        <v>1286</v>
      </c>
      <c r="B1347" s="138">
        <f>'Expenditures 15-22'!E182</f>
        <v>26908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26908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26908</v>
      </c>
      <c r="C1353" s="2" t="s">
        <v>594</v>
      </c>
      <c r="D1353" s="2" t="str">
        <f t="shared" si="20"/>
        <v>Error?</v>
      </c>
    </row>
    <row r="1354" spans="1:4" x14ac:dyDescent="0.2">
      <c r="A1354" s="5">
        <v>1293</v>
      </c>
      <c r="B1354" s="138">
        <f>'Expenditures 15-22'!F182</f>
        <v>81420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81420</v>
      </c>
      <c r="C1358" s="2" t="s">
        <v>594</v>
      </c>
      <c r="D1358" s="2" t="str">
        <f t="shared" si="20"/>
        <v>Error?</v>
      </c>
    </row>
    <row r="1359" spans="1:4" x14ac:dyDescent="0.2">
      <c r="A1359" s="5">
        <v>1298</v>
      </c>
      <c r="B1359" s="138">
        <f>'Expenditures 15-22'!F210</f>
        <v>81420</v>
      </c>
      <c r="C1359" s="2" t="s">
        <v>594</v>
      </c>
      <c r="D1359" s="2" t="str">
        <f t="shared" si="20"/>
        <v>Error?</v>
      </c>
    </row>
    <row r="1360" spans="1:4" x14ac:dyDescent="0.2">
      <c r="A1360" s="5">
        <v>1299</v>
      </c>
      <c r="B1360" s="138">
        <f>'Expenditures 15-22'!G182</f>
        <v>1235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1235</v>
      </c>
      <c r="C1364" s="2" t="s">
        <v>594</v>
      </c>
      <c r="D1364" s="2" t="str">
        <f t="shared" si="20"/>
        <v>Error?</v>
      </c>
    </row>
    <row r="1365" spans="1:4" x14ac:dyDescent="0.2">
      <c r="A1365" s="5">
        <v>1304</v>
      </c>
      <c r="B1365" s="138">
        <f>'Expenditures 15-22'!G210</f>
        <v>1235</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33542</v>
      </c>
      <c r="C1375" s="2" t="s">
        <v>594</v>
      </c>
      <c r="D1375" s="2" t="str">
        <f t="shared" si="20"/>
        <v>Error?</v>
      </c>
    </row>
    <row r="1376" spans="1:4" x14ac:dyDescent="0.2">
      <c r="A1376" s="5">
        <v>1315</v>
      </c>
      <c r="B1376" s="138">
        <f>'Expenditures 15-22'!H210</f>
        <v>33542</v>
      </c>
      <c r="C1376" s="2" t="s">
        <v>594</v>
      </c>
      <c r="D1376" s="2" t="str">
        <f t="shared" si="20"/>
        <v>Error?</v>
      </c>
    </row>
    <row r="1377" spans="1:4" x14ac:dyDescent="0.2">
      <c r="A1377" s="5">
        <v>1316</v>
      </c>
      <c r="B1377" s="138">
        <f>'Expenditures 15-22'!K182</f>
        <v>322189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322189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33542</v>
      </c>
      <c r="C1387" s="2" t="s">
        <v>594</v>
      </c>
      <c r="D1387" s="2" t="str">
        <f t="shared" si="20"/>
        <v>Error?</v>
      </c>
    </row>
    <row r="1388" spans="1:4" x14ac:dyDescent="0.2">
      <c r="A1388" s="5">
        <v>1327</v>
      </c>
      <c r="B1388" s="138">
        <f>'Expenditures 15-22'!K210</f>
        <v>355731</v>
      </c>
      <c r="C1388" s="2" t="s">
        <v>594</v>
      </c>
      <c r="D1388" s="2" t="str">
        <f t="shared" si="20"/>
        <v>Error?</v>
      </c>
    </row>
    <row r="1389" spans="1:4" x14ac:dyDescent="0.2">
      <c r="A1389" s="5">
        <v>1328</v>
      </c>
      <c r="B1389" s="138">
        <f>'Expenditures 15-22'!K211</f>
        <v>53246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2381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71672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1287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1287</v>
      </c>
      <c r="C1417" s="2" t="s">
        <v>594</v>
      </c>
      <c r="D1417" s="2" t="str">
        <f t="shared" si="21"/>
        <v>Error?</v>
      </c>
    </row>
    <row r="1418" spans="1:4" x14ac:dyDescent="0.2">
      <c r="A1418" s="5">
        <v>1357</v>
      </c>
      <c r="B1418" s="138">
        <f>'Expenditures 15-22'!D240</f>
        <v>671</v>
      </c>
      <c r="D1418" s="2" t="str">
        <f t="shared" si="21"/>
        <v>Error?</v>
      </c>
    </row>
    <row r="1419" spans="1:4" x14ac:dyDescent="0.2">
      <c r="A1419" s="5">
        <v>1358</v>
      </c>
      <c r="B1419" s="138">
        <f>'Expenditures 15-22'!D241</f>
        <v>4223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4894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11016</v>
      </c>
      <c r="D1423" s="2" t="str">
        <f t="shared" si="21"/>
        <v>Error?</v>
      </c>
    </row>
    <row r="1424" spans="1:4" x14ac:dyDescent="0.2">
      <c r="A1424" s="5">
        <v>1363</v>
      </c>
      <c r="B1424" s="138">
        <f>'Expenditures 15-22'!D257</f>
        <v>11016</v>
      </c>
      <c r="C1424" s="2" t="s">
        <v>594</v>
      </c>
      <c r="D1424" s="2" t="str">
        <f t="shared" si="21"/>
        <v>Error?</v>
      </c>
    </row>
    <row r="1425" spans="1:4" x14ac:dyDescent="0.2">
      <c r="A1425" s="5">
        <v>1364</v>
      </c>
      <c r="B1425" s="138">
        <f>'Expenditures 15-22'!D259</f>
        <v>19658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19658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8922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51216</v>
      </c>
      <c r="D1431" s="2" t="str">
        <f t="shared" si="21"/>
        <v>Error?</v>
      </c>
    </row>
    <row r="1432" spans="1:4" x14ac:dyDescent="0.2">
      <c r="A1432" s="5">
        <v>1371</v>
      </c>
      <c r="B1432" s="138">
        <f>'Expenditures 15-22'!D267</f>
        <v>22401</v>
      </c>
      <c r="D1432" s="2" t="str">
        <f t="shared" si="21"/>
        <v>Error?</v>
      </c>
    </row>
    <row r="1433" spans="1:4" x14ac:dyDescent="0.2">
      <c r="A1433" s="5">
        <v>1372</v>
      </c>
      <c r="B1433" s="138">
        <f>'Expenditures 15-22'!D268</f>
        <v>15605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98144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49</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12935</v>
      </c>
      <c r="D1442" s="2" t="str">
        <f t="shared" si="21"/>
        <v>Error?</v>
      </c>
    </row>
    <row r="1443" spans="1:4" x14ac:dyDescent="0.2">
      <c r="A1443" s="10">
        <v>1382</v>
      </c>
      <c r="D1443" s="2" t="str">
        <f t="shared" si="21"/>
        <v>OK</v>
      </c>
    </row>
    <row r="1444" spans="1:4" x14ac:dyDescent="0.2">
      <c r="A1444" s="5">
        <v>1383</v>
      </c>
      <c r="B1444" s="138">
        <f>'Expenditures 15-22'!D277</f>
        <v>12984</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147983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219655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2381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71672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1287</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1287</v>
      </c>
      <c r="C1481" s="2" t="s">
        <v>594</v>
      </c>
      <c r="D1481" s="2" t="str">
        <f t="shared" si="22"/>
        <v>Error?</v>
      </c>
    </row>
    <row r="1482" spans="1:4" x14ac:dyDescent="0.2">
      <c r="A1482" s="5">
        <v>1421</v>
      </c>
      <c r="B1482" s="138">
        <f>'Expenditures 15-22'!K240</f>
        <v>671</v>
      </c>
      <c r="C1482" s="2" t="s">
        <v>594</v>
      </c>
      <c r="D1482" s="2" t="str">
        <f t="shared" si="22"/>
        <v>Error?</v>
      </c>
    </row>
    <row r="1483" spans="1:4" x14ac:dyDescent="0.2">
      <c r="A1483" s="5">
        <v>1422</v>
      </c>
      <c r="B1483" s="138">
        <f>'Expenditures 15-22'!K241</f>
        <v>4223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4894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11016</v>
      </c>
      <c r="C1487" s="2" t="s">
        <v>594</v>
      </c>
      <c r="D1487" s="2" t="str">
        <f t="shared" si="22"/>
        <v>Error?</v>
      </c>
    </row>
    <row r="1488" spans="1:4" x14ac:dyDescent="0.2">
      <c r="A1488" s="5">
        <v>1427</v>
      </c>
      <c r="B1488" s="138">
        <f>'Expenditures 15-22'!K257</f>
        <v>11016</v>
      </c>
      <c r="C1488" s="2" t="s">
        <v>594</v>
      </c>
      <c r="D1488" s="2" t="str">
        <f t="shared" si="22"/>
        <v>Error?</v>
      </c>
    </row>
    <row r="1489" spans="1:4" x14ac:dyDescent="0.2">
      <c r="A1489" s="5">
        <v>1428</v>
      </c>
      <c r="B1489" s="138">
        <f>'Expenditures 15-22'!K259</f>
        <v>19658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19658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8922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51216</v>
      </c>
      <c r="C1495" s="2" t="s">
        <v>594</v>
      </c>
      <c r="D1495" s="2" t="str">
        <f t="shared" si="22"/>
        <v>Error?</v>
      </c>
    </row>
    <row r="1496" spans="1:4" x14ac:dyDescent="0.2">
      <c r="A1496" s="5">
        <v>1435</v>
      </c>
      <c r="B1496" s="138">
        <f>'Expenditures 15-22'!K267</f>
        <v>22401</v>
      </c>
      <c r="C1496" s="2" t="s">
        <v>594</v>
      </c>
      <c r="D1496" s="2" t="str">
        <f t="shared" si="22"/>
        <v>Error?</v>
      </c>
    </row>
    <row r="1497" spans="1:4" x14ac:dyDescent="0.2">
      <c r="A1497" s="5">
        <v>1436</v>
      </c>
      <c r="B1497" s="138">
        <f>'Expenditures 15-22'!K268</f>
        <v>15605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98144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49</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12935</v>
      </c>
      <c r="C1506" s="2" t="s">
        <v>594</v>
      </c>
      <c r="D1506" s="2" t="str">
        <f t="shared" si="22"/>
        <v>Error?</v>
      </c>
    </row>
    <row r="1507" spans="1:4" x14ac:dyDescent="0.2">
      <c r="A1507" s="10">
        <v>1446</v>
      </c>
      <c r="D1507" s="2" t="str">
        <f t="shared" si="22"/>
        <v>OK</v>
      </c>
    </row>
    <row r="1508" spans="1:4" x14ac:dyDescent="0.2">
      <c r="A1508" s="5">
        <v>1447</v>
      </c>
      <c r="B1508" s="138">
        <f>'Expenditures 15-22'!K277</f>
        <v>12984</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147983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219655</v>
      </c>
      <c r="C1517" s="2" t="s">
        <v>594</v>
      </c>
      <c r="D1517" s="2" t="str">
        <f t="shared" si="22"/>
        <v>Error?</v>
      </c>
    </row>
    <row r="1518" spans="1:4" x14ac:dyDescent="0.2">
      <c r="A1518" s="5">
        <v>1457</v>
      </c>
      <c r="B1518" s="138">
        <f>'Expenditures 15-22'!K296</f>
        <v>-33127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27939</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27939</v>
      </c>
      <c r="C1541" s="2" t="s">
        <v>594</v>
      </c>
      <c r="D1541" s="2" t="str">
        <f t="shared" si="23"/>
        <v>Error?</v>
      </c>
    </row>
    <row r="1542" spans="1:4" x14ac:dyDescent="0.2">
      <c r="A1542" s="5">
        <v>1481</v>
      </c>
      <c r="B1542" s="138">
        <f>'Expenditures 15-22'!F312</f>
        <v>27939</v>
      </c>
      <c r="C1542" s="2" t="s">
        <v>594</v>
      </c>
      <c r="D1542" s="2" t="str">
        <f t="shared" si="23"/>
        <v>Error?</v>
      </c>
    </row>
    <row r="1543" spans="1:4" x14ac:dyDescent="0.2">
      <c r="A1543" s="5">
        <v>1482</v>
      </c>
      <c r="B1543" s="138">
        <f>'Expenditures 15-22'!G301</f>
        <v>573215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573215</v>
      </c>
      <c r="C1547" s="2" t="s">
        <v>594</v>
      </c>
      <c r="D1547" s="2" t="str">
        <f t="shared" si="23"/>
        <v>Error?</v>
      </c>
    </row>
    <row r="1548" spans="1:4" x14ac:dyDescent="0.2">
      <c r="A1548" s="5">
        <v>1487</v>
      </c>
      <c r="B1548" s="138">
        <f>'Expenditures 15-22'!G312</f>
        <v>573215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601154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601154</v>
      </c>
      <c r="C1559" s="2" t="s">
        <v>594</v>
      </c>
      <c r="D1559" s="2" t="str">
        <f t="shared" si="23"/>
        <v>Error?</v>
      </c>
    </row>
    <row r="1560" spans="1:4" x14ac:dyDescent="0.2">
      <c r="A1560" s="5">
        <v>1499</v>
      </c>
      <c r="B1560" s="138">
        <f>'Expenditures 15-22'!K312</f>
        <v>601154</v>
      </c>
      <c r="C1560" s="2" t="s">
        <v>594</v>
      </c>
      <c r="D1560" s="2" t="str">
        <f t="shared" si="23"/>
        <v>Error?</v>
      </c>
    </row>
    <row r="1561" spans="1:4" x14ac:dyDescent="0.2">
      <c r="A1561" s="5">
        <v>1500</v>
      </c>
      <c r="B1561" s="138">
        <f>'Expenditures 15-22'!K313</f>
        <v>-598878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2666890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2984673</v>
      </c>
      <c r="C1630" s="2" t="s">
        <v>594</v>
      </c>
      <c r="D1630" s="2" t="str">
        <f t="shared" si="24"/>
        <v>Error?</v>
      </c>
    </row>
    <row r="1631" spans="1:4" x14ac:dyDescent="0.2">
      <c r="A1631" s="5">
        <v>1570</v>
      </c>
      <c r="B1631" s="138">
        <f>'Acct Summary 7-8'!D79</f>
        <v>1731391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2218189</v>
      </c>
      <c r="C1644" s="2" t="s">
        <v>594</v>
      </c>
      <c r="D1644" s="2" t="str">
        <f t="shared" si="24"/>
        <v>Error?</v>
      </c>
    </row>
    <row r="1645" spans="1:4" x14ac:dyDescent="0.2">
      <c r="A1645" s="5">
        <v>1584</v>
      </c>
      <c r="B1645" s="138">
        <f>'Acct Summary 7-8'!E79</f>
        <v>29540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30295</v>
      </c>
      <c r="C1658" s="2" t="s">
        <v>594</v>
      </c>
      <c r="D1658" s="2" t="str">
        <f t="shared" si="24"/>
        <v>Error?</v>
      </c>
    </row>
    <row r="1659" spans="1:4" x14ac:dyDescent="0.2">
      <c r="A1659" s="5">
        <v>1598</v>
      </c>
      <c r="B1659" s="138">
        <f>'Acct Summary 7-8'!F79</f>
        <v>465253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518499</v>
      </c>
      <c r="C1672" s="2" t="s">
        <v>594</v>
      </c>
      <c r="D1672" s="2" t="str">
        <f t="shared" si="25"/>
        <v>Error?</v>
      </c>
    </row>
    <row r="1673" spans="1:4" x14ac:dyDescent="0.2">
      <c r="A1673" s="5">
        <v>1612</v>
      </c>
      <c r="B1673" s="138">
        <f>'Acct Summary 7-8'!G79</f>
        <v>198324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165197</v>
      </c>
      <c r="C1686" s="2" t="s">
        <v>594</v>
      </c>
      <c r="D1686" s="2" t="str">
        <f t="shared" si="25"/>
        <v>Error?</v>
      </c>
    </row>
    <row r="1687" spans="1:4" x14ac:dyDescent="0.2">
      <c r="A1687" s="5">
        <v>1626</v>
      </c>
      <c r="B1687" s="138">
        <f>'Acct Summary 7-8'!H79</f>
        <v>949398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2827146</v>
      </c>
      <c r="C1744" s="2" t="s">
        <v>594</v>
      </c>
      <c r="D1744" s="2" t="str">
        <f t="shared" si="26"/>
        <v>Error?</v>
      </c>
    </row>
    <row r="1745" spans="1:5" x14ac:dyDescent="0.2">
      <c r="A1745" s="5">
        <v>1684</v>
      </c>
      <c r="B1745" s="138">
        <f>'Tax Sched 23'!B5</f>
        <v>584224</v>
      </c>
      <c r="C1745" s="2" t="s">
        <v>594</v>
      </c>
      <c r="D1745" s="2" t="str">
        <f t="shared" si="26"/>
        <v>Error?</v>
      </c>
    </row>
    <row r="1746" spans="1:5" x14ac:dyDescent="0.2">
      <c r="A1746" s="5">
        <v>1685</v>
      </c>
      <c r="B1746" s="138">
        <f>'Tax Sched 23'!B6</f>
        <v>1079065</v>
      </c>
      <c r="C1746" s="2" t="s">
        <v>594</v>
      </c>
      <c r="D1746" s="2" t="str">
        <f t="shared" si="26"/>
        <v>Error?</v>
      </c>
    </row>
    <row r="1747" spans="1:5" x14ac:dyDescent="0.2">
      <c r="A1747" s="5">
        <v>1686</v>
      </c>
      <c r="B1747" s="138">
        <f>'Tax Sched 23'!B7</f>
        <v>196101</v>
      </c>
      <c r="C1747" s="2" t="s">
        <v>594</v>
      </c>
      <c r="D1747" s="2" t="str">
        <f t="shared" si="26"/>
        <v>Error?</v>
      </c>
    </row>
    <row r="1748" spans="1:5" x14ac:dyDescent="0.2">
      <c r="A1748" s="5">
        <v>1687</v>
      </c>
      <c r="B1748" s="138">
        <f>'Tax Sched 23'!B8</f>
        <v>76972</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289582</v>
      </c>
      <c r="C1752" s="2" t="s">
        <v>594</v>
      </c>
      <c r="D1752" s="2" t="str">
        <f t="shared" si="26"/>
        <v>Error?</v>
      </c>
    </row>
    <row r="1753" spans="1:5" x14ac:dyDescent="0.2">
      <c r="A1753" s="5">
        <v>1692</v>
      </c>
      <c r="B1753" s="138">
        <f>'Tax Sched 23'!B12</f>
        <v>33175</v>
      </c>
      <c r="C1753" s="2" t="s">
        <v>594</v>
      </c>
      <c r="D1753" s="2" t="str">
        <f t="shared" si="26"/>
        <v>Error?</v>
      </c>
    </row>
    <row r="1754" spans="1:5" x14ac:dyDescent="0.2">
      <c r="A1754" s="5">
        <v>1693</v>
      </c>
      <c r="B1754" s="138">
        <f>'Tax Sched 23'!B14</f>
        <v>32683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5237595</v>
      </c>
      <c r="C1759" s="2" t="s">
        <v>594</v>
      </c>
      <c r="D1759" s="2" t="str">
        <f t="shared" si="26"/>
        <v>Error?</v>
      </c>
    </row>
    <row r="1760" spans="1:5" x14ac:dyDescent="0.2">
      <c r="A1760" s="5">
        <v>1699</v>
      </c>
      <c r="B1760" s="138">
        <f>'Tax Sched 23'!D4</f>
        <v>2827146</v>
      </c>
      <c r="C1760" s="2" t="s">
        <v>594</v>
      </c>
      <c r="D1760" s="2" t="str">
        <f t="shared" si="26"/>
        <v>Error?</v>
      </c>
    </row>
    <row r="1761" spans="1:5" x14ac:dyDescent="0.2">
      <c r="A1761" s="5">
        <v>1700</v>
      </c>
      <c r="B1761" s="138">
        <f>'Tax Sched 23'!D5</f>
        <v>584224</v>
      </c>
      <c r="C1761" s="2" t="s">
        <v>594</v>
      </c>
      <c r="D1761" s="2" t="str">
        <f t="shared" si="26"/>
        <v>Error?</v>
      </c>
    </row>
    <row r="1762" spans="1:5" s="8" customFormat="1" x14ac:dyDescent="0.2">
      <c r="A1762" s="5">
        <v>1701</v>
      </c>
      <c r="B1762" s="138">
        <f>'Tax Sched 23'!D6</f>
        <v>1079065</v>
      </c>
      <c r="C1762" s="2" t="s">
        <v>594</v>
      </c>
      <c r="D1762" s="2" t="str">
        <f t="shared" si="26"/>
        <v>Error?</v>
      </c>
      <c r="E1762" s="9"/>
    </row>
    <row r="1763" spans="1:5" x14ac:dyDescent="0.2">
      <c r="A1763" s="5">
        <v>1702</v>
      </c>
      <c r="B1763" s="138">
        <f>'Tax Sched 23'!D7</f>
        <v>196101</v>
      </c>
      <c r="C1763" s="2" t="s">
        <v>594</v>
      </c>
      <c r="D1763" s="2" t="str">
        <f t="shared" si="26"/>
        <v>Error?</v>
      </c>
    </row>
    <row r="1764" spans="1:5" x14ac:dyDescent="0.2">
      <c r="A1764" s="5">
        <v>1703</v>
      </c>
      <c r="B1764" s="138">
        <f>'Tax Sched 23'!D8</f>
        <v>76972</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289582</v>
      </c>
      <c r="C1768" s="2" t="s">
        <v>594</v>
      </c>
      <c r="D1768" s="2" t="str">
        <f t="shared" si="26"/>
        <v>Error?</v>
      </c>
    </row>
    <row r="1769" spans="1:5" x14ac:dyDescent="0.2">
      <c r="A1769" s="5">
        <v>1708</v>
      </c>
      <c r="B1769" s="138">
        <f>'Tax Sched 23'!D12</f>
        <v>33175</v>
      </c>
      <c r="C1769" s="2" t="s">
        <v>594</v>
      </c>
      <c r="D1769" s="2" t="str">
        <f t="shared" si="26"/>
        <v>Error?</v>
      </c>
    </row>
    <row r="1770" spans="1:5" x14ac:dyDescent="0.2">
      <c r="A1770" s="5">
        <v>1709</v>
      </c>
      <c r="B1770" s="138">
        <f>'Tax Sched 23'!D14</f>
        <v>32683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5237595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2828312</v>
      </c>
      <c r="C1792" s="2" t="s">
        <v>594</v>
      </c>
      <c r="D1792" s="2" t="str">
        <f t="shared" si="27"/>
        <v>Error?</v>
      </c>
    </row>
    <row r="1793" spans="1:4" x14ac:dyDescent="0.2">
      <c r="A1793" s="5">
        <v>1732</v>
      </c>
      <c r="B1793" s="138">
        <f>'Tax Sched 23'!F5</f>
        <v>500104</v>
      </c>
      <c r="C1793" s="2" t="s">
        <v>594</v>
      </c>
      <c r="D1793" s="2" t="str">
        <f t="shared" si="27"/>
        <v>Error?</v>
      </c>
    </row>
    <row r="1794" spans="1:4" x14ac:dyDescent="0.2">
      <c r="A1794" s="5">
        <v>1733</v>
      </c>
      <c r="B1794" s="138">
        <f>'Tax Sched 23'!F6</f>
        <v>1095031</v>
      </c>
      <c r="C1794" s="2" t="s">
        <v>594</v>
      </c>
      <c r="D1794" s="2" t="str">
        <f t="shared" si="27"/>
        <v>Error?</v>
      </c>
    </row>
    <row r="1795" spans="1:4" x14ac:dyDescent="0.2">
      <c r="A1795" s="5">
        <v>1734</v>
      </c>
      <c r="B1795" s="138">
        <f>'Tax Sched 23'!F7</f>
        <v>196184</v>
      </c>
      <c r="C1795" s="2" t="s">
        <v>594</v>
      </c>
      <c r="D1795" s="2" t="str">
        <f t="shared" si="27"/>
        <v>Error?</v>
      </c>
    </row>
    <row r="1796" spans="1:4" x14ac:dyDescent="0.2">
      <c r="A1796" s="5">
        <v>1735</v>
      </c>
      <c r="B1796" s="138">
        <f>'Tax Sched 23'!F8</f>
        <v>77002</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280052</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32697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5128400</v>
      </c>
      <c r="C1807" s="2" t="s">
        <v>594</v>
      </c>
      <c r="D1807" s="2" t="str">
        <f t="shared" si="27"/>
        <v>Error?</v>
      </c>
    </row>
    <row r="1808" spans="1:4" x14ac:dyDescent="0.2">
      <c r="A1808" s="5">
        <v>1747</v>
      </c>
      <c r="B1808" s="138">
        <f>'Tax Sched 23'!E4</f>
        <v>2828312</v>
      </c>
      <c r="D1808" s="2" t="str">
        <f t="shared" si="27"/>
        <v>Error?</v>
      </c>
    </row>
    <row r="1809" spans="1:4" x14ac:dyDescent="0.2">
      <c r="A1809" s="5">
        <v>1748</v>
      </c>
      <c r="B1809" s="138">
        <f>'Tax Sched 23'!E5</f>
        <v>500104</v>
      </c>
      <c r="D1809" s="2" t="str">
        <f t="shared" si="27"/>
        <v>Error?</v>
      </c>
    </row>
    <row r="1810" spans="1:4" x14ac:dyDescent="0.2">
      <c r="A1810" s="5">
        <v>1749</v>
      </c>
      <c r="B1810" s="138">
        <f>'Tax Sched 23'!E6</f>
        <v>1095031</v>
      </c>
      <c r="D1810" s="2" t="str">
        <f t="shared" si="27"/>
        <v>Error?</v>
      </c>
    </row>
    <row r="1811" spans="1:4" x14ac:dyDescent="0.2">
      <c r="A1811" s="5">
        <v>1750</v>
      </c>
      <c r="B1811" s="138">
        <f>'Tax Sched 23'!E7</f>
        <v>196184</v>
      </c>
      <c r="D1811" s="2" t="str">
        <f t="shared" si="27"/>
        <v>Error?</v>
      </c>
    </row>
    <row r="1812" spans="1:4" x14ac:dyDescent="0.2">
      <c r="A1812" s="5">
        <v>1751</v>
      </c>
      <c r="B1812" s="138">
        <f>'Tax Sched 23'!E8</f>
        <v>77002</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280052</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32697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5128400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8046335</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32683</v>
      </c>
      <c r="D1972" s="2" t="str">
        <f t="shared" si="29"/>
        <v>Error?</v>
      </c>
    </row>
    <row r="1973" spans="1:5" x14ac:dyDescent="0.2">
      <c r="A1973" s="5">
        <v>1912</v>
      </c>
      <c r="B1973" s="138">
        <f>'Rest Tax Levies-Tort Im 25'!H6</f>
        <v>7</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32690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32690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132126</v>
      </c>
      <c r="D2008" s="2" t="str">
        <f t="shared" si="30"/>
        <v>Error?</v>
      </c>
    </row>
    <row r="2009" spans="1:4" x14ac:dyDescent="0.2">
      <c r="A2009" s="5">
        <v>1948</v>
      </c>
      <c r="B2009" s="138">
        <f>'Cap Outlay Deprec 26'!C8</f>
        <v>11982504</v>
      </c>
      <c r="D2009" s="2" t="str">
        <f t="shared" si="30"/>
        <v>Error?</v>
      </c>
    </row>
    <row r="2010" spans="1:4" x14ac:dyDescent="0.2">
      <c r="A2010" s="5">
        <v>1949</v>
      </c>
      <c r="B2010" s="138">
        <f>'Cap Outlay Deprec 26'!C10</f>
        <v>233211</v>
      </c>
      <c r="D2010" s="2" t="str">
        <f t="shared" si="30"/>
        <v>Error?</v>
      </c>
    </row>
    <row r="2011" spans="1:4" x14ac:dyDescent="0.2">
      <c r="A2011" s="5">
        <v>1950</v>
      </c>
      <c r="B2011" s="138">
        <f>'Cap Outlay Deprec 26'!C12</f>
        <v>351046</v>
      </c>
      <c r="D2011" s="2" t="str">
        <f t="shared" si="30"/>
        <v>Error?</v>
      </c>
    </row>
    <row r="2012" spans="1:4" x14ac:dyDescent="0.2">
      <c r="A2012" s="5">
        <v>1951</v>
      </c>
      <c r="B2012" s="138">
        <f>'Cap Outlay Deprec 26'!C13</f>
        <v>725023</v>
      </c>
      <c r="D2012" s="2" t="str">
        <f t="shared" si="30"/>
        <v>Error?</v>
      </c>
    </row>
    <row r="2013" spans="1:4" x14ac:dyDescent="0.2">
      <c r="A2013" s="5">
        <v>1952</v>
      </c>
      <c r="B2013" s="138">
        <f>'Cap Outlay Deprec 26'!C16</f>
        <v>19540445</v>
      </c>
      <c r="C2013" s="2" t="s">
        <v>594</v>
      </c>
      <c r="D2013" s="2" t="str">
        <f t="shared" si="30"/>
        <v>Error?</v>
      </c>
    </row>
    <row r="2014" spans="1:4" x14ac:dyDescent="0.2">
      <c r="A2014" s="5">
        <v>1953</v>
      </c>
      <c r="B2014" s="138">
        <f>'Cap Outlay Deprec 26'!D5</f>
        <v>5395</v>
      </c>
      <c r="D2014" s="2" t="str">
        <f t="shared" si="30"/>
        <v>Error?</v>
      </c>
    </row>
    <row r="2015" spans="1:4" x14ac:dyDescent="0.2">
      <c r="A2015" s="5">
        <v>1954</v>
      </c>
      <c r="B2015" s="138">
        <f>'Cap Outlay Deprec 26'!D8</f>
        <v>6196170</v>
      </c>
      <c r="D2015" s="2" t="str">
        <f t="shared" si="30"/>
        <v>Error?</v>
      </c>
    </row>
    <row r="2016" spans="1:4" x14ac:dyDescent="0.2">
      <c r="A2016" s="5">
        <v>1955</v>
      </c>
      <c r="B2016" s="138">
        <f>'Cap Outlay Deprec 26'!D10</f>
        <v>30100</v>
      </c>
      <c r="D2016" s="2" t="str">
        <f t="shared" si="30"/>
        <v>Error?</v>
      </c>
    </row>
    <row r="2017" spans="1:4" x14ac:dyDescent="0.2">
      <c r="A2017" s="5">
        <v>1956</v>
      </c>
      <c r="B2017" s="138">
        <f>'Cap Outlay Deprec 26'!D12</f>
        <v>568190</v>
      </c>
      <c r="D2017" s="2" t="str">
        <f t="shared" si="30"/>
        <v>Error?</v>
      </c>
    </row>
    <row r="2018" spans="1:4" x14ac:dyDescent="0.2">
      <c r="A2018" s="5">
        <v>1957</v>
      </c>
      <c r="B2018" s="138">
        <f>'Cap Outlay Deprec 26'!D13</f>
        <v>21059</v>
      </c>
      <c r="D2018" s="2" t="str">
        <f t="shared" si="30"/>
        <v>Error?</v>
      </c>
    </row>
    <row r="2019" spans="1:4" x14ac:dyDescent="0.2">
      <c r="A2019" s="5">
        <v>1958</v>
      </c>
      <c r="B2019" s="138">
        <f>'Cap Outlay Deprec 26'!D16</f>
        <v>7394129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150503</v>
      </c>
      <c r="D2022" s="2" t="str">
        <f t="shared" si="30"/>
        <v>Error?</v>
      </c>
    </row>
    <row r="2023" spans="1:4" x14ac:dyDescent="0.2">
      <c r="A2023" s="5">
        <v>1962</v>
      </c>
      <c r="B2023" s="138">
        <f>'Cap Outlay Deprec 26'!E12</f>
        <v>189416</v>
      </c>
      <c r="D2023" s="2" t="str">
        <f t="shared" si="30"/>
        <v>Error?</v>
      </c>
    </row>
    <row r="2024" spans="1:4" x14ac:dyDescent="0.2">
      <c r="A2024" s="5">
        <v>1963</v>
      </c>
      <c r="B2024" s="138">
        <f>'Cap Outlay Deprec 26'!E13</f>
        <v>151978</v>
      </c>
      <c r="D2024" s="2" t="str">
        <f t="shared" si="30"/>
        <v>Error?</v>
      </c>
    </row>
    <row r="2025" spans="1:4" x14ac:dyDescent="0.2">
      <c r="A2025" s="5">
        <v>1964</v>
      </c>
      <c r="B2025" s="138">
        <f>'Cap Outlay Deprec 26'!E16</f>
        <v>7181647</v>
      </c>
      <c r="C2025" s="2" t="s">
        <v>594</v>
      </c>
      <c r="D2025" s="2" t="str">
        <f t="shared" si="30"/>
        <v>Error?</v>
      </c>
    </row>
    <row r="2026" spans="1:4" x14ac:dyDescent="0.2">
      <c r="A2026" s="5">
        <v>1965</v>
      </c>
      <c r="B2026" s="138">
        <f>'Cap Outlay Deprec 26'!F5</f>
        <v>137521</v>
      </c>
      <c r="C2026" s="2" t="s">
        <v>594</v>
      </c>
      <c r="D2026" s="2" t="str">
        <f t="shared" si="30"/>
        <v>Error?</v>
      </c>
    </row>
    <row r="2027" spans="1:4" x14ac:dyDescent="0.2">
      <c r="A2027" s="5">
        <v>1966</v>
      </c>
      <c r="B2027" s="138">
        <f>'Cap Outlay Deprec 26'!F8</f>
        <v>18178674</v>
      </c>
      <c r="C2027" s="2" t="s">
        <v>594</v>
      </c>
      <c r="D2027" s="2" t="str">
        <f t="shared" si="30"/>
        <v>Error?</v>
      </c>
    </row>
    <row r="2028" spans="1:4" x14ac:dyDescent="0.2">
      <c r="A2028" s="5">
        <v>1967</v>
      </c>
      <c r="B2028" s="138">
        <f>'Cap Outlay Deprec 26'!F10</f>
        <v>112808</v>
      </c>
      <c r="C2028" s="2" t="s">
        <v>594</v>
      </c>
      <c r="D2028" s="2" t="str">
        <f t="shared" si="30"/>
        <v>Error?</v>
      </c>
    </row>
    <row r="2029" spans="1:4" x14ac:dyDescent="0.2">
      <c r="A2029" s="5">
        <v>1968</v>
      </c>
      <c r="B2029" s="138">
        <f>'Cap Outlay Deprec 26'!F12</f>
        <v>729820</v>
      </c>
      <c r="C2029" s="2" t="s">
        <v>594</v>
      </c>
      <c r="D2029" s="2" t="str">
        <f t="shared" si="30"/>
        <v>Error?</v>
      </c>
    </row>
    <row r="2030" spans="1:4" x14ac:dyDescent="0.2">
      <c r="A2030" s="5">
        <v>1969</v>
      </c>
      <c r="B2030" s="138">
        <f>'Cap Outlay Deprec 26'!F13</f>
        <v>594104</v>
      </c>
      <c r="C2030" s="2" t="s">
        <v>594</v>
      </c>
      <c r="D2030" s="2" t="str">
        <f t="shared" si="30"/>
        <v>Error?</v>
      </c>
    </row>
    <row r="2031" spans="1:4" x14ac:dyDescent="0.2">
      <c r="A2031" s="5">
        <v>1970</v>
      </c>
      <c r="B2031" s="138">
        <f>'Cap Outlay Deprec 26'!F16</f>
        <v>19752927</v>
      </c>
      <c r="C2031" s="2" t="s">
        <v>594</v>
      </c>
      <c r="D2031" s="2" t="str">
        <f t="shared" si="30"/>
        <v>Error?</v>
      </c>
    </row>
    <row r="2032" spans="1:4" x14ac:dyDescent="0.2">
      <c r="A2032" s="10">
        <v>1971</v>
      </c>
      <c r="D2032" s="2" t="str">
        <f t="shared" si="30"/>
        <v>OK</v>
      </c>
    </row>
    <row r="2033" spans="1:4" x14ac:dyDescent="0.2">
      <c r="A2033" s="5">
        <v>1972</v>
      </c>
      <c r="B2033" s="138">
        <f>'Cap Outlay Deprec 26'!H8</f>
        <v>4334875</v>
      </c>
      <c r="D2033" s="2" t="str">
        <f t="shared" si="30"/>
        <v>Error?</v>
      </c>
    </row>
    <row r="2034" spans="1:4" x14ac:dyDescent="0.2">
      <c r="A2034" s="5">
        <v>1973</v>
      </c>
      <c r="B2034" s="138">
        <f>'Cap Outlay Deprec 26'!H10</f>
        <v>177238</v>
      </c>
      <c r="D2034" s="2" t="str">
        <f t="shared" si="30"/>
        <v>Error?</v>
      </c>
    </row>
    <row r="2035" spans="1:4" x14ac:dyDescent="0.2">
      <c r="A2035" s="5">
        <v>1974</v>
      </c>
      <c r="B2035" s="138">
        <f>'Cap Outlay Deprec 26'!H12</f>
        <v>292530</v>
      </c>
      <c r="D2035" s="2" t="str">
        <f t="shared" si="30"/>
        <v>Error?</v>
      </c>
    </row>
    <row r="2036" spans="1:4" x14ac:dyDescent="0.2">
      <c r="A2036" s="5">
        <v>1975</v>
      </c>
      <c r="B2036" s="138">
        <f>'Cap Outlay Deprec 26'!H13</f>
        <v>523164</v>
      </c>
      <c r="D2036" s="2" t="str">
        <f t="shared" si="30"/>
        <v>Error?</v>
      </c>
    </row>
    <row r="2037" spans="1:4" x14ac:dyDescent="0.2">
      <c r="A2037" s="5">
        <v>1976</v>
      </c>
      <c r="B2037" s="138">
        <f>'Cap Outlay Deprec 26'!H16</f>
        <v>5327807</v>
      </c>
      <c r="C2037" s="2" t="s">
        <v>594</v>
      </c>
      <c r="D2037" s="2" t="str">
        <f t="shared" si="30"/>
        <v>Error?</v>
      </c>
    </row>
    <row r="2038" spans="1:4" x14ac:dyDescent="0.2">
      <c r="A2038" s="10">
        <v>1977</v>
      </c>
      <c r="D2038" s="2" t="str">
        <f t="shared" si="30"/>
        <v>OK</v>
      </c>
    </row>
    <row r="2039" spans="1:4" x14ac:dyDescent="0.2">
      <c r="A2039" s="5">
        <v>1978</v>
      </c>
      <c r="B2039" s="138">
        <f>'Cap Outlay Deprec 26'!I8</f>
        <v>357240</v>
      </c>
      <c r="D2039" s="2" t="str">
        <f t="shared" si="30"/>
        <v>Error?</v>
      </c>
    </row>
    <row r="2040" spans="1:4" x14ac:dyDescent="0.2">
      <c r="A2040" s="5">
        <v>1979</v>
      </c>
      <c r="B2040" s="138">
        <f>'Cap Outlay Deprec 26'!I10</f>
        <v>5345</v>
      </c>
      <c r="D2040" s="2" t="str">
        <f t="shared" si="30"/>
        <v>Error?</v>
      </c>
    </row>
    <row r="2041" spans="1:4" x14ac:dyDescent="0.2">
      <c r="A2041" s="5">
        <v>1980</v>
      </c>
      <c r="B2041" s="138">
        <f>'Cap Outlay Deprec 26'!I12</f>
        <v>67270</v>
      </c>
      <c r="D2041" s="2" t="str">
        <f t="shared" si="30"/>
        <v>Error?</v>
      </c>
    </row>
    <row r="2042" spans="1:4" x14ac:dyDescent="0.2">
      <c r="A2042" s="5">
        <v>1981</v>
      </c>
      <c r="B2042" s="138">
        <f>'Cap Outlay Deprec 26'!I13</f>
        <v>69411</v>
      </c>
      <c r="D2042" s="2" t="str">
        <f t="shared" si="30"/>
        <v>Error?</v>
      </c>
    </row>
    <row r="2043" spans="1:4" x14ac:dyDescent="0.2">
      <c r="A2043" s="5">
        <v>1982</v>
      </c>
      <c r="B2043" s="138">
        <f>'Cap Outlay Deprec 26'!I16</f>
        <v>499266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150503</v>
      </c>
      <c r="D2046" s="2" t="str">
        <f t="shared" si="30"/>
        <v>Error?</v>
      </c>
    </row>
    <row r="2047" spans="1:4" x14ac:dyDescent="0.2">
      <c r="A2047" s="5">
        <v>1986</v>
      </c>
      <c r="B2047" s="138">
        <f>'Cap Outlay Deprec 26'!J12</f>
        <v>189416</v>
      </c>
      <c r="D2047" s="2" t="str">
        <f t="shared" ref="D2047:D2110" si="31">IF(ISBLANK(B2047),"OK",IF(A2047-B2047=0,"OK","Error?"))</f>
        <v>Error?</v>
      </c>
    </row>
    <row r="2048" spans="1:4" x14ac:dyDescent="0.2">
      <c r="A2048" s="5">
        <v>1987</v>
      </c>
      <c r="B2048" s="138">
        <f>'Cap Outlay Deprec 26'!J13</f>
        <v>151978</v>
      </c>
      <c r="D2048" s="2" t="str">
        <f t="shared" si="31"/>
        <v>Error?</v>
      </c>
    </row>
    <row r="2049" spans="1:4" x14ac:dyDescent="0.2">
      <c r="A2049" s="5">
        <v>1988</v>
      </c>
      <c r="B2049" s="138">
        <f>'Cap Outlay Deprec 26'!J16</f>
        <v>491897</v>
      </c>
      <c r="C2049" s="2" t="s">
        <v>594</v>
      </c>
      <c r="D2049" s="2" t="str">
        <f t="shared" si="31"/>
        <v>Error?</v>
      </c>
    </row>
    <row r="2050" spans="1:4" x14ac:dyDescent="0.2">
      <c r="A2050" s="10">
        <v>1989</v>
      </c>
      <c r="D2050" s="2" t="str">
        <f t="shared" si="31"/>
        <v>OK</v>
      </c>
    </row>
    <row r="2051" spans="1:4" x14ac:dyDescent="0.2">
      <c r="A2051" s="5">
        <v>1990</v>
      </c>
      <c r="B2051" s="138">
        <f>'Cap Outlay Deprec 26'!K8</f>
        <v>4692115</v>
      </c>
      <c r="C2051" s="2" t="s">
        <v>594</v>
      </c>
      <c r="D2051" s="2" t="str">
        <f t="shared" si="31"/>
        <v>Error?</v>
      </c>
    </row>
    <row r="2052" spans="1:4" x14ac:dyDescent="0.2">
      <c r="A2052" s="5">
        <v>1991</v>
      </c>
      <c r="B2052" s="138">
        <f>'Cap Outlay Deprec 26'!K10</f>
        <v>32080</v>
      </c>
      <c r="C2052" s="2" t="s">
        <v>594</v>
      </c>
      <c r="D2052" s="2" t="str">
        <f t="shared" si="31"/>
        <v>Error?</v>
      </c>
    </row>
    <row r="2053" spans="1:4" x14ac:dyDescent="0.2">
      <c r="A2053" s="5">
        <v>1992</v>
      </c>
      <c r="B2053" s="138">
        <f>'Cap Outlay Deprec 26'!K12</f>
        <v>170384</v>
      </c>
      <c r="C2053" s="2" t="s">
        <v>594</v>
      </c>
      <c r="D2053" s="2" t="str">
        <f t="shared" si="31"/>
        <v>Error?</v>
      </c>
    </row>
    <row r="2054" spans="1:4" x14ac:dyDescent="0.2">
      <c r="A2054" s="5">
        <v>1993</v>
      </c>
      <c r="B2054" s="138">
        <f>'Cap Outlay Deprec 26'!K13</f>
        <v>440597</v>
      </c>
      <c r="C2054" s="2" t="s">
        <v>594</v>
      </c>
      <c r="D2054" s="2" t="str">
        <f t="shared" si="31"/>
        <v>Error?</v>
      </c>
    </row>
    <row r="2055" spans="1:4" x14ac:dyDescent="0.2">
      <c r="A2055" s="5">
        <v>1994</v>
      </c>
      <c r="B2055" s="138">
        <f>'Cap Outlay Deprec 26'!K16</f>
        <v>5335176</v>
      </c>
      <c r="C2055" s="2" t="s">
        <v>594</v>
      </c>
      <c r="D2055" s="2" t="str">
        <f t="shared" si="31"/>
        <v>Error?</v>
      </c>
    </row>
    <row r="2056" spans="1:4" x14ac:dyDescent="0.2">
      <c r="A2056" s="5">
        <v>1995</v>
      </c>
      <c r="B2056" s="138">
        <f>'Cap Outlay Deprec 26'!L5</f>
        <v>137521</v>
      </c>
      <c r="C2056" s="2" t="s">
        <v>594</v>
      </c>
      <c r="D2056" s="2" t="str">
        <f t="shared" si="31"/>
        <v>Error?</v>
      </c>
    </row>
    <row r="2057" spans="1:4" x14ac:dyDescent="0.2">
      <c r="A2057" s="5">
        <v>1996</v>
      </c>
      <c r="B2057" s="138">
        <f>'Cap Outlay Deprec 26'!L8</f>
        <v>13486559</v>
      </c>
      <c r="C2057" s="2" t="s">
        <v>594</v>
      </c>
      <c r="D2057" s="2" t="str">
        <f t="shared" si="31"/>
        <v>Error?</v>
      </c>
    </row>
    <row r="2058" spans="1:4" x14ac:dyDescent="0.2">
      <c r="A2058" s="5">
        <v>1997</v>
      </c>
      <c r="B2058" s="138">
        <f>'Cap Outlay Deprec 26'!L10</f>
        <v>80728</v>
      </c>
      <c r="C2058" s="2" t="s">
        <v>594</v>
      </c>
      <c r="D2058" s="2" t="str">
        <f t="shared" si="31"/>
        <v>Error?</v>
      </c>
    </row>
    <row r="2059" spans="1:4" x14ac:dyDescent="0.2">
      <c r="A2059" s="5">
        <v>1998</v>
      </c>
      <c r="B2059" s="138">
        <f>'Cap Outlay Deprec 26'!L12</f>
        <v>559436</v>
      </c>
      <c r="C2059" s="2" t="s">
        <v>594</v>
      </c>
      <c r="D2059" s="2" t="str">
        <f t="shared" si="31"/>
        <v>Error?</v>
      </c>
    </row>
    <row r="2060" spans="1:4" x14ac:dyDescent="0.2">
      <c r="A2060" s="5">
        <v>1999</v>
      </c>
      <c r="B2060" s="138">
        <f>'Cap Outlay Deprec 26'!L13</f>
        <v>153507</v>
      </c>
      <c r="C2060" s="2" t="s">
        <v>594</v>
      </c>
      <c r="D2060" s="2" t="str">
        <f t="shared" si="31"/>
        <v>Error?</v>
      </c>
    </row>
    <row r="2061" spans="1:4" x14ac:dyDescent="0.2">
      <c r="A2061" s="5">
        <v>2000</v>
      </c>
      <c r="B2061" s="138">
        <f>'Cap Outlay Deprec 26'!L16</f>
        <v>14417751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269641</v>
      </c>
      <c r="C2088" s="2" t="s">
        <v>594</v>
      </c>
      <c r="D2088" s="2" t="str">
        <f t="shared" si="31"/>
        <v>Error?</v>
      </c>
    </row>
    <row r="2089" spans="1:4" x14ac:dyDescent="0.2">
      <c r="A2089" s="5">
        <v>2028</v>
      </c>
      <c r="B2089" s="138">
        <f>'Expenditures 15-22'!K92</f>
        <v>238773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83686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3305081</v>
      </c>
      <c r="C2551" s="2" t="s">
        <v>594</v>
      </c>
      <c r="D2551" s="2" t="str">
        <f t="shared" si="38"/>
        <v>Error?</v>
      </c>
    </row>
    <row r="2552" spans="1:4" x14ac:dyDescent="0.2">
      <c r="A2552" s="10">
        <v>2491</v>
      </c>
      <c r="D2552" s="2" t="str">
        <f t="shared" si="38"/>
        <v>OK</v>
      </c>
    </row>
    <row r="2553" spans="1:4" x14ac:dyDescent="0.2">
      <c r="A2553" s="5">
        <v>2492</v>
      </c>
      <c r="B2553" s="138">
        <f>'Acct Summary 7-8'!C6</f>
        <v>2147512</v>
      </c>
      <c r="C2553" s="2" t="s">
        <v>594</v>
      </c>
      <c r="D2553" s="2" t="str">
        <f t="shared" si="38"/>
        <v>Error?</v>
      </c>
    </row>
    <row r="2554" spans="1:4" x14ac:dyDescent="0.2">
      <c r="A2554" s="5">
        <v>2493</v>
      </c>
      <c r="B2554" s="138">
        <f>'Acct Summary 7-8'!C7</f>
        <v>342802</v>
      </c>
      <c r="C2554" s="2" t="s">
        <v>594</v>
      </c>
      <c r="D2554" s="2" t="str">
        <f t="shared" si="38"/>
        <v>Error?</v>
      </c>
    </row>
    <row r="2555" spans="1:4" x14ac:dyDescent="0.2">
      <c r="A2555" s="5">
        <v>2494</v>
      </c>
      <c r="B2555" s="138">
        <f>'Acct Summary 7-8'!C8</f>
        <v>5795395</v>
      </c>
      <c r="C2555" s="2" t="s">
        <v>594</v>
      </c>
      <c r="D2555" s="2" t="str">
        <f t="shared" si="38"/>
        <v>Error?</v>
      </c>
    </row>
    <row r="2556" spans="1:4" x14ac:dyDescent="0.2">
      <c r="A2556" s="5">
        <v>2495</v>
      </c>
      <c r="B2556" s="138">
        <f>'Acct Summary 7-8'!C12</f>
        <v>3890543</v>
      </c>
      <c r="C2556" s="2" t="s">
        <v>594</v>
      </c>
      <c r="D2556" s="2" t="str">
        <f t="shared" si="38"/>
        <v>Error?</v>
      </c>
    </row>
    <row r="2557" spans="1:4" x14ac:dyDescent="0.2">
      <c r="A2557" s="5">
        <v>2496</v>
      </c>
      <c r="B2557" s="138">
        <f>'Acct Summary 7-8'!C13</f>
        <v>1083545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508414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5482502</v>
      </c>
      <c r="C2561" s="2" t="s">
        <v>594</v>
      </c>
      <c r="D2561" s="2" t="str">
        <f t="shared" si="39"/>
        <v>Error?</v>
      </c>
    </row>
    <row r="2562" spans="1:4" x14ac:dyDescent="0.2">
      <c r="A2562" s="5">
        <v>2501</v>
      </c>
      <c r="B2562" s="138">
        <f>'Acct Summary 7-8'!C20</f>
        <v>312893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668712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668712</v>
      </c>
      <c r="C2568" s="2" t="s">
        <v>594</v>
      </c>
      <c r="D2568" s="2" t="str">
        <f t="shared" si="39"/>
        <v>Error?</v>
      </c>
    </row>
    <row r="2569" spans="1:4" x14ac:dyDescent="0.2">
      <c r="A2569" s="5">
        <v>2508</v>
      </c>
      <c r="B2569" s="138">
        <f>'Acct Summary 7-8'!D13</f>
        <v>532434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532434</v>
      </c>
      <c r="C2573" s="2" t="s">
        <v>594</v>
      </c>
      <c r="D2573" s="2" t="str">
        <f t="shared" si="39"/>
        <v>Error?</v>
      </c>
    </row>
    <row r="2574" spans="1:4" x14ac:dyDescent="0.2">
      <c r="A2574" s="5">
        <v>2513</v>
      </c>
      <c r="B2574" s="138">
        <f>'Acct Summary 7-8'!D20</f>
        <v>136278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205170</v>
      </c>
      <c r="C2591" s="2" t="s">
        <v>594</v>
      </c>
      <c r="D2591" s="2" t="str">
        <f t="shared" si="39"/>
        <v>Error?</v>
      </c>
    </row>
    <row r="2592" spans="1:4" x14ac:dyDescent="0.2">
      <c r="A2592" s="10">
        <v>2531</v>
      </c>
      <c r="D2592" s="2" t="str">
        <f t="shared" si="39"/>
        <v>OK</v>
      </c>
    </row>
    <row r="2593" spans="1:4" x14ac:dyDescent="0.2">
      <c r="A2593" s="5">
        <v>2532</v>
      </c>
      <c r="B2593" s="138">
        <f>'Acct Summary 7-8'!F6</f>
        <v>199909</v>
      </c>
      <c r="C2593" s="2" t="s">
        <v>594</v>
      </c>
      <c r="D2593" s="2" t="str">
        <f t="shared" si="39"/>
        <v>Error?</v>
      </c>
    </row>
    <row r="2594" spans="1:4" x14ac:dyDescent="0.2">
      <c r="A2594" s="5">
        <v>2533</v>
      </c>
      <c r="B2594" s="138">
        <f>'Acct Summary 7-8'!F7</f>
        <v>3898</v>
      </c>
      <c r="C2594" s="2" t="s">
        <v>594</v>
      </c>
      <c r="D2594" s="2" t="str">
        <f t="shared" si="39"/>
        <v>Error?</v>
      </c>
    </row>
    <row r="2595" spans="1:4" x14ac:dyDescent="0.2">
      <c r="A2595" s="5">
        <v>2534</v>
      </c>
      <c r="B2595" s="138">
        <f>'Acct Summary 7-8'!F8</f>
        <v>408977</v>
      </c>
      <c r="C2595" s="2" t="s">
        <v>594</v>
      </c>
      <c r="D2595" s="2" t="str">
        <f t="shared" si="39"/>
        <v>Error?</v>
      </c>
    </row>
    <row r="2596" spans="1:4" x14ac:dyDescent="0.2">
      <c r="A2596" s="5">
        <v>2535</v>
      </c>
      <c r="B2596" s="138">
        <f>'Acct Summary 7-8'!F13</f>
        <v>322189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33542</v>
      </c>
      <c r="C2599" s="2" t="s">
        <v>594</v>
      </c>
      <c r="D2599" s="2" t="str">
        <f t="shared" si="39"/>
        <v>Error?</v>
      </c>
    </row>
    <row r="2600" spans="1:4" x14ac:dyDescent="0.2">
      <c r="A2600" s="5">
        <v>2539</v>
      </c>
      <c r="B2600" s="138">
        <f>'Acct Summary 7-8'!F17</f>
        <v>355731</v>
      </c>
      <c r="C2600" s="2" t="s">
        <v>594</v>
      </c>
      <c r="D2600" s="2" t="str">
        <f t="shared" si="39"/>
        <v>Error?</v>
      </c>
    </row>
    <row r="2601" spans="1:4" x14ac:dyDescent="0.2">
      <c r="A2601" s="5">
        <v>2540</v>
      </c>
      <c r="B2601" s="138">
        <f>'Acct Summary 7-8'!F20</f>
        <v>53246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186528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186528</v>
      </c>
      <c r="C2606" s="2" t="s">
        <v>594</v>
      </c>
      <c r="D2606" s="2" t="str">
        <f t="shared" si="39"/>
        <v>Error?</v>
      </c>
    </row>
    <row r="2607" spans="1:4" x14ac:dyDescent="0.2">
      <c r="A2607" s="5">
        <v>2546</v>
      </c>
      <c r="B2607" s="138">
        <f>'Acct Summary 7-8'!G12</f>
        <v>71672</v>
      </c>
      <c r="C2607" s="2" t="s">
        <v>594</v>
      </c>
      <c r="D2607" s="2" t="str">
        <f t="shared" si="39"/>
        <v>Error?</v>
      </c>
    </row>
    <row r="2608" spans="1:4" x14ac:dyDescent="0.2">
      <c r="A2608" s="5">
        <v>2547</v>
      </c>
      <c r="B2608" s="138">
        <f>'Acct Summary 7-8'!G13</f>
        <v>147983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219655</v>
      </c>
      <c r="C2612" s="2" t="s">
        <v>594</v>
      </c>
      <c r="D2612" s="2" t="str">
        <f t="shared" si="39"/>
        <v>Error?</v>
      </c>
    </row>
    <row r="2613" spans="1:4" x14ac:dyDescent="0.2">
      <c r="A2613" s="5">
        <v>2552</v>
      </c>
      <c r="B2613" s="138">
        <f>'Acct Summary 7-8'!G20</f>
        <v>-33127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1081141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1081141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1080386</v>
      </c>
      <c r="C2634" s="2" t="s">
        <v>594</v>
      </c>
      <c r="D2634" s="2" t="str">
        <f t="shared" si="40"/>
        <v>Error?</v>
      </c>
    </row>
    <row r="2635" spans="1:4" x14ac:dyDescent="0.2">
      <c r="A2635" s="5">
        <v>2574</v>
      </c>
      <c r="B2635" s="138">
        <f>'Acct Summary 7-8'!E17</f>
        <v>1080386</v>
      </c>
      <c r="C2635" s="2" t="s">
        <v>594</v>
      </c>
      <c r="D2635" s="2" t="str">
        <f t="shared" si="40"/>
        <v>Error?</v>
      </c>
    </row>
    <row r="2636" spans="1:4" x14ac:dyDescent="0.2">
      <c r="A2636" s="5">
        <v>2575</v>
      </c>
      <c r="B2636" s="138">
        <f>'Acct Summary 7-8'!E20</f>
        <v>755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2276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2276</v>
      </c>
      <c r="C2658" s="2" t="s">
        <v>594</v>
      </c>
      <c r="D2658" s="2" t="str">
        <f t="shared" si="40"/>
        <v>Error?</v>
      </c>
    </row>
    <row r="2659" spans="1:4" x14ac:dyDescent="0.2">
      <c r="A2659" s="5">
        <v>2598</v>
      </c>
      <c r="B2659" s="138">
        <f>'Acct Summary 7-8'!H13</f>
        <v>601154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601154</v>
      </c>
      <c r="C2661" s="2" t="s">
        <v>594</v>
      </c>
      <c r="D2661" s="2" t="str">
        <f t="shared" si="40"/>
        <v>Error?</v>
      </c>
    </row>
    <row r="2662" spans="1:4" x14ac:dyDescent="0.2">
      <c r="A2662" s="5">
        <v>2601</v>
      </c>
      <c r="B2662" s="138">
        <f>'Acct Summary 7-8'!H20</f>
        <v>-598878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269641</v>
      </c>
      <c r="C2789" s="2" t="s">
        <v>594</v>
      </c>
      <c r="D2789" s="2" t="str">
        <f t="shared" si="42"/>
        <v>Error?</v>
      </c>
    </row>
    <row r="2790" spans="1:4" x14ac:dyDescent="0.2">
      <c r="A2790" s="5">
        <v>2729</v>
      </c>
      <c r="B2790" s="138">
        <f>'Expenditures 15-22'!E102</f>
        <v>269641</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1007867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68771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1007867</v>
      </c>
      <c r="D2912" s="2" t="str">
        <f t="shared" si="44"/>
        <v>Error?</v>
      </c>
    </row>
    <row r="2913" spans="1:4" x14ac:dyDescent="0.2">
      <c r="A2913" s="5">
        <v>2852</v>
      </c>
      <c r="B2913" s="138">
        <f>'Assets-Liab 5-6'!I41</f>
        <v>1007867</v>
      </c>
      <c r="C2913" s="2" t="s">
        <v>594</v>
      </c>
      <c r="D2913" s="2" t="str">
        <f t="shared" si="44"/>
        <v>Error?</v>
      </c>
    </row>
    <row r="2914" spans="1:4" x14ac:dyDescent="0.2">
      <c r="A2914" s="5">
        <v>2853</v>
      </c>
      <c r="B2914" s="138">
        <f>'Assets-Liab 5-6'!L33</f>
        <v>59039</v>
      </c>
      <c r="D2914" s="2" t="str">
        <f t="shared" si="44"/>
        <v>Error?</v>
      </c>
    </row>
    <row r="2915" spans="1:4" x14ac:dyDescent="0.2">
      <c r="A2915" s="10">
        <v>2854</v>
      </c>
      <c r="D2915" s="2" t="str">
        <f t="shared" si="44"/>
        <v>OK</v>
      </c>
    </row>
    <row r="2916" spans="1:4" x14ac:dyDescent="0.2">
      <c r="A2916" s="5">
        <v>2855</v>
      </c>
      <c r="B2916" s="138">
        <f>'Assets-Liab 5-6'!L34</f>
        <v>59039</v>
      </c>
      <c r="C2916" s="2" t="s">
        <v>594</v>
      </c>
      <c r="D2916" s="2" t="str">
        <f t="shared" si="44"/>
        <v>Error?</v>
      </c>
    </row>
    <row r="2917" spans="1:4" x14ac:dyDescent="0.2">
      <c r="A2917" s="5">
        <v>2856</v>
      </c>
      <c r="B2917" s="138">
        <f>'Assets-Liab 5-6'!L41</f>
        <v>68771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269641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269641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44807</v>
      </c>
      <c r="D3055" s="2" t="str">
        <f t="shared" si="46"/>
        <v>Error?</v>
      </c>
    </row>
    <row r="3056" spans="1:4" x14ac:dyDescent="0.2">
      <c r="A3056" s="5">
        <v>2995</v>
      </c>
      <c r="B3056" s="138">
        <f>'Expenditures 15-22'!D10</f>
        <v>14235</v>
      </c>
      <c r="D3056" s="2" t="str">
        <f t="shared" si="46"/>
        <v>Error?</v>
      </c>
    </row>
    <row r="3057" spans="1:4" x14ac:dyDescent="0.2">
      <c r="A3057" s="5">
        <v>2996</v>
      </c>
      <c r="B3057" s="138">
        <f>'Expenditures 15-22'!E10</f>
        <v>22576</v>
      </c>
      <c r="D3057" s="2" t="str">
        <f t="shared" si="46"/>
        <v>Error?</v>
      </c>
    </row>
    <row r="3058" spans="1:4" x14ac:dyDescent="0.2">
      <c r="A3058" s="5">
        <v>2997</v>
      </c>
      <c r="B3058" s="138">
        <f>'Expenditures 15-22'!F10</f>
        <v>44088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125706</v>
      </c>
      <c r="C3062" s="2" t="s">
        <v>594</v>
      </c>
      <c r="D3062" s="2" t="str">
        <f t="shared" si="46"/>
        <v>Error?</v>
      </c>
    </row>
    <row r="3063" spans="1:4" x14ac:dyDescent="0.2">
      <c r="A3063" s="10">
        <v>3002</v>
      </c>
      <c r="D3063" s="2" t="str">
        <f t="shared" si="46"/>
        <v>OK</v>
      </c>
    </row>
    <row r="3064" spans="1:4" x14ac:dyDescent="0.2">
      <c r="A3064" s="5">
        <v>3003</v>
      </c>
      <c r="B3064" s="138">
        <f>'Expenditures 15-22'!D219</f>
        <v>487</v>
      </c>
      <c r="D3064" s="2" t="str">
        <f t="shared" si="46"/>
        <v>Error?</v>
      </c>
    </row>
    <row r="3065" spans="1:4" x14ac:dyDescent="0.2">
      <c r="A3065" s="5">
        <v>3004</v>
      </c>
      <c r="B3065" s="138">
        <f>'Expenditures 15-22'!K219</f>
        <v>487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9732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350520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350520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10650</v>
      </c>
      <c r="C3225" s="2" t="s">
        <v>594</v>
      </c>
      <c r="D3225" s="2" t="str">
        <f t="shared" si="49"/>
        <v>Error?</v>
      </c>
    </row>
    <row r="3226" spans="1:4" x14ac:dyDescent="0.2">
      <c r="A3226" s="5">
        <v>3165</v>
      </c>
      <c r="B3226" s="138">
        <f>'Acct Summary 7-8'!I8</f>
        <v>10650</v>
      </c>
      <c r="C3226" s="2" t="s">
        <v>594</v>
      </c>
      <c r="D3226" s="2" t="str">
        <f t="shared" si="49"/>
        <v>Error?</v>
      </c>
    </row>
    <row r="3227" spans="1:4" x14ac:dyDescent="0.2">
      <c r="A3227" s="5">
        <v>3166</v>
      </c>
      <c r="B3227" s="138">
        <f>'Acct Summary 7-8'!I20</f>
        <v>10650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4890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4890</v>
      </c>
      <c r="C3232" s="2" t="s">
        <v>594</v>
      </c>
      <c r="D3232" s="2" t="str">
        <f t="shared" si="49"/>
        <v>Error?</v>
      </c>
    </row>
    <row r="3233" spans="1:4" x14ac:dyDescent="0.2">
      <c r="A3233" s="5">
        <v>3172</v>
      </c>
      <c r="B3233" s="138">
        <f>'Acct Summary 7-8'!C78</f>
        <v>317783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350520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350520</v>
      </c>
      <c r="C3238" s="2" t="s">
        <v>594</v>
      </c>
      <c r="D3238" s="2" t="str">
        <f t="shared" si="49"/>
        <v>Error?</v>
      </c>
    </row>
    <row r="3239" spans="1:4" x14ac:dyDescent="0.2">
      <c r="A3239" s="5">
        <v>3178</v>
      </c>
      <c r="B3239" s="138">
        <f>'Acct Summary 7-8'!D78</f>
        <v>486798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53246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-33127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755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350520</v>
      </c>
      <c r="C3298" s="2" t="s">
        <v>594</v>
      </c>
      <c r="D3298" s="2" t="str">
        <f t="shared" si="50"/>
        <v>Error?</v>
      </c>
    </row>
    <row r="3299" spans="1:4" x14ac:dyDescent="0.2">
      <c r="A3299" s="5">
        <v>3238</v>
      </c>
      <c r="B3299" s="138">
        <f>'Acct Summary 7-8'!H77</f>
        <v>-350520</v>
      </c>
      <c r="C3299" s="2" t="s">
        <v>594</v>
      </c>
      <c r="D3299" s="2" t="str">
        <f t="shared" si="50"/>
        <v>Error?</v>
      </c>
    </row>
    <row r="3300" spans="1:4" x14ac:dyDescent="0.2">
      <c r="A3300" s="5">
        <v>3239</v>
      </c>
      <c r="B3300" s="138">
        <f>'Acct Summary 7-8'!H78</f>
        <v>-949398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10650</v>
      </c>
      <c r="C3320" s="2" t="s">
        <v>594</v>
      </c>
      <c r="D3320" s="2" t="str">
        <f t="shared" si="50"/>
        <v>Error?</v>
      </c>
    </row>
    <row r="3321" spans="1:4" x14ac:dyDescent="0.2">
      <c r="A3321" s="5">
        <v>3260</v>
      </c>
      <c r="B3321" s="138">
        <f>'Acct Summary 7-8'!I79</f>
        <v>997217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1007867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577860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126658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4954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2943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712415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35299</v>
      </c>
      <c r="D3387" s="2" t="str">
        <f t="shared" si="51"/>
        <v>Error?</v>
      </c>
    </row>
    <row r="3388" spans="1:4" x14ac:dyDescent="0.2">
      <c r="A3388" s="5">
        <v>3327</v>
      </c>
      <c r="B3388" s="138">
        <f>'Expenditures 15-22'!D217</f>
        <v>33505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35299</v>
      </c>
      <c r="C3390" s="2" t="s">
        <v>594</v>
      </c>
      <c r="D3390" s="2" t="str">
        <f t="shared" si="51"/>
        <v>Error?</v>
      </c>
    </row>
    <row r="3391" spans="1:4" x14ac:dyDescent="0.2">
      <c r="A3391" s="5">
        <v>3330</v>
      </c>
      <c r="B3391" s="138">
        <f>'Expenditures 15-22'!K217</f>
        <v>33505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2984673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2218189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30295</v>
      </c>
      <c r="D3417" s="2" t="str">
        <f t="shared" si="52"/>
        <v>Error?</v>
      </c>
    </row>
    <row r="3418" spans="1:4" x14ac:dyDescent="0.2">
      <c r="A3418" s="10">
        <v>3357</v>
      </c>
      <c r="D3418" s="2" t="str">
        <f t="shared" si="52"/>
        <v>OK</v>
      </c>
    </row>
    <row r="3419" spans="1:4" x14ac:dyDescent="0.2">
      <c r="A3419" s="5">
        <v>3358</v>
      </c>
      <c r="B3419" s="138">
        <f>'Assets-Liab 5-6'!F4</f>
        <v>518499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165197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1007867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68771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101976</v>
      </c>
      <c r="C3446" s="2" t="s">
        <v>594</v>
      </c>
      <c r="D3446" s="2" t="str">
        <f t="shared" si="52"/>
        <v>Error?</v>
      </c>
    </row>
    <row r="3447" spans="1:4" x14ac:dyDescent="0.2">
      <c r="A3447" s="5">
        <v>3386</v>
      </c>
      <c r="B3447" s="138">
        <f>'Tax Sched 23'!D16</f>
        <v>101976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102015</v>
      </c>
      <c r="C3449" s="2" t="s">
        <v>594</v>
      </c>
      <c r="D3449" s="2" t="str">
        <f t="shared" si="52"/>
        <v>Error?</v>
      </c>
    </row>
    <row r="3450" spans="1:4" x14ac:dyDescent="0.2">
      <c r="A3450" s="5">
        <v>3389</v>
      </c>
      <c r="B3450" s="138">
        <f>'Tax Sched 23'!E16</f>
        <v>102015</v>
      </c>
      <c r="D3450" s="2" t="str">
        <f t="shared" si="52"/>
        <v>Error?</v>
      </c>
    </row>
    <row r="3451" spans="1:4" x14ac:dyDescent="0.2">
      <c r="A3451" s="5">
        <v>3390</v>
      </c>
      <c r="B3451" s="138">
        <f>'Cap Outlay Deprec 26'!C15</f>
        <v>6116535</v>
      </c>
      <c r="D3451" s="2" t="str">
        <f t="shared" si="52"/>
        <v>Error?</v>
      </c>
    </row>
    <row r="3452" spans="1:4" x14ac:dyDescent="0.2">
      <c r="A3452" s="5">
        <v>3391</v>
      </c>
      <c r="B3452" s="138">
        <f>'Cap Outlay Deprec 26'!D15</f>
        <v>573215</v>
      </c>
      <c r="D3452" s="2" t="str">
        <f t="shared" si="52"/>
        <v>Error?</v>
      </c>
    </row>
    <row r="3453" spans="1:4" x14ac:dyDescent="0.2">
      <c r="A3453" s="5">
        <v>3392</v>
      </c>
      <c r="B3453" s="138">
        <f>'Cap Outlay Deprec 26'!E15</f>
        <v>6689750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4890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30054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30054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30054</v>
      </c>
      <c r="D3567" s="2" t="str">
        <f t="shared" si="54"/>
        <v>Error?</v>
      </c>
    </row>
    <row r="3568" spans="1:4" x14ac:dyDescent="0.2">
      <c r="A3568" s="5">
        <v>3507</v>
      </c>
      <c r="B3568" s="138">
        <f>'Assets-Liab 5-6'!K41</f>
        <v>30054</v>
      </c>
      <c r="C3568" s="2" t="s">
        <v>594</v>
      </c>
      <c r="D3568" s="2" t="str">
        <f t="shared" si="54"/>
        <v>Error?</v>
      </c>
    </row>
    <row r="3569" spans="1:4" x14ac:dyDescent="0.2">
      <c r="A3569" s="5">
        <v>3508</v>
      </c>
      <c r="B3569" s="138">
        <f>'Acct Summary 7-8'!K4</f>
        <v>33525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33525</v>
      </c>
      <c r="C3571" s="2" t="s">
        <v>594</v>
      </c>
      <c r="D3571" s="2" t="str">
        <f t="shared" si="54"/>
        <v>Error?</v>
      </c>
    </row>
    <row r="3572" spans="1:4" x14ac:dyDescent="0.2">
      <c r="A3572" s="5">
        <v>3511</v>
      </c>
      <c r="B3572" s="138">
        <f>'Acct Summary 7-8'!K13</f>
        <v>30100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30100</v>
      </c>
      <c r="C3575" s="2" t="s">
        <v>594</v>
      </c>
      <c r="D3575" s="2" t="str">
        <f t="shared" si="54"/>
        <v>Error?</v>
      </c>
    </row>
    <row r="3576" spans="1:4" x14ac:dyDescent="0.2">
      <c r="A3576" s="5">
        <v>3515</v>
      </c>
      <c r="B3576" s="138">
        <f>'Acct Summary 7-8'!K20</f>
        <v>3425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3425</v>
      </c>
      <c r="C3588" s="2" t="s">
        <v>594</v>
      </c>
      <c r="D3588" s="2" t="str">
        <f t="shared" si="55"/>
        <v>Error?</v>
      </c>
    </row>
    <row r="3589" spans="1:4" x14ac:dyDescent="0.2">
      <c r="A3589" s="5">
        <v>3528</v>
      </c>
      <c r="B3589" s="138">
        <f>'Acct Summary 7-8'!K79</f>
        <v>26629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30054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30100</v>
      </c>
      <c r="D3646" s="2" t="str">
        <f t="shared" si="55"/>
        <v>Error?</v>
      </c>
    </row>
    <row r="3647" spans="1:4" x14ac:dyDescent="0.2">
      <c r="A3647" s="5">
        <v>3586</v>
      </c>
      <c r="B3647" s="138">
        <f>'Expenditures 15-22'!G350</f>
        <v>30100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30100</v>
      </c>
      <c r="C3649" s="2" t="s">
        <v>594</v>
      </c>
      <c r="D3649" s="2" t="str">
        <f t="shared" si="56"/>
        <v>Error?</v>
      </c>
    </row>
    <row r="3650" spans="1:4" x14ac:dyDescent="0.2">
      <c r="A3650" s="5">
        <v>3589</v>
      </c>
      <c r="B3650" s="138">
        <f>'Expenditures 15-22'!G367</f>
        <v>30100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30100</v>
      </c>
      <c r="C3669" s="2" t="s">
        <v>594</v>
      </c>
      <c r="D3669" s="2" t="str">
        <f t="shared" si="56"/>
        <v>Error?</v>
      </c>
    </row>
    <row r="3670" spans="1:4" x14ac:dyDescent="0.2">
      <c r="A3670" s="5">
        <v>3609</v>
      </c>
      <c r="B3670" s="138">
        <f>'Expenditures 15-22'!K350</f>
        <v>30100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30100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30100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3425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16671</v>
      </c>
      <c r="C3725" s="2" t="s">
        <v>594</v>
      </c>
      <c r="D3725" s="2" t="str">
        <f t="shared" si="57"/>
        <v>Error?</v>
      </c>
    </row>
    <row r="3726" spans="1:4" x14ac:dyDescent="0.2">
      <c r="A3726" s="5">
        <v>3665</v>
      </c>
      <c r="B3726" s="138">
        <f>'Tax Sched 23'!D13</f>
        <v>16671</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17003</v>
      </c>
      <c r="C3728" s="2" t="s">
        <v>594</v>
      </c>
      <c r="D3728" s="2" t="str">
        <f t="shared" si="57"/>
        <v>Error?</v>
      </c>
    </row>
    <row r="3729" spans="1:4" x14ac:dyDescent="0.2">
      <c r="A3729" s="5">
        <v>3668</v>
      </c>
      <c r="B3729" s="138">
        <f>'Tax Sched 23'!E13</f>
        <v>17003</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2564273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8359668</v>
      </c>
      <c r="C4122" s="2" t="s">
        <v>594</v>
      </c>
      <c r="D4122" s="2" t="str">
        <f t="shared" si="63"/>
        <v>Error?</v>
      </c>
    </row>
    <row r="4123" spans="1:4" x14ac:dyDescent="0.2">
      <c r="A4123" s="5">
        <v>4062</v>
      </c>
      <c r="B4123" s="138">
        <f>'Acct Summary 7-8'!D10</f>
        <v>668712</v>
      </c>
      <c r="C4123" s="2" t="s">
        <v>594</v>
      </c>
      <c r="D4123" s="2" t="str">
        <f t="shared" si="63"/>
        <v>Error?</v>
      </c>
    </row>
    <row r="4124" spans="1:4" x14ac:dyDescent="0.2">
      <c r="A4124" s="5">
        <v>4063</v>
      </c>
      <c r="B4124" s="138">
        <f>'Acct Summary 7-8'!E10</f>
        <v>1081141</v>
      </c>
      <c r="C4124" s="2" t="s">
        <v>594</v>
      </c>
      <c r="D4124" s="2" t="str">
        <f t="shared" si="63"/>
        <v>Error?</v>
      </c>
    </row>
    <row r="4125" spans="1:4" x14ac:dyDescent="0.2">
      <c r="A4125" s="5">
        <v>4064</v>
      </c>
      <c r="B4125" s="138">
        <f>'Acct Summary 7-8'!F10</f>
        <v>408977</v>
      </c>
      <c r="C4125" s="2" t="s">
        <v>594</v>
      </c>
      <c r="D4125" s="2" t="str">
        <f t="shared" si="63"/>
        <v>Error?</v>
      </c>
    </row>
    <row r="4126" spans="1:4" x14ac:dyDescent="0.2">
      <c r="A4126" s="5">
        <v>4065</v>
      </c>
      <c r="B4126" s="138">
        <f>'Acct Summary 7-8'!G10</f>
        <v>186528</v>
      </c>
      <c r="C4126" s="2" t="s">
        <v>594</v>
      </c>
      <c r="D4126" s="2" t="str">
        <f t="shared" si="63"/>
        <v>Error?</v>
      </c>
    </row>
    <row r="4127" spans="1:4" x14ac:dyDescent="0.2">
      <c r="A4127" s="5">
        <v>4066</v>
      </c>
      <c r="B4127" s="138">
        <f>'Acct Summary 7-8'!H10</f>
        <v>2276</v>
      </c>
      <c r="C4127" s="2" t="s">
        <v>594</v>
      </c>
      <c r="D4127" s="2" t="str">
        <f t="shared" si="63"/>
        <v>Error?</v>
      </c>
    </row>
    <row r="4128" spans="1:4" x14ac:dyDescent="0.2">
      <c r="A4128" s="5">
        <v>4067</v>
      </c>
      <c r="B4128" s="138">
        <f>'Acct Summary 7-8'!I10</f>
        <v>10650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33525</v>
      </c>
      <c r="C4130" s="2" t="s">
        <v>594</v>
      </c>
      <c r="D4130" s="2" t="str">
        <f t="shared" si="63"/>
        <v>Error?</v>
      </c>
    </row>
    <row r="4131" spans="1:4" x14ac:dyDescent="0.2">
      <c r="A4131" s="5">
        <v>4070</v>
      </c>
      <c r="B4131" s="138">
        <f>'Acct Summary 7-8'!C18</f>
        <v>2564273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8046775</v>
      </c>
      <c r="C4136" s="2" t="s">
        <v>594</v>
      </c>
      <c r="D4136" s="2" t="str">
        <f t="shared" si="63"/>
        <v>Error?</v>
      </c>
    </row>
    <row r="4137" spans="1:4" x14ac:dyDescent="0.2">
      <c r="A4137" s="5">
        <v>4076</v>
      </c>
      <c r="B4137" s="138">
        <f>'Acct Summary 7-8'!D19</f>
        <v>532434</v>
      </c>
      <c r="C4137" s="2" t="s">
        <v>594</v>
      </c>
      <c r="D4137" s="2" t="str">
        <f t="shared" si="63"/>
        <v>Error?</v>
      </c>
    </row>
    <row r="4138" spans="1:4" x14ac:dyDescent="0.2">
      <c r="A4138" s="5">
        <v>4077</v>
      </c>
      <c r="B4138" s="138">
        <f>'Acct Summary 7-8'!E19</f>
        <v>1080386</v>
      </c>
      <c r="C4138" s="2" t="s">
        <v>594</v>
      </c>
      <c r="D4138" s="2" t="str">
        <f t="shared" si="63"/>
        <v>Error?</v>
      </c>
    </row>
    <row r="4139" spans="1:4" x14ac:dyDescent="0.2">
      <c r="A4139" s="5">
        <v>4078</v>
      </c>
      <c r="B4139" s="138">
        <f>'Acct Summary 7-8'!F19</f>
        <v>355731</v>
      </c>
      <c r="C4139" s="2" t="s">
        <v>594</v>
      </c>
      <c r="D4139" s="2" t="str">
        <f t="shared" si="63"/>
        <v>Error?</v>
      </c>
    </row>
    <row r="4140" spans="1:4" x14ac:dyDescent="0.2">
      <c r="A4140" s="5">
        <v>4079</v>
      </c>
      <c r="B4140" s="138">
        <f>'Acct Summary 7-8'!G19</f>
        <v>219655</v>
      </c>
      <c r="C4140" s="2" t="s">
        <v>594</v>
      </c>
      <c r="D4140" s="2" t="str">
        <f t="shared" si="63"/>
        <v>Error?</v>
      </c>
    </row>
    <row r="4141" spans="1:4" x14ac:dyDescent="0.2">
      <c r="A4141" s="5">
        <v>4080</v>
      </c>
      <c r="B4141" s="138">
        <f>'Acct Summary 7-8'!H19</f>
        <v>601154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30100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7100889</v>
      </c>
      <c r="C4171" s="2" t="s">
        <v>594</v>
      </c>
      <c r="D4171" s="2" t="str">
        <f t="shared" si="64"/>
        <v>Error?</v>
      </c>
    </row>
    <row r="4172" spans="1:4" x14ac:dyDescent="0.2">
      <c r="A4172" s="5">
        <v>4111</v>
      </c>
      <c r="B4172" s="138">
        <f>'Short-Term Long-Term Debt 24'!J49</f>
        <v>7070594</v>
      </c>
      <c r="C4172" s="2" t="s">
        <v>594</v>
      </c>
      <c r="D4172" s="2" t="str">
        <f t="shared" si="64"/>
        <v>Error?</v>
      </c>
    </row>
    <row r="4173" spans="1:4" x14ac:dyDescent="0.2">
      <c r="A4173" s="5">
        <v>4112</v>
      </c>
      <c r="B4173" s="138">
        <f>'Short-Term Long-Term Debt 24'!H49</f>
        <v>945446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30446</v>
      </c>
      <c r="D4210" s="2" t="str">
        <f t="shared" si="64"/>
        <v>Error?</v>
      </c>
    </row>
    <row r="4211" spans="1:4" x14ac:dyDescent="0.2">
      <c r="A4211" s="5">
        <v>4150</v>
      </c>
      <c r="B4211" s="138">
        <f>'Expenditures 15-22'!K206</f>
        <v>30446</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1730</v>
      </c>
      <c r="C4265" s="2" t="s">
        <v>594</v>
      </c>
      <c r="D4265" s="2" t="str">
        <f t="shared" si="65"/>
        <v>Error?</v>
      </c>
      <c r="E4265" s="128"/>
    </row>
    <row r="4266" spans="1:5" x14ac:dyDescent="0.2">
      <c r="A4266" s="12">
        <v>4205</v>
      </c>
      <c r="B4266" s="138">
        <f>('FP Info 3'!F10)*100000</f>
        <v>305.90000000000003</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2156</v>
      </c>
      <c r="C4268" s="2" t="s">
        <v>594</v>
      </c>
      <c r="D4268" s="2" t="str">
        <f t="shared" si="65"/>
        <v>Error?</v>
      </c>
    </row>
    <row r="4269" spans="1:5" x14ac:dyDescent="0.2">
      <c r="A4269" s="12">
        <v>4208</v>
      </c>
      <c r="B4269" s="138">
        <f>'FP Info 3'!J16</f>
        <v>6729228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4643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5905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26663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3898</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163486249</v>
      </c>
      <c r="D4995" s="2" t="str">
        <f t="shared" si="77"/>
        <v>Error?</v>
      </c>
    </row>
    <row r="4996" spans="1:4" x14ac:dyDescent="0.2">
      <c r="A4996" s="12">
        <v>4935</v>
      </c>
      <c r="B4996" s="138">
        <f>'FP Info 3'!H31</f>
        <v>11280551.181000002</v>
      </c>
      <c r="D4996" s="2" t="str">
        <f t="shared" si="77"/>
        <v>Error?</v>
      </c>
    </row>
    <row r="4997" spans="1:4" x14ac:dyDescent="0.2">
      <c r="A4997" s="12">
        <v>4936</v>
      </c>
      <c r="B4997" s="138">
        <f>'FP Info 3'!H37</f>
        <v>7100889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16671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2827146</v>
      </c>
      <c r="D5061" s="2" t="str">
        <f t="shared" si="78"/>
        <v>Error?</v>
      </c>
    </row>
    <row r="5062" spans="1:4" x14ac:dyDescent="0.2">
      <c r="A5062" s="10">
        <v>5001</v>
      </c>
      <c r="D5062" s="2" t="str">
        <f t="shared" si="78"/>
        <v>OK</v>
      </c>
    </row>
    <row r="5063" spans="1:4" x14ac:dyDescent="0.2">
      <c r="A5063" s="5">
        <v>5002</v>
      </c>
      <c r="B5063" s="138">
        <f>'Revenues 9-14'!C7</f>
        <v>32683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2876500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7851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7851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12964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12964</v>
      </c>
      <c r="C5087" s="2" t="s">
        <v>594</v>
      </c>
      <c r="D5087" s="2" t="str">
        <f t="shared" si="78"/>
        <v>Error?</v>
      </c>
    </row>
    <row r="5088" spans="1:4" x14ac:dyDescent="0.2">
      <c r="A5088" s="5">
        <v>5027</v>
      </c>
      <c r="B5088" s="138">
        <f>'Revenues 9-14'!C65</f>
        <v>38542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38542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5562</v>
      </c>
      <c r="D5094" s="2" t="str">
        <f t="shared" si="78"/>
        <v>Error?</v>
      </c>
    </row>
    <row r="5095" spans="1:4" x14ac:dyDescent="0.2">
      <c r="A5095" s="5">
        <v>5034</v>
      </c>
      <c r="B5095" s="138">
        <f>'Revenues 9-14'!C74</f>
        <v>18054</v>
      </c>
      <c r="D5095" s="2" t="str">
        <f t="shared" si="78"/>
        <v>Error?</v>
      </c>
    </row>
    <row r="5096" spans="1:4" x14ac:dyDescent="0.2">
      <c r="A5096" s="5">
        <v>5035</v>
      </c>
      <c r="B5096" s="138">
        <f>'Revenues 9-14'!C75</f>
        <v>193890</v>
      </c>
      <c r="C5096" s="2" t="s">
        <v>594</v>
      </c>
      <c r="D5096" s="2" t="str">
        <f t="shared" si="78"/>
        <v>Error?</v>
      </c>
    </row>
    <row r="5097" spans="1:4" x14ac:dyDescent="0.2">
      <c r="A5097" s="5">
        <v>5036</v>
      </c>
      <c r="B5097" s="138">
        <f>'Revenues 9-14'!C77</f>
        <v>18179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7905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30660</v>
      </c>
      <c r="D5101" s="2" t="str">
        <f t="shared" si="78"/>
        <v>Error?</v>
      </c>
    </row>
    <row r="5102" spans="1:4" x14ac:dyDescent="0.2">
      <c r="A5102" s="5">
        <v>5041</v>
      </c>
      <c r="B5102" s="138">
        <f>'Revenues 9-14'!C82</f>
        <v>56744</v>
      </c>
      <c r="C5102" s="2" t="s">
        <v>594</v>
      </c>
      <c r="D5102" s="2" t="str">
        <f t="shared" si="78"/>
        <v>Error?</v>
      </c>
    </row>
    <row r="5103" spans="1:4" x14ac:dyDescent="0.2">
      <c r="A5103" s="5">
        <v>5042</v>
      </c>
      <c r="B5103" s="138">
        <f>'Revenues 9-14'!C84</f>
        <v>63318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63318</v>
      </c>
      <c r="C5112" s="2" t="s">
        <v>594</v>
      </c>
      <c r="D5112" s="2" t="str">
        <f t="shared" si="78"/>
        <v>Error?</v>
      </c>
    </row>
    <row r="5113" spans="1:4" x14ac:dyDescent="0.2">
      <c r="A5113" s="5">
        <v>5052</v>
      </c>
      <c r="B5113" s="138">
        <f>'Revenues 9-14'!C95</f>
        <v>850</v>
      </c>
      <c r="D5113" s="2" t="str">
        <f t="shared" si="78"/>
        <v>Error?</v>
      </c>
    </row>
    <row r="5114" spans="1:4" x14ac:dyDescent="0.2">
      <c r="A5114" s="5">
        <v>5053</v>
      </c>
      <c r="B5114" s="138">
        <f>'Revenues 9-14'!C96</f>
        <v>1043</v>
      </c>
      <c r="D5114" s="2" t="str">
        <f t="shared" si="78"/>
        <v>Error?</v>
      </c>
    </row>
    <row r="5115" spans="1:4" x14ac:dyDescent="0.2">
      <c r="A5115" s="5">
        <v>5054</v>
      </c>
      <c r="B5115" s="138">
        <f>'Revenues 9-14'!C98</f>
        <v>7000</v>
      </c>
      <c r="D5115" s="2" t="str">
        <f t="shared" si="78"/>
        <v>Error?</v>
      </c>
    </row>
    <row r="5116" spans="1:4" x14ac:dyDescent="0.2">
      <c r="A5116" s="5">
        <v>5055</v>
      </c>
      <c r="B5116" s="138">
        <f>'Revenues 9-14'!C99</f>
        <v>38385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7438</v>
      </c>
      <c r="D5118" s="2" t="str">
        <f t="shared" si="78"/>
        <v>Error?</v>
      </c>
    </row>
    <row r="5119" spans="1:4" x14ac:dyDescent="0.2">
      <c r="A5119" s="5">
        <v>5058</v>
      </c>
      <c r="B5119" s="138">
        <f>'Revenues 9-14'!C107</f>
        <v>556</v>
      </c>
      <c r="D5119" s="2" t="str">
        <f t="shared" ref="D5119:D5182" si="79">IF(ISBLANK(B5119),"OK",IF(A5119-B5119=0,"OK","Error?"))</f>
        <v>Error?</v>
      </c>
    </row>
    <row r="5120" spans="1:4" x14ac:dyDescent="0.2">
      <c r="A5120" s="5">
        <v>5059</v>
      </c>
      <c r="B5120" s="138">
        <f>'Revenues 9-14'!C108</f>
        <v>55272</v>
      </c>
      <c r="C5120" s="2" t="s">
        <v>594</v>
      </c>
      <c r="D5120" s="2" t="str">
        <f t="shared" si="79"/>
        <v>Error?</v>
      </c>
    </row>
    <row r="5121" spans="1:4" x14ac:dyDescent="0.2">
      <c r="A5121" s="5">
        <v>5060</v>
      </c>
      <c r="B5121" s="138">
        <f>'Revenues 9-14'!C109</f>
        <v>3305081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1992495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1992495</v>
      </c>
      <c r="C5132" s="2" t="s">
        <v>594</v>
      </c>
      <c r="D5132" s="2" t="str">
        <f t="shared" si="79"/>
        <v>Error?</v>
      </c>
    </row>
    <row r="5133" spans="1:4" x14ac:dyDescent="0.2">
      <c r="A5133" s="5">
        <v>5072</v>
      </c>
      <c r="B5133" s="138">
        <f>'Revenues 9-14'!C124</f>
        <v>10533</v>
      </c>
      <c r="D5133" s="2" t="str">
        <f t="shared" si="79"/>
        <v>Error?</v>
      </c>
    </row>
    <row r="5134" spans="1:4" x14ac:dyDescent="0.2">
      <c r="A5134" s="5">
        <v>5073</v>
      </c>
      <c r="B5134" s="138">
        <f>'Revenues 9-14'!C125</f>
        <v>54615</v>
      </c>
      <c r="D5134" s="2" t="str">
        <f t="shared" si="79"/>
        <v>Error?</v>
      </c>
    </row>
    <row r="5135" spans="1:4" x14ac:dyDescent="0.2">
      <c r="A5135" s="5">
        <v>5074</v>
      </c>
      <c r="B5135" s="138">
        <f>'Revenues 9-14'!C126</f>
        <v>62016</v>
      </c>
      <c r="D5135" s="2" t="str">
        <f t="shared" si="79"/>
        <v>Error?</v>
      </c>
    </row>
    <row r="5136" spans="1:4" x14ac:dyDescent="0.2">
      <c r="A5136" s="10">
        <v>5075</v>
      </c>
      <c r="D5136" s="2" t="str">
        <f t="shared" si="79"/>
        <v>OK</v>
      </c>
    </row>
    <row r="5137" spans="1:4" x14ac:dyDescent="0.2">
      <c r="A5137" s="5">
        <v>5076</v>
      </c>
      <c r="B5137" s="138">
        <f>'Revenues 9-14'!C127</f>
        <v>27195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154359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658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155017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2147512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69334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69334</v>
      </c>
      <c r="C5246" s="2" t="s">
        <v>594</v>
      </c>
      <c r="D5246" s="2" t="str">
        <f t="shared" si="80"/>
        <v>Error?</v>
      </c>
    </row>
    <row r="5247" spans="1:4" x14ac:dyDescent="0.2">
      <c r="A5247" s="5">
        <v>5186</v>
      </c>
      <c r="B5247" s="138">
        <f>'Revenues 9-14'!C203</f>
        <v>70322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70322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165935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165935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342802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342802</v>
      </c>
      <c r="C5326" s="2" t="s">
        <v>594</v>
      </c>
      <c r="D5326" s="2" t="str">
        <f t="shared" si="82"/>
        <v>Error?</v>
      </c>
    </row>
    <row r="5327" spans="1:4" x14ac:dyDescent="0.2">
      <c r="A5327" s="5">
        <v>5266</v>
      </c>
      <c r="B5327" s="138">
        <f>'Revenues 9-14'!C275</f>
        <v>5795395</v>
      </c>
      <c r="C5327" s="2" t="s">
        <v>594</v>
      </c>
      <c r="D5327" s="2" t="str">
        <f t="shared" si="82"/>
        <v>Error?</v>
      </c>
    </row>
    <row r="5328" spans="1:4" x14ac:dyDescent="0.2">
      <c r="A5328" s="5">
        <v>5267</v>
      </c>
      <c r="B5328" s="138">
        <f>'Revenues 9-14'!D5</f>
        <v>584224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584224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23468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23468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51660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9360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61020</v>
      </c>
      <c r="C5355" s="2" t="s">
        <v>594</v>
      </c>
      <c r="D5355" s="2" t="str">
        <f t="shared" si="82"/>
        <v>Error?</v>
      </c>
    </row>
    <row r="5356" spans="1:4" x14ac:dyDescent="0.2">
      <c r="A5356" s="5">
        <v>5295</v>
      </c>
      <c r="B5356" s="138">
        <f>'Revenues 9-14'!D109</f>
        <v>668712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668712</v>
      </c>
      <c r="C5508" s="2" t="s">
        <v>594</v>
      </c>
      <c r="D5508" s="2" t="str">
        <f t="shared" si="85"/>
        <v>Error?</v>
      </c>
    </row>
    <row r="5509" spans="1:4" x14ac:dyDescent="0.2">
      <c r="A5509" s="5">
        <v>5448</v>
      </c>
      <c r="B5509" s="138">
        <f>'Revenues 9-14'!E5</f>
        <v>1079065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1079065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2076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2076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1081141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1081141</v>
      </c>
      <c r="C5552" s="2" t="s">
        <v>594</v>
      </c>
      <c r="D5552" s="2" t="str">
        <f t="shared" si="85"/>
        <v>Error?</v>
      </c>
    </row>
    <row r="5553" spans="1:4" x14ac:dyDescent="0.2">
      <c r="A5553" s="5">
        <v>5492</v>
      </c>
      <c r="B5553" s="138">
        <f>'Revenues 9-14'!F5</f>
        <v>196101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196101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638</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408</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1046</v>
      </c>
      <c r="C5579" s="2" t="s">
        <v>594</v>
      </c>
      <c r="D5579" s="2" t="str">
        <f t="shared" si="86"/>
        <v>Error?</v>
      </c>
    </row>
    <row r="5580" spans="1:4" x14ac:dyDescent="0.2">
      <c r="A5580" s="5">
        <v>5519</v>
      </c>
      <c r="B5580" s="138">
        <f>'Revenues 9-14'!F65</f>
        <v>5647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5647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2376</v>
      </c>
      <c r="D5586" s="2" t="str">
        <f t="shared" si="86"/>
        <v>Error?</v>
      </c>
    </row>
    <row r="5587" spans="1:4" x14ac:dyDescent="0.2">
      <c r="A5587" s="5">
        <v>5526</v>
      </c>
      <c r="B5587" s="138">
        <f>'Revenues 9-14'!F108</f>
        <v>2376</v>
      </c>
      <c r="C5587" s="2" t="s">
        <v>594</v>
      </c>
      <c r="D5587" s="2" t="str">
        <f t="shared" si="86"/>
        <v>Error?</v>
      </c>
    </row>
    <row r="5588" spans="1:4" x14ac:dyDescent="0.2">
      <c r="A5588" s="5">
        <v>5527</v>
      </c>
      <c r="B5588" s="138">
        <f>'Revenues 9-14'!F109</f>
        <v>205170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118489</v>
      </c>
      <c r="D5615" s="2" t="str">
        <f t="shared" si="86"/>
        <v>Error?</v>
      </c>
    </row>
    <row r="5616" spans="1:4" x14ac:dyDescent="0.2">
      <c r="A5616" s="10">
        <v>5555</v>
      </c>
      <c r="D5616" s="2" t="str">
        <f t="shared" si="86"/>
        <v>OK</v>
      </c>
    </row>
    <row r="5617" spans="1:4" x14ac:dyDescent="0.2">
      <c r="A5617" s="5">
        <v>5556</v>
      </c>
      <c r="B5617" s="138">
        <f>'Revenues 9-14'!F152</f>
        <v>81420</v>
      </c>
      <c r="D5617" s="2" t="str">
        <f t="shared" si="86"/>
        <v>Error?</v>
      </c>
    </row>
    <row r="5618" spans="1:4" x14ac:dyDescent="0.2">
      <c r="A5618" s="5">
        <v>5557</v>
      </c>
      <c r="B5618" s="138">
        <f>'Revenues 9-14'!F154</f>
        <v>199909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199909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199909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3898</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3898</v>
      </c>
      <c r="C5719" s="2" t="s">
        <v>594</v>
      </c>
      <c r="D5719" s="2" t="str">
        <f t="shared" si="88"/>
        <v>Error?</v>
      </c>
    </row>
    <row r="5720" spans="1:4" x14ac:dyDescent="0.2">
      <c r="A5720" s="5">
        <v>5659</v>
      </c>
      <c r="B5720" s="138">
        <f>'Revenues 9-14'!F275</f>
        <v>408977</v>
      </c>
      <c r="C5720" s="2" t="s">
        <v>594</v>
      </c>
      <c r="D5720" s="2" t="str">
        <f t="shared" si="88"/>
        <v>Error?</v>
      </c>
    </row>
    <row r="5721" spans="1:4" x14ac:dyDescent="0.2">
      <c r="A5721" s="5">
        <v>5660</v>
      </c>
      <c r="B5721" s="138">
        <f>'Revenues 9-14'!G5</f>
        <v>76972</v>
      </c>
      <c r="D5721" s="2" t="str">
        <f t="shared" si="88"/>
        <v>Error?</v>
      </c>
    </row>
    <row r="5722" spans="1:4" x14ac:dyDescent="0.2">
      <c r="A5722" s="5">
        <v>5661</v>
      </c>
      <c r="B5722" s="138">
        <f>'Revenues 9-14'!G7</f>
        <v>0</v>
      </c>
      <c r="D5722" s="2" t="str">
        <f t="shared" si="88"/>
        <v>Error?</v>
      </c>
    </row>
    <row r="5723" spans="1:4" x14ac:dyDescent="0.2">
      <c r="A5723" s="5">
        <v>5662</v>
      </c>
      <c r="B5723" s="138">
        <f>'Revenues 9-14'!G8</f>
        <v>101976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178948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v>
      </c>
      <c r="C5730" s="2" t="s">
        <v>594</v>
      </c>
      <c r="D5730" s="2" t="str">
        <f t="shared" si="88"/>
        <v>Error?</v>
      </c>
    </row>
    <row r="5731" spans="1:4" x14ac:dyDescent="0.2">
      <c r="A5731" s="5">
        <v>5670</v>
      </c>
      <c r="B5731" s="138">
        <f>'Revenues 9-14'!G65</f>
        <v>2580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2580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186528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2276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2276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2276</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10650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10650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10650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33175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33175</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350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350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33525</v>
      </c>
      <c r="C6023" s="2" t="s">
        <v>594</v>
      </c>
      <c r="D6023" s="2" t="str">
        <f t="shared" si="93"/>
        <v>Error?</v>
      </c>
    </row>
    <row r="6024" spans="1:5" x14ac:dyDescent="0.2">
      <c r="A6024" s="5">
        <v>5963</v>
      </c>
      <c r="B6024" s="138">
        <f>'Revenues 9-14'!G109</f>
        <v>186528</v>
      </c>
      <c r="C6024" s="2" t="s">
        <v>594</v>
      </c>
      <c r="D6024" s="2" t="str">
        <f t="shared" si="93"/>
        <v>Error?</v>
      </c>
    </row>
    <row r="6025" spans="1:5" x14ac:dyDescent="0.2">
      <c r="A6025" s="5">
        <v>5964</v>
      </c>
      <c r="B6025" s="138">
        <f>'Revenues 9-14'!H109</f>
        <v>2276</v>
      </c>
      <c r="C6025" s="2" t="s">
        <v>594</v>
      </c>
      <c r="D6025" s="2" t="str">
        <f t="shared" si="93"/>
        <v>Error?</v>
      </c>
    </row>
    <row r="6026" spans="1:5" x14ac:dyDescent="0.2">
      <c r="A6026" s="5">
        <v>5965</v>
      </c>
      <c r="B6026" s="138">
        <f>'Revenues 9-14'!I109</f>
        <v>10650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33525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170274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39010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765.59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48289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48289</v>
      </c>
      <c r="D6215" s="2" t="str">
        <f t="shared" si="96"/>
        <v>Error?</v>
      </c>
      <c r="E6215" s="2" t="s">
        <v>199</v>
      </c>
    </row>
    <row r="6216" spans="1:5" x14ac:dyDescent="0.2">
      <c r="A6216">
        <v>6155</v>
      </c>
      <c r="B6216" s="138">
        <f>'Assets-Liab 5-6'!J41</f>
        <v>48289</v>
      </c>
      <c r="D6216" s="2" t="str">
        <f t="shared" si="96"/>
        <v>Error?</v>
      </c>
      <c r="E6216" s="2" t="s">
        <v>199</v>
      </c>
    </row>
    <row r="6217" spans="1:5" x14ac:dyDescent="0.2">
      <c r="A6217">
        <v>6156</v>
      </c>
      <c r="B6217" s="138">
        <f>'Assets-Liab 5-6'!J4</f>
        <v>48289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292985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292985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292985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276549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276549</v>
      </c>
      <c r="D6229" s="2" t="str">
        <f t="shared" si="96"/>
        <v>Error?</v>
      </c>
      <c r="E6229" s="2" t="s">
        <v>199</v>
      </c>
    </row>
    <row r="6230" spans="1:5" x14ac:dyDescent="0.2">
      <c r="A6230">
        <v>6169</v>
      </c>
      <c r="B6230" s="138">
        <f>'Acct Summary 7-8'!J20</f>
        <v>16436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16436</v>
      </c>
      <c r="D6263" s="2" t="str">
        <f t="shared" si="96"/>
        <v>Error?</v>
      </c>
      <c r="E6263" s="2" t="s">
        <v>199</v>
      </c>
    </row>
    <row r="6264" spans="1:5" x14ac:dyDescent="0.2">
      <c r="A6264">
        <v>6203</v>
      </c>
      <c r="B6264" s="138">
        <f>'Acct Summary 7-8'!J79</f>
        <v>31853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48289</v>
      </c>
      <c r="D6266" s="2" t="str">
        <f t="shared" si="96"/>
        <v>Error?</v>
      </c>
      <c r="E6266" s="2" t="s">
        <v>199</v>
      </c>
    </row>
    <row r="6267" spans="1:5" x14ac:dyDescent="0.2">
      <c r="A6267">
        <v>6206</v>
      </c>
      <c r="B6267" s="138">
        <f>'Acct Summary 7-8'!C82</f>
        <v>317783</v>
      </c>
      <c r="D6267" s="2" t="str">
        <f t="shared" si="96"/>
        <v>Error?</v>
      </c>
      <c r="E6267" s="2" t="s">
        <v>199</v>
      </c>
    </row>
    <row r="6268" spans="1:5" x14ac:dyDescent="0.2">
      <c r="A6268">
        <v>6207</v>
      </c>
      <c r="B6268" s="138">
        <f>'Acct Summary 7-8'!D82</f>
        <v>486798</v>
      </c>
      <c r="D6268" s="2" t="str">
        <f t="shared" si="96"/>
        <v>Error?</v>
      </c>
      <c r="E6268" s="2" t="s">
        <v>199</v>
      </c>
    </row>
    <row r="6269" spans="1:5" x14ac:dyDescent="0.2">
      <c r="A6269">
        <v>6208</v>
      </c>
      <c r="B6269" s="138">
        <f>'Acct Summary 7-8'!E82</f>
        <v>755</v>
      </c>
      <c r="D6269" s="2" t="str">
        <f t="shared" si="96"/>
        <v>Error?</v>
      </c>
      <c r="E6269" s="2" t="s">
        <v>199</v>
      </c>
    </row>
    <row r="6270" spans="1:5" x14ac:dyDescent="0.2">
      <c r="A6270">
        <v>6209</v>
      </c>
      <c r="B6270" s="138">
        <f>'Acct Summary 7-8'!F82</f>
        <v>53246</v>
      </c>
      <c r="D6270" s="2" t="str">
        <f t="shared" si="96"/>
        <v>Error?</v>
      </c>
      <c r="E6270" s="2" t="s">
        <v>199</v>
      </c>
    </row>
    <row r="6271" spans="1:5" x14ac:dyDescent="0.2">
      <c r="A6271">
        <v>6210</v>
      </c>
      <c r="B6271" s="138">
        <f>'Acct Summary 7-8'!G82</f>
        <v>-33127</v>
      </c>
      <c r="D6271" s="2" t="str">
        <f t="shared" ref="D6271:D6334" si="97">IF(ISBLANK(B6271),"OK",IF(A6271-B6271=0,"OK","Error?"))</f>
        <v>Error?</v>
      </c>
      <c r="E6271" s="2" t="s">
        <v>199</v>
      </c>
    </row>
    <row r="6272" spans="1:5" x14ac:dyDescent="0.2">
      <c r="A6272">
        <v>6211</v>
      </c>
      <c r="B6272" s="138">
        <f>'Acct Summary 7-8'!H82</f>
        <v>-949398</v>
      </c>
      <c r="D6272" s="2" t="str">
        <f t="shared" si="97"/>
        <v>Error?</v>
      </c>
      <c r="E6272" s="2" t="s">
        <v>199</v>
      </c>
    </row>
    <row r="6273" spans="1:5" x14ac:dyDescent="0.2">
      <c r="A6273">
        <v>6212</v>
      </c>
      <c r="B6273" s="138">
        <f>'Acct Summary 7-8'!I82</f>
        <v>10650</v>
      </c>
      <c r="D6273" s="2" t="str">
        <f t="shared" si="97"/>
        <v>Error?</v>
      </c>
      <c r="E6273" s="2" t="s">
        <v>199</v>
      </c>
    </row>
    <row r="6274" spans="1:5" x14ac:dyDescent="0.2">
      <c r="A6274">
        <v>6213</v>
      </c>
      <c r="B6274" s="138">
        <f>'Acct Summary 7-8'!J82</f>
        <v>16436</v>
      </c>
      <c r="D6274" s="2" t="str">
        <f t="shared" si="97"/>
        <v>Error?</v>
      </c>
      <c r="E6274" s="2" t="s">
        <v>199</v>
      </c>
    </row>
    <row r="6275" spans="1:5" x14ac:dyDescent="0.2">
      <c r="A6275">
        <v>6214</v>
      </c>
      <c r="B6275" s="138">
        <f>'Acct Summary 7-8'!K82</f>
        <v>3425</v>
      </c>
      <c r="D6275" s="2" t="str">
        <f t="shared" si="97"/>
        <v>Error?</v>
      </c>
      <c r="E6275" s="2" t="s">
        <v>199</v>
      </c>
    </row>
    <row r="6276" spans="1:5" x14ac:dyDescent="0.2">
      <c r="A6276">
        <v>6215</v>
      </c>
      <c r="B6276" s="138">
        <f>'Acct Summary 7-8'!C83</f>
        <v>0.10647163022548869</v>
      </c>
      <c r="D6276" s="2" t="str">
        <f t="shared" si="97"/>
        <v>Error?</v>
      </c>
      <c r="E6276" s="2" t="s">
        <v>199</v>
      </c>
    </row>
    <row r="6277" spans="1:5" x14ac:dyDescent="0.2">
      <c r="A6277">
        <v>6216</v>
      </c>
      <c r="B6277" s="138">
        <f>'Acct Summary 7-8'!D83</f>
        <v>0.21945740421578144</v>
      </c>
      <c r="D6277" s="2" t="str">
        <f t="shared" si="97"/>
        <v>Error?</v>
      </c>
      <c r="E6277" s="2" t="s">
        <v>199</v>
      </c>
    </row>
    <row r="6278" spans="1:5" x14ac:dyDescent="0.2">
      <c r="A6278">
        <v>6217</v>
      </c>
      <c r="B6278" s="138">
        <f>'Acct Summary 7-8'!E83</f>
        <v>2.4921604225119656E-2</v>
      </c>
      <c r="D6278" s="2" t="str">
        <f t="shared" si="97"/>
        <v>Error?</v>
      </c>
      <c r="E6278" s="2" t="s">
        <v>199</v>
      </c>
    </row>
    <row r="6279" spans="1:5" x14ac:dyDescent="0.2">
      <c r="A6279">
        <v>6218</v>
      </c>
      <c r="B6279" s="138">
        <f>'Acct Summary 7-8'!F83</f>
        <v>0.10269257992783014</v>
      </c>
      <c r="D6279" s="2" t="str">
        <f t="shared" si="97"/>
        <v>Error?</v>
      </c>
      <c r="E6279" s="2" t="s">
        <v>199</v>
      </c>
    </row>
    <row r="6280" spans="1:5" x14ac:dyDescent="0.2">
      <c r="A6280">
        <v>6219</v>
      </c>
      <c r="B6280" s="138">
        <f>'Acct Summary 7-8'!G83</f>
        <v>-0.20053027597353462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1.0566870430324636E-2</v>
      </c>
      <c r="D6282" s="2" t="str">
        <f t="shared" si="97"/>
        <v>Error?</v>
      </c>
      <c r="E6282" s="2" t="s">
        <v>199</v>
      </c>
    </row>
    <row r="6283" spans="1:5" x14ac:dyDescent="0.2">
      <c r="A6283">
        <v>6222</v>
      </c>
      <c r="B6283" s="138">
        <f>'Acct Summary 7-8'!J83</f>
        <v>0.34036737145105511</v>
      </c>
      <c r="D6283" s="2" t="str">
        <f t="shared" si="97"/>
        <v>Error?</v>
      </c>
      <c r="E6283" s="2" t="s">
        <v>199</v>
      </c>
    </row>
    <row r="6284" spans="1:5" x14ac:dyDescent="0.2">
      <c r="A6284">
        <v>6223</v>
      </c>
      <c r="B6284" s="138">
        <f>'Acct Summary 7-8'!K83</f>
        <v>0.11396153590204298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289582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289582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1039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1039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2364</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2364</v>
      </c>
      <c r="D6351" s="2" t="str">
        <f t="shared" si="98"/>
        <v>Error?</v>
      </c>
      <c r="E6351" s="2" t="s">
        <v>199</v>
      </c>
    </row>
    <row r="6352" spans="1:5" x14ac:dyDescent="0.2">
      <c r="A6352">
        <v>6291</v>
      </c>
      <c r="B6352" s="138">
        <f>'Revenues 9-14'!J109</f>
        <v>292985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1309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238773</v>
      </c>
      <c r="D6983" s="2" t="str">
        <f t="shared" si="108"/>
        <v>Error?</v>
      </c>
    </row>
    <row r="6984" spans="1:4" x14ac:dyDescent="0.2">
      <c r="A6984">
        <v>6923</v>
      </c>
      <c r="B6984" s="138">
        <f>'Expenditures 15-22'!K86</f>
        <v>238773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238773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3049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3049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3049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276549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3049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292985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3096</v>
      </c>
      <c r="D7067" s="2" t="str">
        <f t="shared" si="109"/>
        <v>Error?</v>
      </c>
    </row>
    <row r="7068" spans="1:4" x14ac:dyDescent="0.2">
      <c r="A7068">
        <v>7007</v>
      </c>
      <c r="B7068" s="138">
        <f>'Expenditures 15-22'!K205</f>
        <v>3096</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21</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21</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34952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34952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7822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7822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141748</v>
      </c>
      <c r="D7154" s="2" t="str">
        <f t="shared" si="110"/>
        <v>Error?</v>
      </c>
    </row>
    <row r="7155" spans="1:4" x14ac:dyDescent="0.2">
      <c r="A7155">
        <v>7094</v>
      </c>
      <c r="B7155" s="138">
        <f>'Expenditures 15-22'!D323</f>
        <v>31490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173238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2750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2750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141748</v>
      </c>
      <c r="D7199" s="2" t="str">
        <f t="shared" si="111"/>
        <v>Error?</v>
      </c>
    </row>
    <row r="7200" spans="1:4" x14ac:dyDescent="0.2">
      <c r="A7200">
        <v>7139</v>
      </c>
      <c r="B7200" s="138">
        <f>'Expenditures 15-22'!D330</f>
        <v>31490</v>
      </c>
      <c r="D7200" s="2" t="str">
        <f t="shared" si="111"/>
        <v>Error?</v>
      </c>
    </row>
    <row r="7201" spans="1:4" x14ac:dyDescent="0.2">
      <c r="A7201">
        <v>7140</v>
      </c>
      <c r="B7201" s="138">
        <f>'Expenditures 15-22'!E330</f>
        <v>103311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276549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141748</v>
      </c>
      <c r="D7216" s="2" t="str">
        <f t="shared" si="111"/>
        <v>Error?</v>
      </c>
    </row>
    <row r="7217" spans="1:4" x14ac:dyDescent="0.2">
      <c r="A7217">
        <v>7156</v>
      </c>
      <c r="B7217" s="138">
        <f>'Expenditures 15-22'!D342</f>
        <v>31490</v>
      </c>
      <c r="D7217" s="2" t="str">
        <f t="shared" si="111"/>
        <v>Error?</v>
      </c>
    </row>
    <row r="7218" spans="1:4" x14ac:dyDescent="0.2">
      <c r="A7218">
        <v>7157</v>
      </c>
      <c r="B7218" s="138">
        <f>'Expenditures 15-22'!E342</f>
        <v>103311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276549</v>
      </c>
      <c r="D7224" s="2" t="str">
        <f t="shared" si="111"/>
        <v>Error?</v>
      </c>
    </row>
    <row r="7225" spans="1:4" x14ac:dyDescent="0.2">
      <c r="A7225">
        <v>7164</v>
      </c>
      <c r="B7225" s="138">
        <f>'Expenditures 15-22'!K343</f>
        <v>16436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1309</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3049</v>
      </c>
      <c r="D7624" s="2" t="str">
        <f t="shared" si="124"/>
        <v>Error?</v>
      </c>
      <c r="E7624" s="2" t="s">
        <v>19</v>
      </c>
    </row>
    <row r="7625" spans="1:5" x14ac:dyDescent="0.2">
      <c r="A7625">
        <f t="shared" si="123"/>
        <v>7564</v>
      </c>
      <c r="B7625" s="138">
        <f>'Cap Outlay Deprec 26'!I17</f>
        <v>304.89999999999998</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499570.9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57766</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57766</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32690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121362</v>
      </c>
      <c r="D7797" s="2" t="str">
        <f t="shared" si="127"/>
        <v>Error?</v>
      </c>
      <c r="E7797" s="4" t="s">
        <v>2020</v>
      </c>
    </row>
    <row r="7798" spans="1:5" x14ac:dyDescent="0.2">
      <c r="A7798">
        <v>7737</v>
      </c>
      <c r="B7798" s="138">
        <f>'Contracts Paid in CY 29'!F141</f>
        <v>75000</v>
      </c>
      <c r="D7798" s="2" t="str">
        <f t="shared" si="127"/>
        <v>Error?</v>
      </c>
      <c r="E7798" s="4" t="s">
        <v>2020</v>
      </c>
    </row>
    <row r="7799" spans="1:5" x14ac:dyDescent="0.2">
      <c r="A7799">
        <v>7738</v>
      </c>
      <c r="B7799" s="138">
        <f>'Contracts Paid in CY 29'!G141</f>
        <v>46362</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Germantown Hills School District No. 69</v>
      </c>
      <c r="B7" s="2422"/>
      <c r="C7" s="2422"/>
      <c r="D7" s="2423"/>
      <c r="E7" s="2424">
        <f>COVER!A13</f>
        <v>53102069002</v>
      </c>
      <c r="F7" s="2425"/>
      <c r="G7" s="2431" t="str">
        <f>COVER!T23</f>
        <v>066-004769</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Meister,  Hilton, Chitwood &amp; Associates,  inc.</v>
      </c>
      <c r="H9" s="2437"/>
      <c r="I9" s="2437"/>
      <c r="J9" s="2437"/>
      <c r="K9" s="2437"/>
      <c r="L9" s="2438"/>
    </row>
    <row r="10" spans="1:29" ht="13.5" customHeight="1" x14ac:dyDescent="0.2">
      <c r="A10" s="2411" t="str">
        <f>COVER!A38</f>
        <v>Dan Mair</v>
      </c>
      <c r="B10" s="2412"/>
      <c r="C10" s="2412"/>
      <c r="D10" s="2412"/>
      <c r="E10" s="2412"/>
      <c r="F10" s="2413"/>
      <c r="G10" s="2405" t="str">
        <f>COVER!T17</f>
        <v>809 W. Detweiller Drive, Suite 804</v>
      </c>
      <c r="H10" s="2406"/>
      <c r="I10" s="2406"/>
      <c r="J10" s="2406"/>
      <c r="K10" s="2406"/>
      <c r="L10" s="2407"/>
    </row>
    <row r="11" spans="1:29" ht="13.5" customHeight="1" x14ac:dyDescent="0.2">
      <c r="A11" s="1185" t="s">
        <v>1599</v>
      </c>
      <c r="B11" s="1186"/>
      <c r="C11" s="1187"/>
      <c r="D11" s="1192"/>
      <c r="E11" s="1187"/>
      <c r="F11" s="1191"/>
      <c r="G11" s="2405" t="str">
        <f>COVER!T19</f>
        <v>Peoria</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ron.hilton1@comcast.net</v>
      </c>
      <c r="J13" s="2418"/>
      <c r="K13" s="2418"/>
      <c r="L13" s="2419"/>
    </row>
    <row r="14" spans="1:29" ht="13.5" customHeight="1" x14ac:dyDescent="0.2">
      <c r="A14" s="2405" t="str">
        <f>COVER!A19</f>
        <v>103 Warrior Way</v>
      </c>
      <c r="B14" s="2406"/>
      <c r="C14" s="2406"/>
      <c r="D14" s="2406"/>
      <c r="E14" s="2406"/>
      <c r="F14" s="2407"/>
      <c r="G14" s="1196" t="s">
        <v>1247</v>
      </c>
      <c r="H14" s="1194"/>
      <c r="I14" s="1194"/>
      <c r="J14" s="1194"/>
      <c r="K14" s="1194"/>
      <c r="L14" s="1195"/>
    </row>
    <row r="15" spans="1:29" ht="13.5" customHeight="1" x14ac:dyDescent="0.2">
      <c r="A15" s="2405" t="str">
        <f>COVER!A21</f>
        <v xml:space="preserve">Germantown Hills </v>
      </c>
      <c r="B15" s="2406"/>
      <c r="C15" s="2406"/>
      <c r="D15" s="2406"/>
      <c r="E15" s="2406"/>
      <c r="F15" s="2407"/>
      <c r="G15" s="2402" t="str">
        <f>COVER!T15</f>
        <v>Ron Hilton</v>
      </c>
      <c r="H15" s="2403"/>
      <c r="I15" s="2403"/>
      <c r="J15" s="2403"/>
      <c r="K15" s="2403"/>
      <c r="L15" s="2404"/>
    </row>
    <row r="16" spans="1:29" ht="12.2" customHeight="1" x14ac:dyDescent="0.2">
      <c r="A16" s="2427">
        <f>COVER!A25</f>
        <v>61548</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(309) 683-0441</v>
      </c>
      <c r="H18" s="2422"/>
      <c r="I18" s="2422"/>
      <c r="J18" s="2422"/>
      <c r="K18" s="2421" t="str">
        <f>COVER!X21</f>
        <v>(309) 683-0443</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Germantown Hills School District No. 69</v>
      </c>
      <c r="B1" s="2420"/>
      <c r="C1" s="2420"/>
      <c r="D1" s="2420"/>
    </row>
    <row r="2" spans="1:11" s="1215" customFormat="1" ht="12.75" x14ac:dyDescent="0.2">
      <c r="A2" s="2444">
        <f>'Single Audit Cover'!E7</f>
        <v>53102069002</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Germantown Hills School District No. 69</v>
      </c>
      <c r="B1" s="2447"/>
      <c r="C1" s="2447"/>
      <c r="D1" s="2447"/>
      <c r="E1" s="2447"/>
    </row>
    <row r="2" spans="1:5" x14ac:dyDescent="0.2">
      <c r="A2" s="2448">
        <f>'Single Audit Cover'!E7</f>
        <v>53102069002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346700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39010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-9803</v>
      </c>
    </row>
    <row r="19" spans="1:4" ht="13.5" thickBot="1" x14ac:dyDescent="0.25">
      <c r="A19" s="1265" t="s">
        <v>1297</v>
      </c>
      <c r="D19" s="1266">
        <f>SUM(D10:D17)</f>
        <v>375907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375907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375907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Germantown Hills School District No. 69</v>
      </c>
      <c r="B1" s="2460"/>
      <c r="C1" s="2460"/>
      <c r="D1" s="2460"/>
      <c r="E1" s="2460"/>
      <c r="F1" s="2460"/>
    </row>
    <row r="2" spans="1:7" ht="13.5" customHeight="1" x14ac:dyDescent="0.2">
      <c r="A2" s="2461">
        <f>'Single Audit Cover'!E7</f>
        <v>53102069002</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Germantown Hills School District No. 69</v>
      </c>
      <c r="C1" s="2464"/>
      <c r="D1" s="2464"/>
      <c r="E1" s="2464"/>
      <c r="F1" s="2464"/>
      <c r="G1" s="2464"/>
      <c r="H1" s="2464"/>
      <c r="I1" s="2464"/>
      <c r="J1" s="2464"/>
      <c r="K1" s="2464"/>
      <c r="L1" s="2464"/>
      <c r="M1" s="2464"/>
    </row>
    <row r="2" spans="2:14" ht="15" x14ac:dyDescent="0.2">
      <c r="B2" s="2461">
        <f>'Single Audit Cover'!E7</f>
        <v>53102069002</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11" colorId="8" zoomScale="110" zoomScaleNormal="110" workbookViewId="0">
      <selection activeCell="B68" sqref="B6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2098</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2085</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Germantown Hills School District No. 69</v>
      </c>
      <c r="C1" s="2479"/>
      <c r="D1" s="2479"/>
      <c r="E1" s="2479"/>
      <c r="F1" s="2479"/>
      <c r="G1" s="2479"/>
      <c r="H1" s="2479"/>
      <c r="I1" s="2479"/>
      <c r="J1" s="1422"/>
    </row>
    <row r="2" spans="2:10" s="317" customFormat="1" ht="12.75" customHeight="1" x14ac:dyDescent="0.2">
      <c r="B2" s="2480">
        <f>'Single Audit Cover'!E7</f>
        <v>53102069002</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1952</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Germantown Hills School District No. 69</v>
      </c>
      <c r="C1" s="2478"/>
      <c r="D1" s="2478"/>
      <c r="E1" s="2478"/>
      <c r="F1" s="2478"/>
      <c r="G1" s="2478"/>
      <c r="H1" s="2478"/>
      <c r="I1" s="2478"/>
      <c r="J1" s="2478"/>
      <c r="K1" s="2478"/>
      <c r="L1" s="1374"/>
      <c r="M1" s="1374"/>
    </row>
    <row r="2" spans="1:13" ht="12" customHeight="1" x14ac:dyDescent="0.2">
      <c r="B2" s="2480">
        <f>'Single Audit Cover'!E7</f>
        <v>53102069002</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Germantown Hills School District No. 69</v>
      </c>
      <c r="C1" s="2501"/>
      <c r="D1" s="2501"/>
      <c r="E1" s="2501"/>
      <c r="F1" s="2501"/>
      <c r="G1" s="2501"/>
      <c r="H1" s="2501"/>
      <c r="I1" s="2501"/>
      <c r="J1" s="2501"/>
      <c r="K1" s="2501"/>
      <c r="L1" s="1465"/>
    </row>
    <row r="2" spans="1:12" ht="12.75" customHeight="1" x14ac:dyDescent="0.2">
      <c r="B2" s="2502">
        <f>'Single Audit Cover'!E7</f>
        <v>53102069002</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Germantown Hills School District No. 69</v>
      </c>
      <c r="C1" s="2478"/>
      <c r="D1" s="2478"/>
      <c r="E1" s="1491"/>
    </row>
    <row r="2" spans="2:5" s="1282" customFormat="1" ht="12.75" customHeight="1" x14ac:dyDescent="0.2">
      <c r="B2" s="2480">
        <f>'Single Audit Cover'!E7</f>
        <v>53102069002</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163486249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1.7299999999999999E-2</v>
      </c>
      <c r="E10" s="356" t="s">
        <v>1062</v>
      </c>
      <c r="F10" s="355">
        <v>3.0590000000000001E-3</v>
      </c>
      <c r="G10" s="356" t="s">
        <v>1062</v>
      </c>
      <c r="H10" s="355">
        <v>1.1999999999999999E-3</v>
      </c>
      <c r="I10" s="356" t="s">
        <v>1063</v>
      </c>
      <c r="J10" s="1754">
        <f>ROUND(D10+F10+H10,5)</f>
        <v>2.1559999999999999E-2</v>
      </c>
      <c r="K10" s="222"/>
      <c r="L10" s="355">
        <v>0</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6883734</v>
      </c>
      <c r="E16" s="356"/>
      <c r="F16" s="1755">
        <f>SUM('Acct Summary 7-8'!C17,'Acct Summary 7-8'!D17,'Acct Summary 7-8'!F17)</f>
        <v>6370667</v>
      </c>
      <c r="G16" s="356"/>
      <c r="H16" s="1755">
        <f>SUM(D16-F16)</f>
        <v>513067</v>
      </c>
      <c r="I16" s="222"/>
      <c r="J16" s="1755">
        <f>SUM('Acct Summary 7-8'!C81,'Acct Summary 7-8'!D81,'Acct Summary 7-8'!F81,'Acct Summary 7-8'!I81)</f>
        <v>6729228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11280551.181000002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7100889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Germantown Hills School District No. 69</v>
      </c>
      <c r="E7" s="391"/>
      <c r="G7" s="252"/>
      <c r="H7" s="387"/>
      <c r="I7" s="387"/>
      <c r="J7" s="387"/>
      <c r="K7" s="387"/>
      <c r="L7" s="329"/>
      <c r="M7" s="329"/>
      <c r="N7" s="329"/>
      <c r="O7" s="329"/>
      <c r="P7" s="329"/>
    </row>
    <row r="8" spans="1:18" ht="12.75" x14ac:dyDescent="0.2">
      <c r="A8" s="329"/>
      <c r="B8" s="329"/>
      <c r="C8" s="389" t="s">
        <v>1187</v>
      </c>
      <c r="D8" s="392">
        <f>COVER!A13</f>
        <v>53102069002</v>
      </c>
      <c r="E8" s="393"/>
      <c r="G8" s="329"/>
      <c r="H8" s="329"/>
      <c r="I8" s="329"/>
      <c r="J8" s="329"/>
      <c r="K8" s="329"/>
      <c r="L8" s="329"/>
      <c r="M8" s="329"/>
      <c r="N8" s="329"/>
      <c r="O8" s="329"/>
      <c r="P8" s="329"/>
    </row>
    <row r="9" spans="1:18" ht="12.75" x14ac:dyDescent="0.2">
      <c r="A9" s="329"/>
      <c r="B9" s="329"/>
      <c r="C9" s="389" t="s">
        <v>737</v>
      </c>
      <c r="D9" s="394" t="str">
        <f>COVER!A15</f>
        <v>Woodford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6729228</v>
      </c>
      <c r="I12" s="404"/>
      <c r="J12" s="404"/>
      <c r="K12" s="405">
        <f>TRUNC((H12/H13*100000),5)/100000</f>
        <v>0.97755491420000007</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6883734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6370667</v>
      </c>
      <c r="I17" s="404"/>
      <c r="J17" s="416"/>
      <c r="K17" s="405">
        <f>TRUNC((H17/H18*100000),5)/100000</f>
        <v>0.92546675969999992</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6883734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6729228</v>
      </c>
      <c r="I24" s="422"/>
      <c r="J24" s="422"/>
      <c r="K24" s="423">
        <f>TRUNC(((H24/H25*100000)/100000),2)</f>
        <v>380.26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17696.29722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2996048.9991700002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7100889</v>
      </c>
      <c r="I32" s="420"/>
      <c r="J32" s="420"/>
      <c r="K32" s="423">
        <f>TRUNC(100-((((H32/H33*100))*100)/100),2)</f>
        <v>37.049999999999997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11280551.181000002</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98" zoomScaleNormal="98" workbookViewId="0">
      <pane ySplit="2" topLeftCell="A21" activePane="bottomLeft" state="frozen"/>
      <selection activeCell="A47" sqref="A47"/>
      <selection pane="bottomLeft" activeCell="L40" sqref="L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2984673</v>
      </c>
      <c r="D4" s="466">
        <v>2218189</v>
      </c>
      <c r="E4" s="466">
        <v>30295</v>
      </c>
      <c r="F4" s="466">
        <v>518499</v>
      </c>
      <c r="G4" s="466">
        <v>165197</v>
      </c>
      <c r="H4" s="466"/>
      <c r="I4" s="466">
        <v>1007867</v>
      </c>
      <c r="J4" s="467">
        <v>48289</v>
      </c>
      <c r="K4" s="466">
        <v>30054</v>
      </c>
      <c r="L4" s="466">
        <v>68771</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2984673</v>
      </c>
      <c r="D13" s="1759">
        <f t="shared" ref="D13:L13" si="0">SUM(D4:D12)</f>
        <v>2218189</v>
      </c>
      <c r="E13" s="1759">
        <f t="shared" si="0"/>
        <v>30295</v>
      </c>
      <c r="F13" s="1759">
        <f t="shared" si="0"/>
        <v>518499</v>
      </c>
      <c r="G13" s="1759">
        <f t="shared" si="0"/>
        <v>165197</v>
      </c>
      <c r="H13" s="1759">
        <f t="shared" si="0"/>
        <v>0</v>
      </c>
      <c r="I13" s="1759">
        <f t="shared" si="0"/>
        <v>1007867</v>
      </c>
      <c r="J13" s="1759">
        <f t="shared" si="0"/>
        <v>48289</v>
      </c>
      <c r="K13" s="1759">
        <f t="shared" si="0"/>
        <v>30054</v>
      </c>
      <c r="L13" s="1759">
        <f t="shared" si="0"/>
        <v>68771</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137521</v>
      </c>
      <c r="N16" s="484"/>
    </row>
    <row r="17" spans="1:14" s="485" customFormat="1" ht="12.75" customHeight="1" x14ac:dyDescent="0.2">
      <c r="A17" s="482" t="s">
        <v>1470</v>
      </c>
      <c r="B17" s="483">
        <v>230</v>
      </c>
      <c r="C17" s="477"/>
      <c r="D17" s="477"/>
      <c r="E17" s="477"/>
      <c r="F17" s="477"/>
      <c r="G17" s="477"/>
      <c r="H17" s="477"/>
      <c r="I17" s="477"/>
      <c r="J17" s="477"/>
      <c r="K17" s="477"/>
      <c r="L17" s="477"/>
      <c r="M17" s="467">
        <v>18178674</v>
      </c>
      <c r="N17" s="484"/>
    </row>
    <row r="18" spans="1:14" s="485" customFormat="1" ht="12.75" customHeight="1" x14ac:dyDescent="0.2">
      <c r="A18" s="482" t="s">
        <v>1471</v>
      </c>
      <c r="B18" s="483">
        <v>240</v>
      </c>
      <c r="C18" s="477"/>
      <c r="D18" s="477"/>
      <c r="E18" s="477"/>
      <c r="F18" s="477"/>
      <c r="G18" s="477"/>
      <c r="H18" s="477"/>
      <c r="I18" s="477"/>
      <c r="J18" s="477"/>
      <c r="K18" s="477"/>
      <c r="L18" s="477"/>
      <c r="M18" s="467">
        <v>112808</v>
      </c>
      <c r="N18" s="484"/>
    </row>
    <row r="19" spans="1:14" s="485" customFormat="1" ht="12.75" customHeight="1" x14ac:dyDescent="0.2">
      <c r="A19" s="482" t="s">
        <v>1472</v>
      </c>
      <c r="B19" s="483">
        <v>250</v>
      </c>
      <c r="C19" s="477"/>
      <c r="D19" s="477"/>
      <c r="E19" s="477"/>
      <c r="F19" s="477"/>
      <c r="G19" s="477"/>
      <c r="H19" s="477"/>
      <c r="I19" s="477"/>
      <c r="J19" s="477"/>
      <c r="K19" s="477"/>
      <c r="L19" s="477"/>
      <c r="M19" s="467">
        <v>1323924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30295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7070594</v>
      </c>
    </row>
    <row r="23" spans="1:14" ht="13.5" customHeight="1" thickBot="1" x14ac:dyDescent="0.25">
      <c r="A23" s="1758" t="s">
        <v>664</v>
      </c>
      <c r="B23" s="1763"/>
      <c r="C23" s="468"/>
      <c r="D23" s="468"/>
      <c r="E23" s="468"/>
      <c r="F23" s="468"/>
      <c r="G23" s="468"/>
      <c r="H23" s="468"/>
      <c r="I23" s="468"/>
      <c r="J23" s="468"/>
      <c r="K23" s="468"/>
      <c r="L23" s="468"/>
      <c r="M23" s="1710">
        <f>SUM(M15:M22)</f>
        <v>19752927</v>
      </c>
      <c r="N23" s="1710">
        <f>SUM(N21:N22)</f>
        <v>7100889</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59039</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59039</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7100889</v>
      </c>
    </row>
    <row r="37" spans="1:14" ht="13.5" thickBot="1" x14ac:dyDescent="0.25">
      <c r="A37" s="1758" t="s">
        <v>674</v>
      </c>
      <c r="B37" s="1763"/>
      <c r="C37" s="477"/>
      <c r="D37" s="477"/>
      <c r="E37" s="477"/>
      <c r="F37" s="477"/>
      <c r="G37" s="477"/>
      <c r="H37" s="477"/>
      <c r="I37" s="477"/>
      <c r="J37" s="477"/>
      <c r="K37" s="477"/>
      <c r="L37" s="480"/>
      <c r="M37" s="468"/>
      <c r="N37" s="1710">
        <f>SUM(N36:N36)</f>
        <v>7100889</v>
      </c>
    </row>
    <row r="38" spans="1:14" s="329" customFormat="1" ht="13.5" customHeight="1" thickTop="1" x14ac:dyDescent="0.2">
      <c r="A38" s="496" t="s">
        <v>440</v>
      </c>
      <c r="B38" s="483">
        <v>714</v>
      </c>
      <c r="C38" s="466">
        <v>0</v>
      </c>
      <c r="D38" s="466">
        <v>0</v>
      </c>
      <c r="E38" s="466">
        <v>0</v>
      </c>
      <c r="F38" s="466">
        <v>0</v>
      </c>
      <c r="G38" s="466">
        <v>83686</v>
      </c>
      <c r="H38" s="466">
        <v>0</v>
      </c>
      <c r="I38" s="466">
        <v>0</v>
      </c>
      <c r="J38" s="466">
        <v>0</v>
      </c>
      <c r="K38" s="466">
        <v>0</v>
      </c>
      <c r="L38" s="466">
        <v>9732</v>
      </c>
      <c r="M38" s="497"/>
      <c r="N38" s="497"/>
    </row>
    <row r="39" spans="1:14" s="329" customFormat="1" ht="13.5" customHeight="1" x14ac:dyDescent="0.2">
      <c r="A39" s="496" t="s">
        <v>360</v>
      </c>
      <c r="B39" s="483">
        <v>730</v>
      </c>
      <c r="C39" s="466">
        <f>'Acct Summary 7-8'!C81-C38</f>
        <v>2984673</v>
      </c>
      <c r="D39" s="466">
        <f>'Acct Summary 7-8'!D81-D38</f>
        <v>2218189</v>
      </c>
      <c r="E39" s="466">
        <f>'Acct Summary 7-8'!E81-E38</f>
        <v>30295</v>
      </c>
      <c r="F39" s="466">
        <f>'Acct Summary 7-8'!F81-F38</f>
        <v>518499</v>
      </c>
      <c r="G39" s="466">
        <f>'Acct Summary 7-8'!G81-G38</f>
        <v>81511</v>
      </c>
      <c r="H39" s="466">
        <f>'Acct Summary 7-8'!H81-H38</f>
        <v>0</v>
      </c>
      <c r="I39" s="466">
        <f>'Acct Summary 7-8'!I81-I38</f>
        <v>1007867</v>
      </c>
      <c r="J39" s="466">
        <f>'Acct Summary 7-8'!J81-J38</f>
        <v>48289</v>
      </c>
      <c r="K39" s="466">
        <f>'Acct Summary 7-8'!K81-K38</f>
        <v>30054</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M23</f>
        <v>19752927</v>
      </c>
      <c r="N40" s="497"/>
    </row>
    <row r="41" spans="1:14" ht="13.5" customHeight="1" thickBot="1" x14ac:dyDescent="0.25">
      <c r="A41" s="1758" t="s">
        <v>676</v>
      </c>
      <c r="B41" s="1728"/>
      <c r="C41" s="1710">
        <f>(SUM(C34,C37,C38,C39))</f>
        <v>2984673</v>
      </c>
      <c r="D41" s="1710">
        <f t="shared" ref="D41:L41" si="2">SUM(D34,D37,D38:D39)</f>
        <v>2218189</v>
      </c>
      <c r="E41" s="1710">
        <f t="shared" si="2"/>
        <v>30295</v>
      </c>
      <c r="F41" s="1710">
        <f t="shared" si="2"/>
        <v>518499</v>
      </c>
      <c r="G41" s="1710">
        <f t="shared" si="2"/>
        <v>165197</v>
      </c>
      <c r="H41" s="1710">
        <f t="shared" si="2"/>
        <v>0</v>
      </c>
      <c r="I41" s="1710">
        <f t="shared" si="2"/>
        <v>1007867</v>
      </c>
      <c r="J41" s="1710">
        <f t="shared" si="2"/>
        <v>48289</v>
      </c>
      <c r="K41" s="1710">
        <f t="shared" si="2"/>
        <v>30054</v>
      </c>
      <c r="L41" s="1710">
        <f t="shared" si="2"/>
        <v>68771</v>
      </c>
      <c r="M41" s="1710">
        <f>SUM(M40)</f>
        <v>19752927</v>
      </c>
      <c r="N41" s="1710">
        <f>SUM(N37)</f>
        <v>7100889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notes are an intergral part of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96" zoomScaleNormal="96" zoomScaleSheetLayoutView="100" workbookViewId="0">
      <pane ySplit="2" topLeftCell="A6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3305081</v>
      </c>
      <c r="D4" s="1764">
        <f>'Revenues 9-14'!D109</f>
        <v>668712</v>
      </c>
      <c r="E4" s="1764">
        <f>'Revenues 9-14'!E109</f>
        <v>1081141</v>
      </c>
      <c r="F4" s="1764">
        <f>'Revenues 9-14'!F109</f>
        <v>205170</v>
      </c>
      <c r="G4" s="1764">
        <f>'Revenues 9-14'!G109</f>
        <v>186528</v>
      </c>
      <c r="H4" s="1764">
        <f>'Revenues 9-14'!H109</f>
        <v>2276</v>
      </c>
      <c r="I4" s="1764">
        <f>'Revenues 9-14'!I109</f>
        <v>10650</v>
      </c>
      <c r="J4" s="1764">
        <f>'Revenues 9-14'!J109</f>
        <v>292985</v>
      </c>
      <c r="K4" s="1764">
        <f>'Revenues 9-14'!K109</f>
        <v>33525</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2147512</v>
      </c>
      <c r="D6" s="1765">
        <f>'Revenues 9-14'!D173</f>
        <v>0</v>
      </c>
      <c r="E6" s="1765">
        <f>'Revenues 9-14'!E173</f>
        <v>0</v>
      </c>
      <c r="F6" s="1765">
        <f>'Revenues 9-14'!F173</f>
        <v>199909</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342802</v>
      </c>
      <c r="D7" s="1765">
        <f>'Revenues 9-14'!D274</f>
        <v>0</v>
      </c>
      <c r="E7" s="1765">
        <f>'Revenues 9-14'!E274</f>
        <v>0</v>
      </c>
      <c r="F7" s="1765">
        <f>'Revenues 9-14'!F274</f>
        <v>3898</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5795395</v>
      </c>
      <c r="D8" s="1710">
        <f t="shared" ref="D8:K8" si="0">SUM(D4:D7)</f>
        <v>668712</v>
      </c>
      <c r="E8" s="1710">
        <f t="shared" si="0"/>
        <v>1081141</v>
      </c>
      <c r="F8" s="1710">
        <f t="shared" si="0"/>
        <v>408977</v>
      </c>
      <c r="G8" s="1710">
        <f t="shared" si="0"/>
        <v>186528</v>
      </c>
      <c r="H8" s="1710">
        <f t="shared" si="0"/>
        <v>2276</v>
      </c>
      <c r="I8" s="1710">
        <f t="shared" si="0"/>
        <v>10650</v>
      </c>
      <c r="J8" s="1710">
        <f t="shared" si="0"/>
        <v>292985</v>
      </c>
      <c r="K8" s="1710">
        <f t="shared" si="0"/>
        <v>33525</v>
      </c>
      <c r="L8" s="347"/>
    </row>
    <row r="9" spans="1:13" ht="15.75" thickTop="1" x14ac:dyDescent="0.2">
      <c r="A9" s="514" t="s">
        <v>1752</v>
      </c>
      <c r="B9" s="515">
        <v>3998</v>
      </c>
      <c r="C9" s="481">
        <v>2564273</v>
      </c>
      <c r="D9" s="516"/>
      <c r="E9" s="481"/>
      <c r="F9" s="481"/>
      <c r="G9" s="517"/>
      <c r="H9" s="481"/>
      <c r="I9" s="509" t="s">
        <v>1231</v>
      </c>
      <c r="J9" s="478"/>
      <c r="K9" s="481"/>
      <c r="L9" s="347"/>
    </row>
    <row r="10" spans="1:13" s="519" customFormat="1" ht="13.5" thickBot="1" x14ac:dyDescent="0.25">
      <c r="A10" s="1758" t="s">
        <v>1235</v>
      </c>
      <c r="B10" s="1731"/>
      <c r="C10" s="1710">
        <f>SUM(C8:C9)</f>
        <v>8359668</v>
      </c>
      <c r="D10" s="1710">
        <f t="shared" ref="D10:K10" si="1">SUM(D8:D9)</f>
        <v>668712</v>
      </c>
      <c r="E10" s="1710">
        <f t="shared" si="1"/>
        <v>1081141</v>
      </c>
      <c r="F10" s="1710">
        <f t="shared" si="1"/>
        <v>408977</v>
      </c>
      <c r="G10" s="1710">
        <f t="shared" si="1"/>
        <v>186528</v>
      </c>
      <c r="H10" s="1710">
        <f t="shared" si="1"/>
        <v>2276</v>
      </c>
      <c r="I10" s="1710">
        <f t="shared" si="1"/>
        <v>10650</v>
      </c>
      <c r="J10" s="1710">
        <f t="shared" si="1"/>
        <v>292985</v>
      </c>
      <c r="K10" s="1710">
        <f t="shared" si="1"/>
        <v>33525</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3890543</v>
      </c>
      <c r="D12" s="520" t="s">
        <v>1231</v>
      </c>
      <c r="E12" s="468" t="s">
        <v>1231</v>
      </c>
      <c r="F12" s="468" t="s">
        <v>1231</v>
      </c>
      <c r="G12" s="1764">
        <f>'Expenditures 15-22'!K229</f>
        <v>71672</v>
      </c>
      <c r="H12" s="521"/>
      <c r="I12" s="468" t="s">
        <v>1231</v>
      </c>
      <c r="J12" s="468" t="s">
        <v>1231</v>
      </c>
      <c r="K12" s="521" t="s">
        <v>1231</v>
      </c>
      <c r="L12" s="347"/>
    </row>
    <row r="13" spans="1:13" ht="15.75" customHeight="1" x14ac:dyDescent="0.2">
      <c r="A13" s="1598" t="s">
        <v>477</v>
      </c>
      <c r="B13" s="1600">
        <v>2000</v>
      </c>
      <c r="C13" s="1765">
        <f>'Expenditures 15-22'!K74</f>
        <v>1083545</v>
      </c>
      <c r="D13" s="1765">
        <f>'Expenditures 15-22'!K129</f>
        <v>532434</v>
      </c>
      <c r="E13" s="469" t="s">
        <v>1231</v>
      </c>
      <c r="F13" s="1765">
        <f>'Expenditures 15-22'!K184</f>
        <v>322189</v>
      </c>
      <c r="G13" s="1765">
        <f>'Expenditures 15-22'!K279</f>
        <v>147983</v>
      </c>
      <c r="H13" s="1765">
        <f>'Expenditures 15-22'!K303</f>
        <v>601154</v>
      </c>
      <c r="I13" s="468" t="s">
        <v>1231</v>
      </c>
      <c r="J13" s="1765">
        <f>'Expenditures 15-22'!K330</f>
        <v>276549</v>
      </c>
      <c r="K13" s="1769">
        <f>'Expenditures 15-22'!K352</f>
        <v>30100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508414</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1080386</v>
      </c>
      <c r="F16" s="1765">
        <f>'Expenditures 15-22'!K208</f>
        <v>33542</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5482502</v>
      </c>
      <c r="D17" s="1710">
        <f t="shared" si="2"/>
        <v>532434</v>
      </c>
      <c r="E17" s="1710">
        <f t="shared" si="2"/>
        <v>1080386</v>
      </c>
      <c r="F17" s="1710">
        <f t="shared" si="2"/>
        <v>355731</v>
      </c>
      <c r="G17" s="1710">
        <f t="shared" si="2"/>
        <v>219655</v>
      </c>
      <c r="H17" s="1710">
        <f t="shared" si="2"/>
        <v>601154</v>
      </c>
      <c r="I17" s="468"/>
      <c r="J17" s="1710">
        <f>SUM(J12:J16)</f>
        <v>276549</v>
      </c>
      <c r="K17" s="1710">
        <f>SUM(K12:K16)</f>
        <v>30100</v>
      </c>
      <c r="L17" s="347"/>
    </row>
    <row r="18" spans="1:12" ht="15" customHeight="1" thickTop="1" x14ac:dyDescent="0.2">
      <c r="A18" s="1766" t="s">
        <v>1753</v>
      </c>
      <c r="B18" s="1767">
        <v>4180</v>
      </c>
      <c r="C18" s="1764">
        <f t="shared" ref="C18:H18" si="3">C9</f>
        <v>2564273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8046775</v>
      </c>
      <c r="D19" s="1710">
        <f t="shared" si="4"/>
        <v>532434</v>
      </c>
      <c r="E19" s="1710">
        <f t="shared" si="4"/>
        <v>1080386</v>
      </c>
      <c r="F19" s="1710">
        <f t="shared" si="4"/>
        <v>355731</v>
      </c>
      <c r="G19" s="1710">
        <f t="shared" si="4"/>
        <v>219655</v>
      </c>
      <c r="H19" s="1710">
        <f t="shared" si="4"/>
        <v>601154</v>
      </c>
      <c r="I19" s="468"/>
      <c r="J19" s="1710">
        <f>SUM(J17:J18)</f>
        <v>276549</v>
      </c>
      <c r="K19" s="1710">
        <f>SUM(K17:K18)</f>
        <v>30100</v>
      </c>
      <c r="L19" s="347"/>
    </row>
    <row r="20" spans="1:12" ht="16.5" thickTop="1" thickBot="1" x14ac:dyDescent="0.25">
      <c r="A20" s="2144" t="s">
        <v>1754</v>
      </c>
      <c r="B20" s="2145"/>
      <c r="C20" s="1768">
        <f>C8-C17</f>
        <v>312893</v>
      </c>
      <c r="D20" s="1768">
        <f t="shared" ref="D20:K20" si="5">D8-D17</f>
        <v>136278</v>
      </c>
      <c r="E20" s="1768">
        <f t="shared" si="5"/>
        <v>755</v>
      </c>
      <c r="F20" s="1768">
        <f t="shared" si="5"/>
        <v>53246</v>
      </c>
      <c r="G20" s="1768">
        <f t="shared" si="5"/>
        <v>-33127</v>
      </c>
      <c r="H20" s="1768">
        <f t="shared" si="5"/>
        <v>-598878</v>
      </c>
      <c r="I20" s="1768">
        <f t="shared" si="5"/>
        <v>10650</v>
      </c>
      <c r="J20" s="1768">
        <f t="shared" si="5"/>
        <v>16436</v>
      </c>
      <c r="K20" s="1768">
        <f t="shared" si="5"/>
        <v>3425</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v>350520</v>
      </c>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v>4890</v>
      </c>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4890</v>
      </c>
      <c r="D44" s="1725">
        <f t="shared" ref="D44:K44" si="6">SUM(D24:D43)</f>
        <v>350520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350520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350520</v>
      </c>
      <c r="I76" s="1725">
        <f t="shared" si="7"/>
        <v>0</v>
      </c>
      <c r="J76" s="1725">
        <f t="shared" si="7"/>
        <v>0</v>
      </c>
      <c r="K76" s="1725">
        <f t="shared" si="7"/>
        <v>0</v>
      </c>
      <c r="L76" s="524"/>
    </row>
    <row r="77" spans="1:12" ht="14.25" thickTop="1" thickBot="1" x14ac:dyDescent="0.25">
      <c r="A77" s="2136" t="s">
        <v>1239</v>
      </c>
      <c r="B77" s="2137"/>
      <c r="C77" s="1725">
        <f t="shared" ref="C77:K77" si="8">C44-C76</f>
        <v>4890</v>
      </c>
      <c r="D77" s="1725">
        <f t="shared" si="8"/>
        <v>350520</v>
      </c>
      <c r="E77" s="1725">
        <f t="shared" si="8"/>
        <v>0</v>
      </c>
      <c r="F77" s="1725">
        <f t="shared" si="8"/>
        <v>0</v>
      </c>
      <c r="G77" s="1725">
        <f t="shared" si="8"/>
        <v>0</v>
      </c>
      <c r="H77" s="1725">
        <f t="shared" si="8"/>
        <v>-350520</v>
      </c>
      <c r="I77" s="1725">
        <f t="shared" si="8"/>
        <v>0</v>
      </c>
      <c r="J77" s="1725">
        <f t="shared" si="8"/>
        <v>0</v>
      </c>
      <c r="K77" s="1725">
        <f t="shared" si="8"/>
        <v>0</v>
      </c>
      <c r="L77" s="347"/>
    </row>
    <row r="78" spans="1:12" ht="21.75" customHeight="1" thickTop="1" thickBot="1" x14ac:dyDescent="0.25">
      <c r="A78" s="2140" t="s">
        <v>618</v>
      </c>
      <c r="B78" s="2141"/>
      <c r="C78" s="1724">
        <f t="shared" ref="C78:K78" si="9">C20+C77</f>
        <v>317783</v>
      </c>
      <c r="D78" s="1724">
        <f t="shared" si="9"/>
        <v>486798</v>
      </c>
      <c r="E78" s="1724">
        <f t="shared" si="9"/>
        <v>755</v>
      </c>
      <c r="F78" s="1724">
        <f t="shared" si="9"/>
        <v>53246</v>
      </c>
      <c r="G78" s="1724">
        <f t="shared" si="9"/>
        <v>-33127</v>
      </c>
      <c r="H78" s="1724">
        <f t="shared" si="9"/>
        <v>-949398</v>
      </c>
      <c r="I78" s="1724">
        <f t="shared" si="9"/>
        <v>10650</v>
      </c>
      <c r="J78" s="1724">
        <f t="shared" si="9"/>
        <v>16436</v>
      </c>
      <c r="K78" s="1724">
        <f t="shared" si="9"/>
        <v>3425</v>
      </c>
      <c r="L78" s="533"/>
    </row>
    <row r="79" spans="1:12" ht="13.5" thickTop="1" x14ac:dyDescent="0.2">
      <c r="A79" s="1516" t="s">
        <v>2073</v>
      </c>
      <c r="B79" s="534"/>
      <c r="C79" s="478">
        <v>2666890</v>
      </c>
      <c r="D79" s="535">
        <v>1731391</v>
      </c>
      <c r="E79" s="535">
        <v>29540</v>
      </c>
      <c r="F79" s="535">
        <v>465253</v>
      </c>
      <c r="G79" s="535">
        <v>198324</v>
      </c>
      <c r="H79" s="535">
        <v>949398</v>
      </c>
      <c r="I79" s="535">
        <v>997217</v>
      </c>
      <c r="J79" s="535">
        <v>31853</v>
      </c>
      <c r="K79" s="535">
        <v>26629</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2074</v>
      </c>
      <c r="B81" s="2139"/>
      <c r="C81" s="1710">
        <f>(SUM(C78:C80))</f>
        <v>2984673</v>
      </c>
      <c r="D81" s="1710">
        <f>SUM(D78:D80)</f>
        <v>2218189</v>
      </c>
      <c r="E81" s="1710">
        <f t="shared" ref="E81:K81" si="10">SUM(E78:E80)</f>
        <v>30295</v>
      </c>
      <c r="F81" s="1710">
        <f t="shared" si="10"/>
        <v>518499</v>
      </c>
      <c r="G81" s="1710">
        <f t="shared" si="10"/>
        <v>165197</v>
      </c>
      <c r="H81" s="1710">
        <f t="shared" si="10"/>
        <v>0</v>
      </c>
      <c r="I81" s="1710">
        <f t="shared" si="10"/>
        <v>1007867</v>
      </c>
      <c r="J81" s="1710">
        <f t="shared" si="10"/>
        <v>48289</v>
      </c>
      <c r="K81" s="1710">
        <f t="shared" si="10"/>
        <v>30054</v>
      </c>
      <c r="L81" s="347"/>
    </row>
    <row r="82" spans="1:12" ht="0.75" customHeight="1" thickTop="1" thickBot="1" x14ac:dyDescent="0.25">
      <c r="A82" s="536" t="s">
        <v>361</v>
      </c>
      <c r="B82" s="537"/>
      <c r="C82" s="538">
        <f>(C81-C79)</f>
        <v>317783</v>
      </c>
      <c r="D82" s="538">
        <f t="shared" ref="D82:K82" si="11">(D81-D79)</f>
        <v>486798</v>
      </c>
      <c r="E82" s="538">
        <f t="shared" si="11"/>
        <v>755</v>
      </c>
      <c r="F82" s="538">
        <f t="shared" si="11"/>
        <v>53246</v>
      </c>
      <c r="G82" s="538">
        <f t="shared" si="11"/>
        <v>-33127</v>
      </c>
      <c r="H82" s="538">
        <f t="shared" si="11"/>
        <v>-949398</v>
      </c>
      <c r="I82" s="538">
        <f t="shared" si="11"/>
        <v>10650</v>
      </c>
      <c r="J82" s="538">
        <f t="shared" si="11"/>
        <v>16436</v>
      </c>
      <c r="K82" s="538">
        <f t="shared" si="11"/>
        <v>3425</v>
      </c>
    </row>
    <row r="83" spans="1:12" ht="14.25" hidden="1" thickTop="1" thickBot="1" x14ac:dyDescent="0.25">
      <c r="A83" s="539" t="s">
        <v>362</v>
      </c>
      <c r="B83" s="464"/>
      <c r="C83" s="540">
        <f>C82/C81</f>
        <v>0.10647163022548869</v>
      </c>
      <c r="D83" s="540">
        <f t="shared" ref="D83:K83" si="12">D82/D81</f>
        <v>0.21945740421578144</v>
      </c>
      <c r="E83" s="540">
        <f t="shared" si="12"/>
        <v>2.4921604225119656E-2</v>
      </c>
      <c r="F83" s="540">
        <f t="shared" si="12"/>
        <v>0.10269257992783014</v>
      </c>
      <c r="G83" s="540">
        <f t="shared" si="12"/>
        <v>-0.20053027597353462</v>
      </c>
      <c r="H83" s="540" t="e">
        <f t="shared" si="12"/>
        <v>#DIV/0!</v>
      </c>
      <c r="I83" s="540">
        <f t="shared" si="12"/>
        <v>1.0566870430324636E-2</v>
      </c>
      <c r="J83" s="540">
        <f t="shared" si="12"/>
        <v>0.34036737145105511</v>
      </c>
      <c r="K83" s="540">
        <f t="shared" si="12"/>
        <v>0.11396153590204298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notes are an intergral part of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98" zoomScaleNormal="98" zoomScaleSheetLayoutView="75" workbookViewId="0">
      <pane ySplit="2" topLeftCell="A186" activePane="bottomLeft" state="frozen"/>
      <selection activeCell="A47" sqref="A47"/>
      <selection pane="bottomLeft" activeCell="C194" sqref="C194"/>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2827146</v>
      </c>
      <c r="D5" s="481">
        <v>584224</v>
      </c>
      <c r="E5" s="466">
        <v>1079065</v>
      </c>
      <c r="F5" s="548">
        <v>196101</v>
      </c>
      <c r="G5" s="466">
        <v>76972</v>
      </c>
      <c r="H5" s="466"/>
      <c r="I5" s="466"/>
      <c r="J5" s="467">
        <v>289582</v>
      </c>
      <c r="K5" s="466">
        <v>33175</v>
      </c>
    </row>
    <row r="6" spans="1:12" ht="15" x14ac:dyDescent="0.2">
      <c r="A6" s="463" t="s">
        <v>1761</v>
      </c>
      <c r="B6" s="470">
        <v>1130</v>
      </c>
      <c r="C6" s="466">
        <v>16671</v>
      </c>
      <c r="D6" s="466"/>
      <c r="E6" s="475"/>
      <c r="F6" s="475"/>
      <c r="G6" s="468"/>
      <c r="H6" s="468"/>
      <c r="I6" s="468"/>
      <c r="J6" s="468"/>
      <c r="K6" s="468"/>
    </row>
    <row r="7" spans="1:12" x14ac:dyDescent="0.2">
      <c r="A7" s="463" t="s">
        <v>112</v>
      </c>
      <c r="B7" s="549">
        <v>1140</v>
      </c>
      <c r="C7" s="466">
        <v>32683</v>
      </c>
      <c r="D7" s="466"/>
      <c r="E7" s="468"/>
      <c r="F7" s="467"/>
      <c r="G7" s="467"/>
      <c r="H7" s="467"/>
      <c r="I7" s="468"/>
      <c r="J7" s="468"/>
      <c r="K7" s="468"/>
    </row>
    <row r="8" spans="1:12" x14ac:dyDescent="0.2">
      <c r="A8" s="463" t="s">
        <v>433</v>
      </c>
      <c r="B8" s="470">
        <v>1150</v>
      </c>
      <c r="C8" s="475"/>
      <c r="D8" s="475"/>
      <c r="E8" s="477"/>
      <c r="F8" s="477"/>
      <c r="G8" s="481">
        <v>101976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2876500</v>
      </c>
      <c r="D12" s="1729">
        <f t="shared" si="0"/>
        <v>584224</v>
      </c>
      <c r="E12" s="1729">
        <f t="shared" si="0"/>
        <v>1079065</v>
      </c>
      <c r="F12" s="1729">
        <f t="shared" si="0"/>
        <v>196101</v>
      </c>
      <c r="G12" s="1729">
        <f t="shared" si="0"/>
        <v>178948</v>
      </c>
      <c r="H12" s="1729">
        <f t="shared" si="0"/>
        <v>0</v>
      </c>
      <c r="I12" s="1729">
        <f t="shared" si="0"/>
        <v>0</v>
      </c>
      <c r="J12" s="1729">
        <f t="shared" si="0"/>
        <v>289582</v>
      </c>
      <c r="K12" s="1710">
        <f t="shared" si="0"/>
        <v>33175</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7851</v>
      </c>
      <c r="D16" s="466"/>
      <c r="E16" s="466"/>
      <c r="F16" s="466"/>
      <c r="G16" s="466">
        <v>5000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7851</v>
      </c>
      <c r="D18" s="1732">
        <f t="shared" ref="D18:K18" si="1">SUM(D14:D17)</f>
        <v>0</v>
      </c>
      <c r="E18" s="1732">
        <f t="shared" si="1"/>
        <v>0</v>
      </c>
      <c r="F18" s="1732">
        <f t="shared" si="1"/>
        <v>0</v>
      </c>
      <c r="G18" s="1732">
        <f t="shared" si="1"/>
        <v>5000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12964</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12964</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638</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v>408</v>
      </c>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1046</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38542</v>
      </c>
      <c r="D65" s="466">
        <v>23468</v>
      </c>
      <c r="E65" s="466">
        <v>2076</v>
      </c>
      <c r="F65" s="467">
        <v>5647</v>
      </c>
      <c r="G65" s="466">
        <v>2580</v>
      </c>
      <c r="H65" s="466">
        <v>2276</v>
      </c>
      <c r="I65" s="466">
        <v>10650</v>
      </c>
      <c r="J65" s="467">
        <v>1039</v>
      </c>
      <c r="K65" s="466">
        <v>350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38542</v>
      </c>
      <c r="D67" s="1710">
        <f t="shared" ref="D67:K67" si="2">SUM(D65:D66)</f>
        <v>23468</v>
      </c>
      <c r="E67" s="1710">
        <f t="shared" si="2"/>
        <v>2076</v>
      </c>
      <c r="F67" s="1710">
        <f t="shared" si="2"/>
        <v>5647</v>
      </c>
      <c r="G67" s="1710">
        <f t="shared" si="2"/>
        <v>2580</v>
      </c>
      <c r="H67" s="1710">
        <f t="shared" si="2"/>
        <v>2276</v>
      </c>
      <c r="I67" s="1710">
        <f t="shared" si="2"/>
        <v>10650</v>
      </c>
      <c r="J67" s="1710">
        <f t="shared" si="2"/>
        <v>1039</v>
      </c>
      <c r="K67" s="1710">
        <f t="shared" si="2"/>
        <v>350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170274</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5562</v>
      </c>
      <c r="D73" s="468"/>
      <c r="E73" s="468"/>
      <c r="F73" s="468"/>
      <c r="G73" s="468"/>
      <c r="H73" s="468"/>
      <c r="I73" s="468"/>
      <c r="J73" s="468"/>
      <c r="K73" s="468"/>
    </row>
    <row r="74" spans="1:11" ht="12.75" customHeight="1" x14ac:dyDescent="0.2">
      <c r="A74" s="463" t="s">
        <v>25</v>
      </c>
      <c r="B74" s="470">
        <v>1690</v>
      </c>
      <c r="C74" s="551">
        <v>18054</v>
      </c>
      <c r="D74" s="468"/>
      <c r="E74" s="468"/>
      <c r="F74" s="468"/>
      <c r="G74" s="468"/>
      <c r="H74" s="468"/>
      <c r="I74" s="468"/>
      <c r="J74" s="468"/>
      <c r="K74" s="468"/>
    </row>
    <row r="75" spans="1:11" ht="12.75" customHeight="1" thickBot="1" x14ac:dyDescent="0.25">
      <c r="A75" s="1730" t="s">
        <v>569</v>
      </c>
      <c r="B75" s="1731"/>
      <c r="C75" s="1710">
        <f>SUM(C69:C74)</f>
        <v>193890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18179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7905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30660</v>
      </c>
      <c r="D81" s="466"/>
      <c r="E81" s="468"/>
      <c r="F81" s="468"/>
      <c r="G81" s="468"/>
      <c r="H81" s="468"/>
      <c r="I81" s="468"/>
      <c r="J81" s="468"/>
      <c r="K81" s="468"/>
    </row>
    <row r="82" spans="1:11" ht="12.75" customHeight="1" thickBot="1" x14ac:dyDescent="0.25">
      <c r="A82" s="1730" t="s">
        <v>259</v>
      </c>
      <c r="B82" s="1731"/>
      <c r="C82" s="1729">
        <f>SUM(C77:C81)</f>
        <v>56744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63318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63318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850</v>
      </c>
      <c r="D95" s="551">
        <v>51660</v>
      </c>
      <c r="E95" s="521"/>
      <c r="F95" s="521"/>
      <c r="G95" s="521"/>
      <c r="H95" s="521"/>
      <c r="I95" s="521"/>
      <c r="J95" s="521"/>
      <c r="K95" s="521"/>
    </row>
    <row r="96" spans="1:11" ht="12.75" customHeight="1" x14ac:dyDescent="0.2">
      <c r="A96" s="463" t="s">
        <v>409</v>
      </c>
      <c r="B96" s="470">
        <v>1920</v>
      </c>
      <c r="C96" s="551">
        <v>1043</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7000</v>
      </c>
      <c r="D98" s="466"/>
      <c r="E98" s="512"/>
      <c r="F98" s="466"/>
      <c r="G98" s="512"/>
      <c r="H98" s="512"/>
      <c r="I98" s="510"/>
      <c r="J98" s="512"/>
      <c r="K98" s="512"/>
    </row>
    <row r="99" spans="1:12" ht="12.75" customHeight="1" x14ac:dyDescent="0.2">
      <c r="A99" s="463" t="s">
        <v>875</v>
      </c>
      <c r="B99" s="470">
        <v>1950</v>
      </c>
      <c r="C99" s="489">
        <v>38385</v>
      </c>
      <c r="D99" s="466">
        <v>9360</v>
      </c>
      <c r="E99" s="466"/>
      <c r="F99" s="466"/>
      <c r="G99" s="466"/>
      <c r="H99" s="466"/>
      <c r="I99" s="468"/>
      <c r="J99" s="467">
        <v>2364</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7438</v>
      </c>
      <c r="D106" s="489"/>
      <c r="E106" s="467"/>
      <c r="F106" s="467"/>
      <c r="G106" s="467"/>
      <c r="H106" s="467"/>
      <c r="I106" s="521"/>
      <c r="J106" s="467"/>
      <c r="K106" s="467"/>
    </row>
    <row r="107" spans="1:12" ht="12.75" customHeight="1" x14ac:dyDescent="0.2">
      <c r="A107" s="463" t="s">
        <v>80</v>
      </c>
      <c r="B107" s="470">
        <v>1999</v>
      </c>
      <c r="C107" s="551">
        <v>556</v>
      </c>
      <c r="D107" s="466"/>
      <c r="E107" s="466"/>
      <c r="F107" s="466">
        <v>2376</v>
      </c>
      <c r="G107" s="466"/>
      <c r="H107" s="466"/>
      <c r="I107" s="466"/>
      <c r="J107" s="467"/>
      <c r="K107" s="466"/>
    </row>
    <row r="108" spans="1:12" ht="12.75" customHeight="1" thickBot="1" x14ac:dyDescent="0.25">
      <c r="A108" s="1730" t="s">
        <v>508</v>
      </c>
      <c r="B108" s="1734"/>
      <c r="C108" s="1729">
        <f>SUM(C95:C107)</f>
        <v>55272</v>
      </c>
      <c r="D108" s="1729">
        <f t="shared" ref="D108:K108" si="3">SUM(D95:D107)</f>
        <v>61020</v>
      </c>
      <c r="E108" s="1729">
        <f t="shared" si="3"/>
        <v>0</v>
      </c>
      <c r="F108" s="1729">
        <f t="shared" si="3"/>
        <v>2376</v>
      </c>
      <c r="G108" s="1729">
        <f t="shared" si="3"/>
        <v>0</v>
      </c>
      <c r="H108" s="1729">
        <f t="shared" si="3"/>
        <v>0</v>
      </c>
      <c r="I108" s="1729">
        <f t="shared" si="3"/>
        <v>0</v>
      </c>
      <c r="J108" s="1729">
        <f t="shared" si="3"/>
        <v>2364</v>
      </c>
      <c r="K108" s="1710">
        <f t="shared" si="3"/>
        <v>0</v>
      </c>
    </row>
    <row r="109" spans="1:12" ht="14.25" thickTop="1" thickBot="1" x14ac:dyDescent="0.25">
      <c r="A109" s="1735" t="s">
        <v>266</v>
      </c>
      <c r="B109" s="1736" t="s">
        <v>591</v>
      </c>
      <c r="C109" s="1737">
        <f t="shared" ref="C109:K109" si="4">SUM(C12,C18,C40,C63,C67,C75,C82,C93,C108,)</f>
        <v>3305081</v>
      </c>
      <c r="D109" s="1737">
        <f t="shared" si="4"/>
        <v>668712</v>
      </c>
      <c r="E109" s="1737">
        <f t="shared" si="4"/>
        <v>1081141</v>
      </c>
      <c r="F109" s="1737">
        <f t="shared" si="4"/>
        <v>205170</v>
      </c>
      <c r="G109" s="1737">
        <f t="shared" si="4"/>
        <v>186528</v>
      </c>
      <c r="H109" s="1737">
        <f t="shared" si="4"/>
        <v>2276</v>
      </c>
      <c r="I109" s="1737">
        <f t="shared" si="4"/>
        <v>10650</v>
      </c>
      <c r="J109" s="1737">
        <f t="shared" si="4"/>
        <v>292985</v>
      </c>
      <c r="K109" s="1724">
        <f t="shared" si="4"/>
        <v>33525</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1992495</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1992495</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10533</v>
      </c>
      <c r="D124" s="561"/>
      <c r="E124" s="468"/>
      <c r="F124" s="548"/>
      <c r="G124" s="468"/>
      <c r="H124" s="468"/>
      <c r="I124" s="468"/>
      <c r="J124" s="468"/>
      <c r="K124" s="468"/>
    </row>
    <row r="125" spans="1:11" ht="12.75" customHeight="1" x14ac:dyDescent="0.2">
      <c r="A125" s="463" t="s">
        <v>1521</v>
      </c>
      <c r="B125" s="562">
        <v>3105</v>
      </c>
      <c r="C125" s="466">
        <v>54615</v>
      </c>
      <c r="D125" s="561"/>
      <c r="E125" s="468"/>
      <c r="F125" s="466"/>
      <c r="G125" s="468"/>
      <c r="H125" s="468"/>
      <c r="I125" s="468"/>
      <c r="J125" s="468"/>
      <c r="K125" s="468"/>
    </row>
    <row r="126" spans="1:11" ht="12.75" customHeight="1" x14ac:dyDescent="0.2">
      <c r="A126" s="463" t="s">
        <v>922</v>
      </c>
      <c r="B126" s="562">
        <v>3110</v>
      </c>
      <c r="C126" s="551">
        <v>62016</v>
      </c>
      <c r="D126" s="466"/>
      <c r="E126" s="468"/>
      <c r="F126" s="466"/>
      <c r="G126" s="468"/>
      <c r="H126" s="468"/>
      <c r="I126" s="468"/>
      <c r="J126" s="468"/>
      <c r="K126" s="468"/>
    </row>
    <row r="127" spans="1:11" ht="12.75" customHeight="1" x14ac:dyDescent="0.2">
      <c r="A127" s="463" t="s">
        <v>107</v>
      </c>
      <c r="B127" s="562">
        <v>3120</v>
      </c>
      <c r="C127" s="466">
        <v>27195</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154359</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658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118489</v>
      </c>
      <c r="G151" s="467"/>
      <c r="H151" s="468"/>
      <c r="I151" s="468"/>
      <c r="J151" s="468"/>
      <c r="K151" s="468"/>
    </row>
    <row r="152" spans="1:11" ht="12.75" customHeight="1" x14ac:dyDescent="0.2">
      <c r="A152" s="463" t="s">
        <v>1117</v>
      </c>
      <c r="B152" s="562">
        <v>3510</v>
      </c>
      <c r="C152" s="551"/>
      <c r="D152" s="466"/>
      <c r="E152" s="561"/>
      <c r="F152" s="466">
        <v>81420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199909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155017</v>
      </c>
      <c r="D172" s="1744">
        <f t="shared" si="6"/>
        <v>0</v>
      </c>
      <c r="E172" s="1744">
        <f t="shared" si="6"/>
        <v>0</v>
      </c>
      <c r="F172" s="1744">
        <f t="shared" si="6"/>
        <v>199909</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2147512</v>
      </c>
      <c r="D173" s="1737">
        <f>SUM(D121,D172)</f>
        <v>0</v>
      </c>
      <c r="E173" s="1737">
        <f>SUM(E121,E172)</f>
        <v>0</v>
      </c>
      <c r="F173" s="1737">
        <f t="shared" ref="F173:K173" si="7">SUM(F121,F172)</f>
        <v>199909</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69334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69334</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70322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70322</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165935</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165935</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26663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4643</v>
      </c>
      <c r="D270" s="576"/>
      <c r="E270" s="468"/>
      <c r="F270" s="576"/>
      <c r="G270" s="576"/>
      <c r="H270" s="468"/>
      <c r="I270" s="468"/>
      <c r="J270" s="468"/>
      <c r="K270" s="468"/>
    </row>
    <row r="271" spans="1:11" ht="12.75" customHeight="1" thickTop="1" thickBot="1" x14ac:dyDescent="0.25">
      <c r="A271" s="463" t="s">
        <v>395</v>
      </c>
      <c r="B271" s="470">
        <v>4992</v>
      </c>
      <c r="C271" s="575">
        <v>5905</v>
      </c>
      <c r="D271" s="576"/>
      <c r="E271" s="468"/>
      <c r="F271" s="576">
        <v>3898</v>
      </c>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342802</v>
      </c>
      <c r="D273" s="1737">
        <f t="shared" si="10"/>
        <v>0</v>
      </c>
      <c r="E273" s="1737">
        <f t="shared" si="10"/>
        <v>0</v>
      </c>
      <c r="F273" s="1737">
        <f t="shared" si="10"/>
        <v>3898</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342802</v>
      </c>
      <c r="D274" s="1737">
        <f>SUM(D178,D184,D273)</f>
        <v>0</v>
      </c>
      <c r="E274" s="1737">
        <f>SUM(E178,E273)</f>
        <v>0</v>
      </c>
      <c r="F274" s="1737">
        <f t="shared" ref="F274:K274" si="11">SUM(F178,F184,F273)</f>
        <v>3898</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5795395</v>
      </c>
      <c r="D275" s="1737">
        <f t="shared" si="12"/>
        <v>668712</v>
      </c>
      <c r="E275" s="1737">
        <f t="shared" si="12"/>
        <v>1081141</v>
      </c>
      <c r="F275" s="1737">
        <f t="shared" si="12"/>
        <v>408977</v>
      </c>
      <c r="G275" s="1737">
        <f t="shared" si="12"/>
        <v>186528</v>
      </c>
      <c r="H275" s="1737">
        <f t="shared" si="12"/>
        <v>2276</v>
      </c>
      <c r="I275" s="1737">
        <f t="shared" si="12"/>
        <v>10650</v>
      </c>
      <c r="J275" s="1737">
        <f t="shared" si="12"/>
        <v>292985</v>
      </c>
      <c r="K275" s="1724">
        <f t="shared" si="12"/>
        <v>33525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notes are an intergral part of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8" zoomScaleNormal="98" workbookViewId="0">
      <pane ySplit="2" topLeftCell="A198" activePane="bottomLeft" state="frozen"/>
      <selection activeCell="A47" sqref="A47"/>
      <selection pane="bottomLeft" activeCell="F61" sqref="F6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2259130</v>
      </c>
      <c r="D5" s="466">
        <v>491376</v>
      </c>
      <c r="E5" s="466">
        <v>16896</v>
      </c>
      <c r="F5" s="466">
        <v>101133</v>
      </c>
      <c r="G5" s="466">
        <v>21059</v>
      </c>
      <c r="H5" s="466">
        <v>25195</v>
      </c>
      <c r="I5" s="467"/>
      <c r="J5" s="467"/>
      <c r="K5" s="1693">
        <f>SUM(C5:J5)</f>
        <v>2914789</v>
      </c>
      <c r="L5" s="466">
        <v>3098304</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577860</v>
      </c>
      <c r="D8" s="466">
        <v>126658</v>
      </c>
      <c r="E8" s="466">
        <v>4954</v>
      </c>
      <c r="F8" s="466">
        <v>2943</v>
      </c>
      <c r="G8" s="466"/>
      <c r="H8" s="466"/>
      <c r="I8" s="467"/>
      <c r="J8" s="467"/>
      <c r="K8" s="1693">
        <f t="shared" si="0"/>
        <v>712415</v>
      </c>
      <c r="L8" s="466">
        <v>781196</v>
      </c>
    </row>
    <row r="9" spans="1:14" x14ac:dyDescent="0.2">
      <c r="A9" s="1526" t="s">
        <v>745</v>
      </c>
      <c r="B9" s="615" t="s">
        <v>1025</v>
      </c>
      <c r="C9" s="467"/>
      <c r="D9" s="467"/>
      <c r="E9" s="467">
        <v>1309</v>
      </c>
      <c r="F9" s="467"/>
      <c r="G9" s="467"/>
      <c r="H9" s="467"/>
      <c r="I9" s="467"/>
      <c r="J9" s="467"/>
      <c r="K9" s="1693">
        <f t="shared" si="0"/>
        <v>1309</v>
      </c>
      <c r="L9" s="466">
        <v>3500</v>
      </c>
    </row>
    <row r="10" spans="1:14" x14ac:dyDescent="0.2">
      <c r="A10" s="1526" t="s">
        <v>746</v>
      </c>
      <c r="B10" s="615">
        <v>1250</v>
      </c>
      <c r="C10" s="466">
        <v>44807</v>
      </c>
      <c r="D10" s="466">
        <v>14235</v>
      </c>
      <c r="E10" s="466">
        <v>22576</v>
      </c>
      <c r="F10" s="466">
        <v>44088</v>
      </c>
      <c r="G10" s="466"/>
      <c r="H10" s="466"/>
      <c r="I10" s="467"/>
      <c r="J10" s="467"/>
      <c r="K10" s="1693">
        <f t="shared" si="0"/>
        <v>125706</v>
      </c>
      <c r="L10" s="466">
        <v>85450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78652</v>
      </c>
      <c r="D14" s="466">
        <v>9080</v>
      </c>
      <c r="E14" s="466">
        <v>9712</v>
      </c>
      <c r="F14" s="466">
        <v>30813</v>
      </c>
      <c r="G14" s="466"/>
      <c r="H14" s="466">
        <v>6867</v>
      </c>
      <c r="I14" s="467"/>
      <c r="J14" s="467"/>
      <c r="K14" s="1693">
        <f t="shared" si="0"/>
        <v>135124</v>
      </c>
      <c r="L14" s="466">
        <v>140282</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v>1200</v>
      </c>
      <c r="D16" s="466"/>
      <c r="E16" s="466"/>
      <c r="F16" s="466"/>
      <c r="G16" s="466"/>
      <c r="H16" s="466"/>
      <c r="I16" s="467"/>
      <c r="J16" s="467"/>
      <c r="K16" s="1693">
        <f t="shared" si="0"/>
        <v>1200</v>
      </c>
      <c r="L16" s="466">
        <v>1200</v>
      </c>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2961649</v>
      </c>
      <c r="D33" s="1692">
        <f t="shared" ref="D33:L33" si="1">SUM(D5:D32)</f>
        <v>641349</v>
      </c>
      <c r="E33" s="1692">
        <f t="shared" si="1"/>
        <v>55447</v>
      </c>
      <c r="F33" s="1692">
        <f t="shared" si="1"/>
        <v>178977</v>
      </c>
      <c r="G33" s="1692">
        <f t="shared" si="1"/>
        <v>21059</v>
      </c>
      <c r="H33" s="1692">
        <f t="shared" si="1"/>
        <v>32062</v>
      </c>
      <c r="I33" s="1692">
        <f t="shared" si="1"/>
        <v>0</v>
      </c>
      <c r="J33" s="1692">
        <f t="shared" si="1"/>
        <v>0</v>
      </c>
      <c r="K33" s="1692">
        <f t="shared" si="1"/>
        <v>3890543</v>
      </c>
      <c r="L33" s="1692">
        <f t="shared" si="1"/>
        <v>4109932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7332</v>
      </c>
      <c r="D38" s="466">
        <v>995</v>
      </c>
      <c r="E38" s="466">
        <v>1325</v>
      </c>
      <c r="F38" s="466">
        <v>602</v>
      </c>
      <c r="G38" s="466"/>
      <c r="H38" s="466"/>
      <c r="I38" s="467"/>
      <c r="J38" s="467"/>
      <c r="K38" s="1693">
        <f t="shared" si="2"/>
        <v>10254</v>
      </c>
      <c r="L38" s="466">
        <v>15225</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v>2383</v>
      </c>
      <c r="G41" s="466"/>
      <c r="H41" s="466"/>
      <c r="I41" s="467"/>
      <c r="J41" s="467"/>
      <c r="K41" s="1693">
        <f t="shared" si="2"/>
        <v>2383</v>
      </c>
      <c r="L41" s="466">
        <v>2500</v>
      </c>
    </row>
    <row r="42" spans="1:14" ht="12.75" customHeight="1" thickBot="1" x14ac:dyDescent="0.25">
      <c r="A42" s="1690" t="s">
        <v>581</v>
      </c>
      <c r="B42" s="1691" t="s">
        <v>740</v>
      </c>
      <c r="C42" s="1692">
        <f>SUM(C36:C41)</f>
        <v>7332</v>
      </c>
      <c r="D42" s="1692">
        <f t="shared" ref="D42:L42" si="3">SUM(D36:D41)</f>
        <v>995</v>
      </c>
      <c r="E42" s="1692">
        <f t="shared" si="3"/>
        <v>1325</v>
      </c>
      <c r="F42" s="1692">
        <f t="shared" si="3"/>
        <v>2985</v>
      </c>
      <c r="G42" s="1692">
        <f t="shared" si="3"/>
        <v>0</v>
      </c>
      <c r="H42" s="1692">
        <f t="shared" si="3"/>
        <v>0</v>
      </c>
      <c r="I42" s="1692">
        <f t="shared" si="3"/>
        <v>0</v>
      </c>
      <c r="J42" s="1692">
        <f t="shared" si="3"/>
        <v>0</v>
      </c>
      <c r="K42" s="1692">
        <f t="shared" si="3"/>
        <v>12637</v>
      </c>
      <c r="L42" s="1692">
        <f t="shared" si="3"/>
        <v>17725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48032</v>
      </c>
      <c r="D44" s="481">
        <v>13675</v>
      </c>
      <c r="E44" s="481">
        <v>1000</v>
      </c>
      <c r="F44" s="481"/>
      <c r="G44" s="481"/>
      <c r="H44" s="481"/>
      <c r="I44" s="467"/>
      <c r="J44" s="467"/>
      <c r="K44" s="1694">
        <f>SUM(C44:J44)</f>
        <v>62707</v>
      </c>
      <c r="L44" s="481">
        <v>62512</v>
      </c>
    </row>
    <row r="45" spans="1:14" x14ac:dyDescent="0.2">
      <c r="A45" s="1526" t="s">
        <v>869</v>
      </c>
      <c r="B45" s="615">
        <v>2220</v>
      </c>
      <c r="C45" s="466">
        <v>59006</v>
      </c>
      <c r="D45" s="466">
        <v>13081</v>
      </c>
      <c r="E45" s="466"/>
      <c r="F45" s="466">
        <v>9760</v>
      </c>
      <c r="G45" s="466"/>
      <c r="H45" s="466"/>
      <c r="I45" s="467"/>
      <c r="J45" s="467"/>
      <c r="K45" s="1694">
        <f>SUM(C45:J45)</f>
        <v>81847</v>
      </c>
      <c r="L45" s="466">
        <v>95520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107038</v>
      </c>
      <c r="D47" s="1692">
        <f t="shared" ref="D47:K47" si="4">SUM(D44:D46)</f>
        <v>26756</v>
      </c>
      <c r="E47" s="1692">
        <f t="shared" si="4"/>
        <v>1000</v>
      </c>
      <c r="F47" s="1692">
        <f t="shared" si="4"/>
        <v>9760</v>
      </c>
      <c r="G47" s="1692">
        <f t="shared" si="4"/>
        <v>0</v>
      </c>
      <c r="H47" s="1692">
        <f t="shared" si="4"/>
        <v>0</v>
      </c>
      <c r="I47" s="1692">
        <f t="shared" si="4"/>
        <v>0</v>
      </c>
      <c r="J47" s="1692">
        <f t="shared" si="4"/>
        <v>0</v>
      </c>
      <c r="K47" s="1692">
        <f t="shared" si="4"/>
        <v>144554</v>
      </c>
      <c r="L47" s="1692">
        <f>SUM(L44:L46)</f>
        <v>158032</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23855</v>
      </c>
      <c r="F49" s="481">
        <v>2701</v>
      </c>
      <c r="G49" s="481"/>
      <c r="H49" s="481">
        <v>18400</v>
      </c>
      <c r="I49" s="467"/>
      <c r="J49" s="467"/>
      <c r="K49" s="1694">
        <f>SUM(C49:J49)</f>
        <v>44956</v>
      </c>
      <c r="L49" s="481">
        <v>55325</v>
      </c>
    </row>
    <row r="50" spans="1:14" x14ac:dyDescent="0.2">
      <c r="A50" s="1526" t="s">
        <v>872</v>
      </c>
      <c r="B50" s="615">
        <v>2320</v>
      </c>
      <c r="C50" s="466">
        <v>129750</v>
      </c>
      <c r="D50" s="466">
        <v>25100</v>
      </c>
      <c r="E50" s="466">
        <v>1951</v>
      </c>
      <c r="F50" s="466">
        <v>429</v>
      </c>
      <c r="G50" s="466"/>
      <c r="H50" s="466">
        <v>1599</v>
      </c>
      <c r="I50" s="467"/>
      <c r="J50" s="467"/>
      <c r="K50" s="1694">
        <f>SUM(C50:J50)</f>
        <v>158829</v>
      </c>
      <c r="L50" s="466">
        <v>157700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129750</v>
      </c>
      <c r="D53" s="1692">
        <f t="shared" ref="D53:L53" si="5">SUM(D49:D52)</f>
        <v>25100</v>
      </c>
      <c r="E53" s="1692">
        <f t="shared" si="5"/>
        <v>25806</v>
      </c>
      <c r="F53" s="1692">
        <f t="shared" si="5"/>
        <v>3130</v>
      </c>
      <c r="G53" s="1692">
        <f t="shared" si="5"/>
        <v>0</v>
      </c>
      <c r="H53" s="1692">
        <f t="shared" si="5"/>
        <v>19999</v>
      </c>
      <c r="I53" s="1692">
        <f t="shared" si="5"/>
        <v>0</v>
      </c>
      <c r="J53" s="1692">
        <f t="shared" si="5"/>
        <v>0</v>
      </c>
      <c r="K53" s="1692">
        <f t="shared" si="5"/>
        <v>203785</v>
      </c>
      <c r="L53" s="1692">
        <f t="shared" si="5"/>
        <v>213025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204914</v>
      </c>
      <c r="D55" s="481">
        <v>51371</v>
      </c>
      <c r="E55" s="481">
        <v>26584</v>
      </c>
      <c r="F55" s="481">
        <v>2050</v>
      </c>
      <c r="G55" s="481"/>
      <c r="H55" s="481">
        <v>784</v>
      </c>
      <c r="I55" s="467"/>
      <c r="J55" s="467"/>
      <c r="K55" s="1694">
        <f>SUM(C55:J55)</f>
        <v>285703</v>
      </c>
      <c r="L55" s="481">
        <v>295891</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204914</v>
      </c>
      <c r="D57" s="1696">
        <f t="shared" ref="D57:K57" si="6">SUM(D55:D56)</f>
        <v>51371</v>
      </c>
      <c r="E57" s="1696">
        <f t="shared" si="6"/>
        <v>26584</v>
      </c>
      <c r="F57" s="1696">
        <f t="shared" si="6"/>
        <v>2050</v>
      </c>
      <c r="G57" s="1696">
        <f t="shared" si="6"/>
        <v>0</v>
      </c>
      <c r="H57" s="1696">
        <f t="shared" si="6"/>
        <v>784</v>
      </c>
      <c r="I57" s="1696">
        <f t="shared" si="6"/>
        <v>0</v>
      </c>
      <c r="J57" s="1696">
        <f t="shared" si="6"/>
        <v>0</v>
      </c>
      <c r="K57" s="1696">
        <f t="shared" si="6"/>
        <v>285703</v>
      </c>
      <c r="L57" s="1692">
        <f>SUM(L55:L56)</f>
        <v>295891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46758</v>
      </c>
      <c r="D60" s="466">
        <v>143</v>
      </c>
      <c r="E60" s="466"/>
      <c r="F60" s="466">
        <v>5961</v>
      </c>
      <c r="G60" s="466"/>
      <c r="H60" s="466">
        <v>200</v>
      </c>
      <c r="I60" s="467"/>
      <c r="J60" s="467"/>
      <c r="K60" s="1694">
        <f t="shared" si="7"/>
        <v>53062</v>
      </c>
      <c r="L60" s="466">
        <v>54350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113338</v>
      </c>
      <c r="D63" s="466">
        <v>16611</v>
      </c>
      <c r="E63" s="466">
        <v>3603</v>
      </c>
      <c r="F63" s="466">
        <v>160835</v>
      </c>
      <c r="G63" s="466"/>
      <c r="H63" s="466">
        <v>270</v>
      </c>
      <c r="I63" s="467"/>
      <c r="J63" s="467"/>
      <c r="K63" s="1694">
        <f t="shared" si="7"/>
        <v>294657</v>
      </c>
      <c r="L63" s="466">
        <v>304060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160096</v>
      </c>
      <c r="D65" s="1692">
        <f t="shared" ref="D65:L65" si="8">SUM(D59:D64)</f>
        <v>16754</v>
      </c>
      <c r="E65" s="1692">
        <f t="shared" si="8"/>
        <v>3603</v>
      </c>
      <c r="F65" s="1692">
        <f t="shared" si="8"/>
        <v>166796</v>
      </c>
      <c r="G65" s="1692">
        <f t="shared" si="8"/>
        <v>0</v>
      </c>
      <c r="H65" s="1692">
        <f t="shared" si="8"/>
        <v>470</v>
      </c>
      <c r="I65" s="1692">
        <f t="shared" si="8"/>
        <v>0</v>
      </c>
      <c r="J65" s="1692">
        <f t="shared" si="8"/>
        <v>0</v>
      </c>
      <c r="K65" s="1692">
        <f t="shared" si="8"/>
        <v>347719</v>
      </c>
      <c r="L65" s="1692">
        <f t="shared" si="8"/>
        <v>358410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v>3379</v>
      </c>
      <c r="D69" s="466">
        <v>396</v>
      </c>
      <c r="E69" s="466"/>
      <c r="F69" s="466"/>
      <c r="G69" s="466"/>
      <c r="H69" s="466"/>
      <c r="I69" s="467"/>
      <c r="J69" s="467"/>
      <c r="K69" s="1694">
        <f>SUM(C69:J69)</f>
        <v>3775</v>
      </c>
      <c r="L69" s="466">
        <v>3855</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v>70594</v>
      </c>
      <c r="D71" s="466">
        <v>14778</v>
      </c>
      <c r="E71" s="466"/>
      <c r="F71" s="466"/>
      <c r="G71" s="466"/>
      <c r="H71" s="466"/>
      <c r="I71" s="467"/>
      <c r="J71" s="467"/>
      <c r="K71" s="1694">
        <f>SUM(C71:J71)</f>
        <v>85372</v>
      </c>
      <c r="L71" s="466">
        <v>88045</v>
      </c>
      <c r="M71" s="610"/>
      <c r="N71" s="610"/>
    </row>
    <row r="72" spans="1:14" s="343" customFormat="1" ht="12.75" customHeight="1" thickBot="1" x14ac:dyDescent="0.25">
      <c r="A72" s="1690" t="s">
        <v>37</v>
      </c>
      <c r="B72" s="1697" t="s">
        <v>36</v>
      </c>
      <c r="C72" s="1692">
        <f>SUM(C67:C71)</f>
        <v>73973</v>
      </c>
      <c r="D72" s="1692">
        <f t="shared" ref="D72:K72" si="9">SUM(D67:D71)</f>
        <v>15174</v>
      </c>
      <c r="E72" s="1692">
        <f t="shared" si="9"/>
        <v>0</v>
      </c>
      <c r="F72" s="1692">
        <f t="shared" si="9"/>
        <v>0</v>
      </c>
      <c r="G72" s="1692">
        <f t="shared" si="9"/>
        <v>0</v>
      </c>
      <c r="H72" s="1692">
        <f t="shared" si="9"/>
        <v>0</v>
      </c>
      <c r="I72" s="1692">
        <f t="shared" si="9"/>
        <v>0</v>
      </c>
      <c r="J72" s="1692">
        <f t="shared" si="9"/>
        <v>0</v>
      </c>
      <c r="K72" s="1692">
        <f t="shared" si="9"/>
        <v>89147</v>
      </c>
      <c r="L72" s="1692">
        <f>SUM(L67:L71)</f>
        <v>91900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683103</v>
      </c>
      <c r="D74" s="1699">
        <f t="shared" ref="D74:K74" si="10">SUM(D42,D47,D53,D57,D65,D72,D73)</f>
        <v>136150</v>
      </c>
      <c r="E74" s="1699">
        <f t="shared" si="10"/>
        <v>58318</v>
      </c>
      <c r="F74" s="1699">
        <f t="shared" si="10"/>
        <v>184721</v>
      </c>
      <c r="G74" s="1699">
        <f t="shared" si="10"/>
        <v>0</v>
      </c>
      <c r="H74" s="1699">
        <f t="shared" si="10"/>
        <v>21253</v>
      </c>
      <c r="I74" s="1699">
        <f t="shared" si="10"/>
        <v>0</v>
      </c>
      <c r="J74" s="1699">
        <f t="shared" si="10"/>
        <v>0</v>
      </c>
      <c r="K74" s="1699">
        <f t="shared" si="10"/>
        <v>1083545</v>
      </c>
      <c r="L74" s="1699">
        <f>SUM(L42,L47,L53,L57,L65,L72,L73)</f>
        <v>1134983</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269641</v>
      </c>
      <c r="F79" s="617"/>
      <c r="G79" s="617"/>
      <c r="H79" s="466"/>
      <c r="I79" s="477"/>
      <c r="J79" s="477"/>
      <c r="K79" s="1693">
        <f t="shared" si="11"/>
        <v>269641</v>
      </c>
      <c r="L79" s="466">
        <v>281710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269641</v>
      </c>
      <c r="F84" s="617"/>
      <c r="G84" s="617"/>
      <c r="H84" s="1692">
        <f>SUM(H78:H83)</f>
        <v>0</v>
      </c>
      <c r="I84" s="477"/>
      <c r="J84" s="477"/>
      <c r="K84" s="1692">
        <f>SUM(K78:K83)</f>
        <v>269641</v>
      </c>
      <c r="L84" s="1692">
        <f>SUM(L78:L83)</f>
        <v>281710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238773</v>
      </c>
      <c r="I86" s="477"/>
      <c r="J86" s="477"/>
      <c r="K86" s="1699">
        <f t="shared" ref="K86:K98" si="12">H86</f>
        <v>238773</v>
      </c>
      <c r="L86" s="530">
        <v>272750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238773</v>
      </c>
      <c r="I92" s="477"/>
      <c r="J92" s="477"/>
      <c r="K92" s="1699">
        <f t="shared" si="12"/>
        <v>238773</v>
      </c>
      <c r="L92" s="1692">
        <f>SUM(L85:L91)</f>
        <v>272750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269641</v>
      </c>
      <c r="F102" s="617"/>
      <c r="G102" s="617"/>
      <c r="H102" s="1699">
        <f>SUM(H84,H92,H100,H101)</f>
        <v>238773</v>
      </c>
      <c r="I102" s="477"/>
      <c r="J102" s="477"/>
      <c r="K102" s="1699">
        <f>SUM(K84,K92,K100,K101)</f>
        <v>508414</v>
      </c>
      <c r="L102" s="1699">
        <f>SUM(L84,L92,L100,L101)</f>
        <v>554460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5000</v>
      </c>
      <c r="M113" s="614"/>
      <c r="N113" s="614"/>
    </row>
    <row r="114" spans="1:14" ht="12.75" customHeight="1" thickTop="1" thickBot="1" x14ac:dyDescent="0.25">
      <c r="A114" s="1690" t="s">
        <v>50</v>
      </c>
      <c r="B114" s="1704"/>
      <c r="C114" s="1692">
        <f>SUM(C33,C74,C75,C102,C112,C113)</f>
        <v>3644752</v>
      </c>
      <c r="D114" s="1692">
        <f t="shared" ref="D114:K114" si="13">SUM(D33,D74,D75,D102,D112,D113)</f>
        <v>777499</v>
      </c>
      <c r="E114" s="1692">
        <f t="shared" si="13"/>
        <v>383406</v>
      </c>
      <c r="F114" s="1692">
        <f t="shared" si="13"/>
        <v>363698</v>
      </c>
      <c r="G114" s="1692">
        <f t="shared" si="13"/>
        <v>21059</v>
      </c>
      <c r="H114" s="1692">
        <f>SUM(H33,H74,H75,H102,H112,H113)</f>
        <v>292088</v>
      </c>
      <c r="I114" s="1692">
        <f t="shared" si="13"/>
        <v>0</v>
      </c>
      <c r="J114" s="1692">
        <f t="shared" si="13"/>
        <v>0</v>
      </c>
      <c r="K114" s="1692">
        <f t="shared" si="13"/>
        <v>5482502</v>
      </c>
      <c r="L114" s="1692">
        <f>SUM(L33,L74,L75,L102,L112,L113)</f>
        <v>5804375</v>
      </c>
    </row>
    <row r="115" spans="1:14" ht="13.5" thickTop="1" x14ac:dyDescent="0.2">
      <c r="A115" s="2199" t="s">
        <v>1053</v>
      </c>
      <c r="B115" s="2200"/>
      <c r="C115" s="619"/>
      <c r="D115" s="619"/>
      <c r="E115" s="619"/>
      <c r="F115" s="619"/>
      <c r="G115" s="619"/>
      <c r="H115" s="619"/>
      <c r="I115" s="619"/>
      <c r="J115" s="619"/>
      <c r="K115" s="1706">
        <f>'Revenues 9-14'!C275-'Expenditures 15-22'!K114</f>
        <v>312893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928</v>
      </c>
      <c r="F123" s="466">
        <v>13518</v>
      </c>
      <c r="G123" s="466">
        <v>43990</v>
      </c>
      <c r="H123" s="466"/>
      <c r="I123" s="467"/>
      <c r="J123" s="467"/>
      <c r="K123" s="1692">
        <f>SUM(C123:J123)</f>
        <v>58436</v>
      </c>
      <c r="L123" s="466">
        <v>64755</v>
      </c>
    </row>
    <row r="124" spans="1:14" ht="14.25" thickTop="1" thickBot="1" x14ac:dyDescent="0.25">
      <c r="A124" s="1526" t="s">
        <v>206</v>
      </c>
      <c r="B124" s="615">
        <v>2540</v>
      </c>
      <c r="C124" s="466">
        <v>182719</v>
      </c>
      <c r="D124" s="466">
        <v>24635</v>
      </c>
      <c r="E124" s="466">
        <v>78732</v>
      </c>
      <c r="F124" s="466">
        <v>150083</v>
      </c>
      <c r="G124" s="466">
        <v>34780</v>
      </c>
      <c r="H124" s="466"/>
      <c r="I124" s="467">
        <v>3049</v>
      </c>
      <c r="J124" s="467"/>
      <c r="K124" s="1692">
        <f>SUM(C124:J124)</f>
        <v>473998</v>
      </c>
      <c r="L124" s="466">
        <v>555955</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182719</v>
      </c>
      <c r="D127" s="1692">
        <f t="shared" ref="D127:L127" si="14">SUM(D122:D126)</f>
        <v>24635</v>
      </c>
      <c r="E127" s="1692">
        <f t="shared" si="14"/>
        <v>79660</v>
      </c>
      <c r="F127" s="1692">
        <f t="shared" si="14"/>
        <v>163601</v>
      </c>
      <c r="G127" s="1692">
        <f t="shared" si="14"/>
        <v>78770</v>
      </c>
      <c r="H127" s="1692">
        <f t="shared" si="14"/>
        <v>0</v>
      </c>
      <c r="I127" s="1692">
        <f t="shared" si="14"/>
        <v>3049</v>
      </c>
      <c r="J127" s="1692">
        <f t="shared" si="14"/>
        <v>0</v>
      </c>
      <c r="K127" s="1692">
        <f t="shared" si="14"/>
        <v>532434</v>
      </c>
      <c r="L127" s="1692">
        <f t="shared" si="14"/>
        <v>620710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182719</v>
      </c>
      <c r="D129" s="1699">
        <f t="shared" ref="D129:L129" si="15">SUM(D120,D127,D128)</f>
        <v>24635</v>
      </c>
      <c r="E129" s="1699">
        <f t="shared" si="15"/>
        <v>79660</v>
      </c>
      <c r="F129" s="1699">
        <f t="shared" si="15"/>
        <v>163601</v>
      </c>
      <c r="G129" s="1699">
        <f t="shared" si="15"/>
        <v>78770</v>
      </c>
      <c r="H129" s="1699">
        <f t="shared" si="15"/>
        <v>0</v>
      </c>
      <c r="I129" s="1699">
        <f t="shared" si="15"/>
        <v>3049</v>
      </c>
      <c r="J129" s="1699">
        <f t="shared" si="15"/>
        <v>0</v>
      </c>
      <c r="K129" s="1699">
        <f t="shared" si="15"/>
        <v>532434</v>
      </c>
      <c r="L129" s="1699">
        <f t="shared" si="15"/>
        <v>620710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30000</v>
      </c>
    </row>
    <row r="151" spans="1:14" ht="12.75" customHeight="1" thickTop="1" thickBot="1" x14ac:dyDescent="0.25">
      <c r="A151" s="2189" t="s">
        <v>641</v>
      </c>
      <c r="B151" s="2171"/>
      <c r="C151" s="1692">
        <f>SUM(C129,C130,C139,C149,C150)</f>
        <v>182719</v>
      </c>
      <c r="D151" s="1692">
        <f t="shared" ref="D151:K151" si="16">SUM(D129,D130,D139,D149,D150)</f>
        <v>24635</v>
      </c>
      <c r="E151" s="1692">
        <f t="shared" si="16"/>
        <v>79660</v>
      </c>
      <c r="F151" s="1692">
        <f t="shared" si="16"/>
        <v>163601</v>
      </c>
      <c r="G151" s="1692">
        <f t="shared" si="16"/>
        <v>78770</v>
      </c>
      <c r="H151" s="1692">
        <f t="shared" si="16"/>
        <v>0</v>
      </c>
      <c r="I151" s="1692">
        <f t="shared" si="16"/>
        <v>3049</v>
      </c>
      <c r="J151" s="1692">
        <f t="shared" si="16"/>
        <v>0</v>
      </c>
      <c r="K151" s="1692">
        <f t="shared" si="16"/>
        <v>532434</v>
      </c>
      <c r="L151" s="1692">
        <f>SUM(L129,L130,L139,L149,L150)</f>
        <v>650710</v>
      </c>
    </row>
    <row r="152" spans="1:14" ht="12.75" customHeight="1" thickTop="1" x14ac:dyDescent="0.2">
      <c r="A152" s="2192" t="s">
        <v>1240</v>
      </c>
      <c r="B152" s="2193"/>
      <c r="C152" s="619"/>
      <c r="D152" s="619"/>
      <c r="E152" s="619"/>
      <c r="F152" s="619"/>
      <c r="G152" s="619"/>
      <c r="H152" s="619"/>
      <c r="I152" s="619"/>
      <c r="J152" s="617"/>
      <c r="K152" s="1706">
        <f>'Revenues 9-14'!D275-'Expenditures 15-22'!K151</f>
        <v>136278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165386</v>
      </c>
      <c r="I169" s="617"/>
      <c r="J169" s="617"/>
      <c r="K169" s="1693">
        <f>SUM(C169:H169)</f>
        <v>165386</v>
      </c>
      <c r="L169" s="657">
        <v>165670</v>
      </c>
    </row>
    <row r="170" spans="1:14" ht="33.75" customHeight="1" x14ac:dyDescent="0.2">
      <c r="A170" s="670" t="s">
        <v>1769</v>
      </c>
      <c r="B170" s="672" t="s">
        <v>31</v>
      </c>
      <c r="C170" s="617"/>
      <c r="D170" s="617"/>
      <c r="E170" s="617"/>
      <c r="F170" s="617"/>
      <c r="G170" s="617"/>
      <c r="H170" s="569">
        <v>915000</v>
      </c>
      <c r="I170" s="617"/>
      <c r="J170" s="617"/>
      <c r="K170" s="1693">
        <f>SUM(C170:J170)</f>
        <v>915000</v>
      </c>
      <c r="L170" s="569">
        <v>915000</v>
      </c>
    </row>
    <row r="171" spans="1:14" ht="15.75" customHeight="1" x14ac:dyDescent="0.2">
      <c r="A171" s="622" t="s">
        <v>790</v>
      </c>
      <c r="B171" s="673" t="s">
        <v>86</v>
      </c>
      <c r="C171" s="617"/>
      <c r="D171" s="617"/>
      <c r="E171" s="466"/>
      <c r="F171" s="617"/>
      <c r="G171" s="617"/>
      <c r="H171" s="569"/>
      <c r="I171" s="477"/>
      <c r="J171" s="617"/>
      <c r="K171" s="1693">
        <f>SUM(C171:J171)</f>
        <v>0</v>
      </c>
      <c r="L171" s="569">
        <v>1000</v>
      </c>
    </row>
    <row r="172" spans="1:14" ht="12.75" customHeight="1" thickBot="1" x14ac:dyDescent="0.25">
      <c r="A172" s="1690" t="s">
        <v>659</v>
      </c>
      <c r="B172" s="1691" t="s">
        <v>513</v>
      </c>
      <c r="C172" s="617"/>
      <c r="D172" s="617"/>
      <c r="E172" s="1699">
        <f>SUM(E168,E169,E170,E171)</f>
        <v>0</v>
      </c>
      <c r="F172" s="617"/>
      <c r="G172" s="617"/>
      <c r="H172" s="1699">
        <f>SUM(H168,H169,H170,H171)</f>
        <v>1080386</v>
      </c>
      <c r="I172" s="639"/>
      <c r="J172" s="617"/>
      <c r="K172" s="1699">
        <f>SUM(K168,K169,K170,K171)</f>
        <v>1080386</v>
      </c>
      <c r="L172" s="1699">
        <f>SUM(L168,L169,L170,L171)</f>
        <v>1081670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1080386</v>
      </c>
      <c r="I174" s="639"/>
      <c r="J174" s="617"/>
      <c r="K174" s="1699">
        <f>SUM(K160,K172,K173)</f>
        <v>1080386</v>
      </c>
      <c r="L174" s="1699">
        <f>SUM(L160,L172,L173)</f>
        <v>1081670</v>
      </c>
    </row>
    <row r="175" spans="1:14" ht="13.5" thickTop="1" x14ac:dyDescent="0.2">
      <c r="A175" s="2199" t="s">
        <v>1053</v>
      </c>
      <c r="B175" s="2200"/>
      <c r="C175" s="617"/>
      <c r="D175" s="617"/>
      <c r="E175" s="617"/>
      <c r="F175" s="617"/>
      <c r="G175" s="617"/>
      <c r="H175" s="619"/>
      <c r="I175" s="617"/>
      <c r="J175" s="617"/>
      <c r="K175" s="1706">
        <f>'Revenues 9-14'!E275-'Expenditures 15-22'!K174</f>
        <v>755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196850</v>
      </c>
      <c r="D182" s="466">
        <v>15776</v>
      </c>
      <c r="E182" s="466">
        <v>26908</v>
      </c>
      <c r="F182" s="466">
        <v>81420</v>
      </c>
      <c r="G182" s="466">
        <v>1235</v>
      </c>
      <c r="H182" s="466"/>
      <c r="I182" s="467"/>
      <c r="J182" s="467"/>
      <c r="K182" s="1693">
        <f>SUM(C182:J182)</f>
        <v>322189</v>
      </c>
      <c r="L182" s="466">
        <v>334404</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196850</v>
      </c>
      <c r="D184" s="1699">
        <f t="shared" ref="D184:J184" si="17">SUM(D180,D182,D183)</f>
        <v>15776</v>
      </c>
      <c r="E184" s="1699">
        <f t="shared" si="17"/>
        <v>26908</v>
      </c>
      <c r="F184" s="1699">
        <f t="shared" si="17"/>
        <v>81420</v>
      </c>
      <c r="G184" s="1699">
        <f t="shared" si="17"/>
        <v>1235</v>
      </c>
      <c r="H184" s="1699">
        <f t="shared" si="17"/>
        <v>0</v>
      </c>
      <c r="I184" s="1699">
        <f t="shared" si="17"/>
        <v>0</v>
      </c>
      <c r="J184" s="1699">
        <f t="shared" si="17"/>
        <v>0</v>
      </c>
      <c r="K184" s="1699">
        <f>SUM(K180,K182,K183)</f>
        <v>322189</v>
      </c>
      <c r="L184" s="1699">
        <f>SUM(L180, L182:L183)</f>
        <v>334404</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3096</v>
      </c>
      <c r="I205" s="617"/>
      <c r="J205" s="617"/>
      <c r="K205" s="1707">
        <f>SUM(H205)</f>
        <v>3096</v>
      </c>
      <c r="L205" s="535">
        <v>5310</v>
      </c>
    </row>
    <row r="206" spans="1:14" ht="30" customHeight="1" x14ac:dyDescent="0.2">
      <c r="A206" s="682" t="s">
        <v>1770</v>
      </c>
      <c r="B206" s="673" t="s">
        <v>31</v>
      </c>
      <c r="C206" s="617"/>
      <c r="D206" s="617"/>
      <c r="E206" s="617"/>
      <c r="F206" s="617"/>
      <c r="G206" s="617"/>
      <c r="H206" s="466">
        <v>30446</v>
      </c>
      <c r="I206" s="617"/>
      <c r="J206" s="617"/>
      <c r="K206" s="1693">
        <f>SUM(H206)</f>
        <v>30446</v>
      </c>
      <c r="L206" s="466">
        <v>55730</v>
      </c>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33542</v>
      </c>
      <c r="I208" s="617"/>
      <c r="J208" s="617"/>
      <c r="K208" s="1699">
        <f>SUM(K204,K205,K206,K207)</f>
        <v>33542</v>
      </c>
      <c r="L208" s="1699">
        <f>SUM(L204,L205,L206,L207)</f>
        <v>61040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196850</v>
      </c>
      <c r="D210" s="1692">
        <f>SUM(D184,D185)</f>
        <v>15776</v>
      </c>
      <c r="E210" s="1692">
        <f>SUM(E184,E185,E196)</f>
        <v>26908</v>
      </c>
      <c r="F210" s="1692">
        <f>SUM(F184,F185)</f>
        <v>81420</v>
      </c>
      <c r="G210" s="1692">
        <f>SUM(G184,G185)</f>
        <v>1235</v>
      </c>
      <c r="H210" s="1692">
        <f>SUM(H184,H185,H196,H208,H209)</f>
        <v>33542</v>
      </c>
      <c r="I210" s="1692">
        <f>SUM(I184,I185)</f>
        <v>0</v>
      </c>
      <c r="J210" s="1692">
        <f>SUM(J184,J185)</f>
        <v>0</v>
      </c>
      <c r="K210" s="1693">
        <f>SUM(K184,K185,K196,K208,K209)</f>
        <v>355731</v>
      </c>
      <c r="L210" s="1692">
        <f>SUM(L184,L185,L196,L208,L209)</f>
        <v>395444</v>
      </c>
    </row>
    <row r="211" spans="1:14" ht="13.5" thickTop="1" x14ac:dyDescent="0.2">
      <c r="A211" s="2199" t="s">
        <v>1053</v>
      </c>
      <c r="B211" s="2200"/>
      <c r="C211" s="619"/>
      <c r="D211" s="619"/>
      <c r="E211" s="619"/>
      <c r="F211" s="619"/>
      <c r="G211" s="619"/>
      <c r="H211" s="619"/>
      <c r="I211" s="617"/>
      <c r="J211" s="617"/>
      <c r="K211" s="1706">
        <f>'Revenues 9-14'!F275-'Expenditures 15-22'!K210</f>
        <v>53246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35299</v>
      </c>
      <c r="E215" s="617"/>
      <c r="F215" s="617"/>
      <c r="G215" s="617"/>
      <c r="H215" s="617"/>
      <c r="I215" s="617"/>
      <c r="J215" s="617"/>
      <c r="K215" s="1693">
        <f>D215</f>
        <v>35299</v>
      </c>
      <c r="L215" s="466">
        <v>37085</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33505</v>
      </c>
      <c r="E217" s="617"/>
      <c r="F217" s="617"/>
      <c r="G217" s="617"/>
      <c r="H217" s="617"/>
      <c r="I217" s="617"/>
      <c r="J217" s="617"/>
      <c r="K217" s="1693">
        <f t="shared" si="19"/>
        <v>33505</v>
      </c>
      <c r="L217" s="466">
        <v>41630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487</v>
      </c>
      <c r="E219" s="617"/>
      <c r="F219" s="617"/>
      <c r="G219" s="617"/>
      <c r="H219" s="617"/>
      <c r="I219" s="617"/>
      <c r="J219" s="617"/>
      <c r="K219" s="1693">
        <f t="shared" si="19"/>
        <v>487</v>
      </c>
      <c r="L219" s="466">
        <v>655</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2381</v>
      </c>
      <c r="E223" s="617"/>
      <c r="F223" s="617"/>
      <c r="G223" s="617"/>
      <c r="H223" s="617"/>
      <c r="I223" s="617"/>
      <c r="J223" s="617"/>
      <c r="K223" s="1693">
        <f t="shared" si="19"/>
        <v>2381</v>
      </c>
      <c r="L223" s="466">
        <v>2760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71672</v>
      </c>
      <c r="E229" s="617"/>
      <c r="F229" s="617"/>
      <c r="G229" s="617"/>
      <c r="H229" s="617"/>
      <c r="I229" s="617"/>
      <c r="J229" s="617"/>
      <c r="K229" s="1692">
        <f>SUM(K215:K228)</f>
        <v>71672</v>
      </c>
      <c r="L229" s="1692">
        <f>SUM(L215:L228)</f>
        <v>82130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1287</v>
      </c>
      <c r="E234" s="617"/>
      <c r="F234" s="617"/>
      <c r="G234" s="617"/>
      <c r="H234" s="617"/>
      <c r="I234" s="617"/>
      <c r="J234" s="617"/>
      <c r="K234" s="1693">
        <f t="shared" si="20"/>
        <v>1287</v>
      </c>
      <c r="L234" s="466">
        <v>1850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1287</v>
      </c>
      <c r="E238" s="617"/>
      <c r="F238" s="617"/>
      <c r="G238" s="617"/>
      <c r="H238" s="617"/>
      <c r="I238" s="617"/>
      <c r="J238" s="617"/>
      <c r="K238" s="1692">
        <f>SUM(K232:K237)</f>
        <v>1287</v>
      </c>
      <c r="L238" s="1692">
        <f>SUM(L232:L237)</f>
        <v>1850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671</v>
      </c>
      <c r="E240" s="617"/>
      <c r="F240" s="617"/>
      <c r="G240" s="617"/>
      <c r="H240" s="617"/>
      <c r="I240" s="617"/>
      <c r="J240" s="617"/>
      <c r="K240" s="1694">
        <f>D240</f>
        <v>671</v>
      </c>
      <c r="L240" s="481">
        <v>725</v>
      </c>
    </row>
    <row r="241" spans="1:12" x14ac:dyDescent="0.2">
      <c r="A241" s="1526" t="s">
        <v>869</v>
      </c>
      <c r="B241" s="615">
        <v>2220</v>
      </c>
      <c r="C241" s="617"/>
      <c r="D241" s="466">
        <v>4223</v>
      </c>
      <c r="E241" s="617"/>
      <c r="F241" s="617"/>
      <c r="G241" s="617"/>
      <c r="H241" s="617"/>
      <c r="I241" s="617"/>
      <c r="J241" s="617"/>
      <c r="K241" s="1694">
        <f>D241</f>
        <v>4223</v>
      </c>
      <c r="L241" s="466">
        <v>4200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4894</v>
      </c>
      <c r="E243" s="617"/>
      <c r="F243" s="617"/>
      <c r="G243" s="617"/>
      <c r="H243" s="617"/>
      <c r="I243" s="617"/>
      <c r="J243" s="617"/>
      <c r="K243" s="1692">
        <f>SUM(K240:K242)</f>
        <v>4894</v>
      </c>
      <c r="L243" s="1692">
        <f>SUM(L240:L242)</f>
        <v>4925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11016</v>
      </c>
      <c r="E246" s="617"/>
      <c r="F246" s="617"/>
      <c r="G246" s="617"/>
      <c r="H246" s="617"/>
      <c r="I246" s="617"/>
      <c r="J246" s="617"/>
      <c r="K246" s="1694">
        <f t="shared" ref="K246:K256" si="21">D246</f>
        <v>11016</v>
      </c>
      <c r="L246" s="466">
        <v>10725</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11016</v>
      </c>
      <c r="E257" s="617"/>
      <c r="F257" s="617"/>
      <c r="G257" s="617"/>
      <c r="H257" s="617"/>
      <c r="I257" s="617"/>
      <c r="J257" s="617"/>
      <c r="K257" s="1692">
        <f>SUM(K245:K256)</f>
        <v>11016</v>
      </c>
      <c r="L257" s="1692">
        <f>SUM(L245:L256)</f>
        <v>10725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19658</v>
      </c>
      <c r="E259" s="617"/>
      <c r="F259" s="617"/>
      <c r="G259" s="617"/>
      <c r="H259" s="617"/>
      <c r="I259" s="617"/>
      <c r="J259" s="617"/>
      <c r="K259" s="1694">
        <f>D259</f>
        <v>19658</v>
      </c>
      <c r="L259" s="481">
        <v>21050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19658</v>
      </c>
      <c r="E261" s="617"/>
      <c r="F261" s="617"/>
      <c r="G261" s="617"/>
      <c r="H261" s="617"/>
      <c r="I261" s="617"/>
      <c r="J261" s="617"/>
      <c r="K261" s="1692">
        <f>SUM(K259:K260)</f>
        <v>19658</v>
      </c>
      <c r="L261" s="1692">
        <f>SUM(L259:L260)</f>
        <v>21050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8922</v>
      </c>
      <c r="E264" s="617"/>
      <c r="F264" s="617"/>
      <c r="G264" s="617"/>
      <c r="H264" s="617"/>
      <c r="I264" s="617"/>
      <c r="J264" s="617"/>
      <c r="K264" s="1694">
        <f t="shared" ref="K264:K269" si="22">D264</f>
        <v>8922</v>
      </c>
      <c r="L264" s="466">
        <v>9050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51216</v>
      </c>
      <c r="E266" s="617"/>
      <c r="F266" s="617"/>
      <c r="G266" s="617"/>
      <c r="H266" s="617"/>
      <c r="I266" s="617"/>
      <c r="J266" s="617"/>
      <c r="K266" s="1694">
        <f t="shared" si="22"/>
        <v>51216</v>
      </c>
      <c r="L266" s="466">
        <v>57185</v>
      </c>
    </row>
    <row r="267" spans="1:14" x14ac:dyDescent="0.2">
      <c r="A267" s="1526" t="s">
        <v>1010</v>
      </c>
      <c r="B267" s="615">
        <v>2550</v>
      </c>
      <c r="C267" s="617"/>
      <c r="D267" s="466">
        <v>22401</v>
      </c>
      <c r="E267" s="617"/>
      <c r="F267" s="617"/>
      <c r="G267" s="617"/>
      <c r="H267" s="617"/>
      <c r="I267" s="617"/>
      <c r="J267" s="617"/>
      <c r="K267" s="1694">
        <f t="shared" si="22"/>
        <v>22401</v>
      </c>
      <c r="L267" s="466">
        <v>26975</v>
      </c>
    </row>
    <row r="268" spans="1:14" x14ac:dyDescent="0.2">
      <c r="A268" s="1526" t="s">
        <v>102</v>
      </c>
      <c r="B268" s="615">
        <v>2560</v>
      </c>
      <c r="C268" s="617"/>
      <c r="D268" s="466">
        <v>15605</v>
      </c>
      <c r="E268" s="617"/>
      <c r="F268" s="617"/>
      <c r="G268" s="617"/>
      <c r="H268" s="617"/>
      <c r="I268" s="617"/>
      <c r="J268" s="617"/>
      <c r="K268" s="1694">
        <f t="shared" si="22"/>
        <v>15605</v>
      </c>
      <c r="L268" s="466">
        <v>15650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98144</v>
      </c>
      <c r="E270" s="617"/>
      <c r="F270" s="617"/>
      <c r="G270" s="617"/>
      <c r="H270" s="617"/>
      <c r="I270" s="617"/>
      <c r="J270" s="617"/>
      <c r="K270" s="1692">
        <f>SUM(K263:K269)</f>
        <v>98144</v>
      </c>
      <c r="L270" s="1692">
        <f>SUM(L263:L269)</f>
        <v>108860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v>49</v>
      </c>
      <c r="E274" s="617"/>
      <c r="F274" s="617"/>
      <c r="G274" s="617"/>
      <c r="H274" s="617"/>
      <c r="I274" s="617"/>
      <c r="J274" s="617"/>
      <c r="K274" s="1694">
        <f>D274</f>
        <v>49</v>
      </c>
      <c r="L274" s="466">
        <v>60</v>
      </c>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v>12935</v>
      </c>
      <c r="E276" s="617"/>
      <c r="F276" s="617"/>
      <c r="G276" s="617"/>
      <c r="H276" s="617"/>
      <c r="I276" s="617"/>
      <c r="J276" s="617"/>
      <c r="K276" s="1694">
        <f>D276</f>
        <v>12935</v>
      </c>
      <c r="L276" s="466">
        <v>13210</v>
      </c>
    </row>
    <row r="277" spans="1:12" ht="12.75" customHeight="1" thickBot="1" x14ac:dyDescent="0.25">
      <c r="A277" s="1713" t="s">
        <v>37</v>
      </c>
      <c r="B277" s="1691" t="s">
        <v>36</v>
      </c>
      <c r="C277" s="617"/>
      <c r="D277" s="1692">
        <f>SUM(D272:D276)</f>
        <v>12984</v>
      </c>
      <c r="E277" s="617"/>
      <c r="F277" s="617"/>
      <c r="G277" s="617"/>
      <c r="H277" s="617"/>
      <c r="I277" s="617"/>
      <c r="J277" s="617"/>
      <c r="K277" s="1692">
        <f>SUM(K272:K276)</f>
        <v>12984</v>
      </c>
      <c r="L277" s="1692">
        <f>SUM(L272:L276)</f>
        <v>13270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147983</v>
      </c>
      <c r="E279" s="617"/>
      <c r="F279" s="617"/>
      <c r="G279" s="617"/>
      <c r="H279" s="617"/>
      <c r="I279" s="617"/>
      <c r="J279" s="617"/>
      <c r="K279" s="1699">
        <f>SUM(K238,K243,K257,K261,K270,K277,K278)</f>
        <v>147983</v>
      </c>
      <c r="L279" s="1699">
        <f>SUM(L238,L243,L257,L261,L270,L277,L278)</f>
        <v>160680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219655</v>
      </c>
      <c r="E295" s="617"/>
      <c r="F295" s="617"/>
      <c r="G295" s="617"/>
      <c r="H295" s="1692">
        <f>H293</f>
        <v>0</v>
      </c>
      <c r="I295" s="617"/>
      <c r="J295" s="617"/>
      <c r="K295" s="1692">
        <f>SUM(K229,K279,K280,K285,K293,K294)</f>
        <v>219655</v>
      </c>
      <c r="L295" s="1692">
        <f>SUM(L229,L279,L280,L285,L293,L294)</f>
        <v>242810</v>
      </c>
    </row>
    <row r="296" spans="1:14" ht="13.5" thickTop="1" x14ac:dyDescent="0.2">
      <c r="A296" s="2199" t="s">
        <v>1053</v>
      </c>
      <c r="B296" s="2200"/>
      <c r="C296" s="617"/>
      <c r="D296" s="619"/>
      <c r="E296" s="617"/>
      <c r="F296" s="617"/>
      <c r="G296" s="617"/>
      <c r="H296" s="688"/>
      <c r="I296" s="617"/>
      <c r="J296" s="617"/>
      <c r="K296" s="1706">
        <f>'Revenues 9-14'!G275-'Expenditures 15-22'!K295</f>
        <v>-33127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v>27939</v>
      </c>
      <c r="G301" s="466">
        <v>573215</v>
      </c>
      <c r="H301" s="466"/>
      <c r="I301" s="467"/>
      <c r="J301" s="467"/>
      <c r="K301" s="1693">
        <f>SUM(C301:J301)</f>
        <v>601154</v>
      </c>
      <c r="L301" s="467">
        <v>952397</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27939</v>
      </c>
      <c r="G303" s="1699">
        <f t="shared" si="23"/>
        <v>573215</v>
      </c>
      <c r="H303" s="1699">
        <f t="shared" si="23"/>
        <v>0</v>
      </c>
      <c r="I303" s="1699">
        <f t="shared" si="23"/>
        <v>0</v>
      </c>
      <c r="J303" s="1699">
        <f t="shared" si="23"/>
        <v>0</v>
      </c>
      <c r="K303" s="1699">
        <f t="shared" si="23"/>
        <v>601154</v>
      </c>
      <c r="L303" s="1699">
        <f t="shared" si="23"/>
        <v>952397</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27939</v>
      </c>
      <c r="G312" s="1692">
        <f>SUM(G303)</f>
        <v>573215</v>
      </c>
      <c r="H312" s="1692">
        <f>SUM(H303,H310)</f>
        <v>0</v>
      </c>
      <c r="I312" s="1692">
        <f>SUM(I303)</f>
        <v>0</v>
      </c>
      <c r="J312" s="1692">
        <f>SUM(J303)</f>
        <v>0</v>
      </c>
      <c r="K312" s="1692">
        <f>SUM(K303,K310,K311)</f>
        <v>601154</v>
      </c>
      <c r="L312" s="1692">
        <f>SUM(L303,L310,L311)</f>
        <v>952397</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-598878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v>21</v>
      </c>
      <c r="F319" s="467"/>
      <c r="G319" s="467"/>
      <c r="H319" s="467"/>
      <c r="I319" s="467"/>
      <c r="J319" s="467"/>
      <c r="K319" s="1693">
        <f>SUM(C319:J319)</f>
        <v>21</v>
      </c>
      <c r="L319" s="467"/>
      <c r="M319" s="666"/>
      <c r="N319" s="666"/>
    </row>
    <row r="320" spans="1:14" s="675" customFormat="1" x14ac:dyDescent="0.2">
      <c r="A320" s="1545" t="s">
        <v>1908</v>
      </c>
      <c r="B320" s="699" t="s">
        <v>300</v>
      </c>
      <c r="C320" s="467"/>
      <c r="D320" s="467"/>
      <c r="E320" s="467">
        <v>34952</v>
      </c>
      <c r="F320" s="467"/>
      <c r="G320" s="467"/>
      <c r="H320" s="467"/>
      <c r="I320" s="467"/>
      <c r="J320" s="467"/>
      <c r="K320" s="1693">
        <f t="shared" ref="K320:K327" si="24">SUM(C320:J320)</f>
        <v>34952</v>
      </c>
      <c r="L320" s="467">
        <v>36000</v>
      </c>
      <c r="M320" s="666"/>
      <c r="N320" s="666"/>
    </row>
    <row r="321" spans="1:14" s="675" customFormat="1" x14ac:dyDescent="0.2">
      <c r="A321" s="1541" t="s">
        <v>318</v>
      </c>
      <c r="B321" s="698" t="s">
        <v>301</v>
      </c>
      <c r="C321" s="467"/>
      <c r="D321" s="467"/>
      <c r="E321" s="467">
        <v>7822</v>
      </c>
      <c r="F321" s="467"/>
      <c r="G321" s="467"/>
      <c r="H321" s="467"/>
      <c r="I321" s="467"/>
      <c r="J321" s="467"/>
      <c r="K321" s="1693">
        <f t="shared" si="24"/>
        <v>7822</v>
      </c>
      <c r="L321" s="467">
        <v>10000</v>
      </c>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v>141748</v>
      </c>
      <c r="D323" s="467">
        <v>31490</v>
      </c>
      <c r="E323" s="467"/>
      <c r="F323" s="467"/>
      <c r="G323" s="467"/>
      <c r="H323" s="467"/>
      <c r="I323" s="467"/>
      <c r="J323" s="467"/>
      <c r="K323" s="1693">
        <f t="shared" si="24"/>
        <v>173238</v>
      </c>
      <c r="L323" s="467">
        <v>180525</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v>2750</v>
      </c>
      <c r="F325" s="467"/>
      <c r="G325" s="467"/>
      <c r="H325" s="467"/>
      <c r="I325" s="467"/>
      <c r="J325" s="467"/>
      <c r="K325" s="1693">
        <f t="shared" si="24"/>
        <v>2750</v>
      </c>
      <c r="L325" s="467">
        <v>2350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v>57766</v>
      </c>
      <c r="F328" s="474"/>
      <c r="G328" s="474"/>
      <c r="H328" s="474"/>
      <c r="I328" s="474"/>
      <c r="J328" s="474"/>
      <c r="K328" s="1721">
        <f>SUM(C328:J328)</f>
        <v>57766</v>
      </c>
      <c r="L328" s="474">
        <v>59000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141748</v>
      </c>
      <c r="D330" s="1692">
        <f t="shared" ref="D330:J330" si="25">SUM(D319:D329)</f>
        <v>31490</v>
      </c>
      <c r="E330" s="1692">
        <f t="shared" si="25"/>
        <v>103311</v>
      </c>
      <c r="F330" s="1692">
        <f t="shared" si="25"/>
        <v>0</v>
      </c>
      <c r="G330" s="1692">
        <f t="shared" si="25"/>
        <v>0</v>
      </c>
      <c r="H330" s="1692">
        <f t="shared" si="25"/>
        <v>0</v>
      </c>
      <c r="I330" s="1692">
        <f t="shared" si="25"/>
        <v>0</v>
      </c>
      <c r="J330" s="1692">
        <f t="shared" si="25"/>
        <v>0</v>
      </c>
      <c r="K330" s="1692">
        <f>SUM(K319:K329)</f>
        <v>276549</v>
      </c>
      <c r="L330" s="1692">
        <f>SUM(L319:L329)</f>
        <v>287875</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141748</v>
      </c>
      <c r="D342" s="1692">
        <f>SUM(D330)</f>
        <v>31490</v>
      </c>
      <c r="E342" s="1692">
        <f>SUM(E330)</f>
        <v>103311</v>
      </c>
      <c r="F342" s="1692">
        <f>SUM(F330)</f>
        <v>0</v>
      </c>
      <c r="G342" s="1692">
        <f>SUM(G330)</f>
        <v>0</v>
      </c>
      <c r="H342" s="1692">
        <f>SUM(H330,H334,H340)</f>
        <v>0</v>
      </c>
      <c r="I342" s="1692">
        <f>SUM(I330)</f>
        <v>0</v>
      </c>
      <c r="J342" s="1692">
        <f>SUM(J330)</f>
        <v>0</v>
      </c>
      <c r="K342" s="1692">
        <f>SUM(K330,K334,K340)</f>
        <v>276549</v>
      </c>
      <c r="L342" s="1699">
        <f>SUM(L330,L340,L341)</f>
        <v>287875</v>
      </c>
    </row>
    <row r="343" spans="1:14" ht="12.75" customHeight="1" thickTop="1" x14ac:dyDescent="0.2">
      <c r="A343" s="2185" t="s">
        <v>1053</v>
      </c>
      <c r="B343" s="2186"/>
      <c r="C343" s="617"/>
      <c r="D343" s="617"/>
      <c r="E343" s="617"/>
      <c r="F343" s="617"/>
      <c r="G343" s="617"/>
      <c r="H343" s="617"/>
      <c r="I343" s="617"/>
      <c r="J343" s="617"/>
      <c r="K343" s="1706">
        <f>'Revenues 9-14'!J275-'Expenditures 15-22'!K342</f>
        <v>16436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v>30100</v>
      </c>
      <c r="H349" s="466"/>
      <c r="I349" s="467"/>
      <c r="J349" s="467"/>
      <c r="K349" s="1693">
        <f>SUM(C349:J349)</f>
        <v>30100</v>
      </c>
      <c r="L349" s="466">
        <v>32000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30100</v>
      </c>
      <c r="H350" s="1692">
        <f t="shared" si="26"/>
        <v>0</v>
      </c>
      <c r="I350" s="1692">
        <f t="shared" si="26"/>
        <v>0</v>
      </c>
      <c r="J350" s="1692">
        <f t="shared" si="26"/>
        <v>0</v>
      </c>
      <c r="K350" s="1692">
        <f t="shared" si="26"/>
        <v>30100</v>
      </c>
      <c r="L350" s="1692">
        <f t="shared" si="26"/>
        <v>32000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30100</v>
      </c>
      <c r="H352" s="1692">
        <f t="shared" si="27"/>
        <v>0</v>
      </c>
      <c r="I352" s="1692">
        <f t="shared" si="27"/>
        <v>0</v>
      </c>
      <c r="J352" s="1692">
        <f t="shared" si="27"/>
        <v>0</v>
      </c>
      <c r="K352" s="1692">
        <f t="shared" si="27"/>
        <v>30100</v>
      </c>
      <c r="L352" s="1692">
        <f t="shared" si="27"/>
        <v>32000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30100</v>
      </c>
      <c r="H367" s="1692">
        <f t="shared" si="28"/>
        <v>0</v>
      </c>
      <c r="I367" s="1692">
        <f t="shared" si="28"/>
        <v>0</v>
      </c>
      <c r="J367" s="1692">
        <f t="shared" si="28"/>
        <v>0</v>
      </c>
      <c r="K367" s="1692">
        <f t="shared" si="28"/>
        <v>30100</v>
      </c>
      <c r="L367" s="1692">
        <f t="shared" si="28"/>
        <v>32000</v>
      </c>
    </row>
    <row r="368" spans="1:14" ht="13.5" thickTop="1" x14ac:dyDescent="0.2">
      <c r="A368" s="2199" t="s">
        <v>1053</v>
      </c>
      <c r="B368" s="2200"/>
      <c r="C368" s="655"/>
      <c r="D368" s="655"/>
      <c r="E368" s="627"/>
      <c r="F368" s="627"/>
      <c r="G368" s="627"/>
      <c r="H368" s="627"/>
      <c r="I368" s="627"/>
      <c r="J368" s="624"/>
      <c r="K368" s="1693">
        <f>'Revenues 9-14'!K275-'Expenditures 15-22'!K367</f>
        <v>3425</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notes are an intergral part of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terms/"/>
    <ds:schemaRef ds:uri="http://purl.org/dc/dcmitype/"/>
    <ds:schemaRef ds:uri="http://www.w3.org/XML/1998/namespace"/>
    <ds:schemaRef ds:uri="http://purl.org/dc/elements/1.1/"/>
    <ds:schemaRef ds:uri="http://schemas.microsoft.com/office/2006/metadata/properties"/>
    <ds:schemaRef ds:uri="http://schemas.microsoft.com/office/infopath/2007/PartnerControls"/>
    <ds:schemaRef ds:uri="d21dc803-237d-4c68-8692-8d731fd29118"/>
    <ds:schemaRef ds:uri="http://schemas.microsoft.com/office/2006/documentManagement/types"/>
    <ds:schemaRef ds:uri="http://schemas.openxmlformats.org/package/2006/metadata/core-properties"/>
    <ds:schemaRef ds:uri="4d435f69-8686-490b-bd6d-b153bf22ab50"/>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2018-09-14T18:07:41Z</cp:lastPrinted>
  <dcterms:created xsi:type="dcterms:W3CDTF">2003-10-29T19:06:34Z</dcterms:created>
  <dcterms:modified xsi:type="dcterms:W3CDTF">2018-09-18T19:16:05Z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