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27">#REF!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27">#REF!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27">#REF!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27">#REF!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27">#REF!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1" i="18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A2" i="173"/>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K12" i="12"/>
  <c r="K23" i="12"/>
  <c r="K24" i="12" s="1"/>
  <c r="B7733" i="106" s="1"/>
  <c r="J12" i="12"/>
  <c r="B7718" i="106" s="1"/>
  <c r="D7718" i="106" s="1"/>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c r="B6682" i="106"/>
  <c r="D6682" i="106" s="1"/>
  <c r="B6683" i="106"/>
  <c r="D6683" i="106" s="1"/>
  <c r="B6684" i="106"/>
  <c r="D6684" i="106" s="1"/>
  <c r="B6685" i="106"/>
  <c r="D6685" i="106" s="1"/>
  <c r="B6686" i="106"/>
  <c r="D6686" i="106" s="1"/>
  <c r="B6687" i="106"/>
  <c r="D6687" i="106" s="1"/>
  <c r="B6688" i="106"/>
  <c r="D6688" i="106"/>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5" i="36"/>
  <c r="D36" i="36"/>
  <c r="D37" i="36"/>
  <c r="D38" i="36"/>
  <c r="D39" i="36"/>
  <c r="D40" i="36"/>
  <c r="D71"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33" i="118"/>
  <c r="D11" i="37"/>
  <c r="D22" i="37"/>
  <c r="J22" i="37"/>
  <c r="F26" i="108" l="1"/>
  <c r="F45" i="34"/>
  <c r="H29" i="118"/>
  <c r="F72" i="34"/>
  <c r="L5" i="11"/>
  <c r="B2056" i="106" s="1"/>
  <c r="D2056" i="106" s="1"/>
  <c r="F35" i="34"/>
  <c r="L15" i="11"/>
  <c r="B3459" i="106" s="1"/>
  <c r="D3459" i="106" s="1"/>
  <c r="D31" i="36"/>
  <c r="B1126" i="106"/>
  <c r="D1126" i="106" s="1"/>
  <c r="D26" i="108"/>
  <c r="F27" i="108"/>
  <c r="I210" i="29"/>
  <c r="B7071" i="106" s="1"/>
  <c r="D7071" i="106" s="1"/>
  <c r="D5" i="4"/>
  <c r="B3406" i="106" s="1"/>
  <c r="D3406" i="106" s="1"/>
  <c r="B7078" i="106"/>
  <c r="D7078" i="106" s="1"/>
  <c r="G172" i="5"/>
  <c r="B5770" i="106" s="1"/>
  <c r="D5770" i="106" s="1"/>
  <c r="J210" i="29"/>
  <c r="B7072" i="106" s="1"/>
  <c r="D7072" i="106" s="1"/>
  <c r="B4211" i="106"/>
  <c r="D4211" i="106" s="1"/>
  <c r="F49" i="34"/>
  <c r="F41" i="34"/>
  <c r="F70" i="34"/>
  <c r="D36" i="108"/>
  <c r="D24" i="37"/>
  <c r="B4270" i="106" s="1"/>
  <c r="D4270" i="106" s="1"/>
  <c r="F50" i="34"/>
  <c r="D31" i="108"/>
  <c r="I24" i="12"/>
  <c r="I26" i="12" s="1"/>
  <c r="B7741" i="106" s="1"/>
  <c r="D7741" i="106" s="1"/>
  <c r="H28" i="118"/>
  <c r="K28" i="118" s="1"/>
  <c r="O27" i="118" s="1"/>
  <c r="O29" i="118" s="1"/>
  <c r="F131" i="34"/>
  <c r="F36" i="108"/>
  <c r="N22" i="3"/>
  <c r="B283" i="106" s="1"/>
  <c r="D283" i="106" s="1"/>
  <c r="G35" i="108"/>
  <c r="F21" i="8"/>
  <c r="B1879" i="106" s="1"/>
  <c r="D1879" i="106" s="1"/>
  <c r="E35" i="108"/>
  <c r="D6103" i="106"/>
  <c r="C129" i="29"/>
  <c r="B1225" i="106" s="1"/>
  <c r="D1225" i="106" s="1"/>
  <c r="B4411" i="106"/>
  <c r="D4411" i="106" s="1"/>
  <c r="G33" i="108"/>
  <c r="B1746" i="106"/>
  <c r="D1746" i="106" s="1"/>
  <c r="D13" i="7"/>
  <c r="B3726" i="106" s="1"/>
  <c r="D3726" i="106" s="1"/>
  <c r="F42" i="34"/>
  <c r="B7047" i="106"/>
  <c r="D7047" i="106" s="1"/>
  <c r="F38" i="34"/>
  <c r="F46" i="34"/>
  <c r="B7074" i="106"/>
  <c r="D7074"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56" i="106"/>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H22" i="37" l="1"/>
  <c r="J24" i="12"/>
  <c r="G173" i="5"/>
  <c r="B5778" i="106" s="1"/>
  <c r="D5778" i="106" s="1"/>
  <c r="D41" i="108"/>
  <c r="E43" i="108" s="1"/>
  <c r="I7" i="4"/>
  <c r="B4444" i="106" s="1"/>
  <c r="D4444" i="106" s="1"/>
  <c r="F66" i="34"/>
  <c r="I6" i="4"/>
  <c r="B5011" i="106" s="1"/>
  <c r="D5011" i="106" s="1"/>
  <c r="C151" i="29"/>
  <c r="B1226" i="106" s="1"/>
  <c r="D1226" i="106" s="1"/>
  <c r="H77" i="4"/>
  <c r="B3299" i="106" s="1"/>
  <c r="D3299" i="106" s="1"/>
  <c r="D7251" i="106"/>
  <c r="D7253" i="106"/>
  <c r="D7250" i="106"/>
  <c r="L16" i="11"/>
  <c r="B2061" i="106" s="1"/>
  <c r="D2061" i="106" s="1"/>
  <c r="B2031" i="106"/>
  <c r="D2031" i="106" s="1"/>
  <c r="J151" i="29"/>
  <c r="B7052" i="106" s="1"/>
  <c r="D7052" i="106" s="1"/>
  <c r="F41" i="108"/>
  <c r="G43" i="108" s="1"/>
  <c r="B1328" i="106"/>
  <c r="D1328"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G6" i="4" l="1"/>
  <c r="B2604" i="106" s="1"/>
  <c r="D2604"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K20" i="118"/>
  <c r="D34" i="36" l="1"/>
  <c r="H24" i="118"/>
  <c r="K24" i="118" s="1"/>
  <c r="O23" i="118" s="1"/>
  <c r="O25" i="118" s="1"/>
  <c r="O35" i="118" s="1"/>
  <c r="O37" i="118" s="1"/>
  <c r="B3411" i="106"/>
  <c r="D3411" i="106" s="1"/>
  <c r="C13" i="3"/>
  <c r="B77" i="106" l="1"/>
  <c r="D77"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<sst xmlns="http://schemas.openxmlformats.org/spreadsheetml/2006/main" count="5065" uniqueCount="2122">
  <si>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</si>
  <si>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</si>
  <si>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</si>
  <si>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</si>
  <si>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</si>
  <si>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</si>
  <si>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</si>
  <si>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</si>
  <si>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</si>
  <si>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</si>
  <si>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</si>
  <si>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</si>
  <si>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</si>
  <si>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</si>
  <si>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</si>
  <si>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</si>
  <si>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</si>
  <si>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</si>
  <si>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</si>
  <si>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</si>
  <si>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</si>
  <si>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</si>
  <si>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</si>
  <si>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</si>
  <si>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</si>
  <si>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</si>
  <si>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</si>
  <si>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</si>
  <si>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</si>
  <si>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</si>
  <si>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</si>
  <si>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</si>
  <si>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</si>
  <si>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</si>
  <si>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</si>
  <si>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</si>
  <si>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</si>
  <si>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</si>
  <si>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</si>
  <si>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</si>
  <si>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</si>
  <si>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</si>
  <si>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</si>
  <si>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</si>
  <si>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</si>
  <si>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</si>
  <si>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</si>
  <si>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</si>
  <si>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</si>
  <si>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</si>
  <si>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</si>
  <si>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</si>
  <si>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</si>
  <si>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</si>
  <si>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</si>
  <si>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</si>
  <si>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</si>
  <si>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</si>
  <si>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</si>
  <si>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</si>
  <si>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</si>
  <si>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</si>
  <si>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</si>
  <si>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</si>
  <si>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</si>
  <si>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</si>
  <si>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</si>
  <si>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</si>
  <si>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</si>
  <si>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</si>
  <si>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</si>
  <si>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</si>
  <si>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</si>
  <si>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</si>
  <si>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</si>
  <si>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</si>
  <si>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</si>
  <si>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</si>
  <si>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</si>
  <si>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</si>
  <si>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</si>
  <si>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</si>
  <si>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</si>
  <si>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</si>
  <si>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</si>
  <si>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</si>
  <si>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</si>
  <si>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</si>
  <si>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</si>
  <si>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</si>
  <si>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</si>
  <si>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</si>
  <si>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</si>
  <si>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</si>
  <si>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</si>
  <si>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</si>
  <si>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</si>
  <si>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</si>
  <si>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</si>
  <si>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</si>
  <si>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</si>
  <si>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</si>
  <si>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</si>
  <si>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</si>
  <si>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</si>
  <si>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</si>
  <si>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</si>
  <si>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</si>
  <si>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</si>
  <si>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</si>
  <si>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</si>
  <si>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</si>
  <si>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</si>
  <si>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</si>
  <si>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</si>
  <si>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</si>
  <si>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</si>
  <si>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</si>
  <si>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</si>
  <si>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</si>
  <si>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</si>
  <si>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</si>
  <si>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</si>
  <si>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</si>
  <si>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</si>
  <si>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</si>
  <si>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</si>
  <si>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</si>
  <si>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</si>
  <si>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</si>
  <si>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</si>
  <si>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</si>
  <si>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</si>
  <si>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</si>
  <si>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</si>
  <si>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</si>
  <si>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</si>
  <si>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</si>
  <si>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</si>
  <si>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</si>
  <si>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</si>
  <si>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</si>
  <si>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</si>
  <si>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</si>
  <si>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</si>
  <si>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</si>
  <si>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</si>
  <si>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</si>
  <si>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</si>
  <si>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</si>
  <si>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</si>
  <si>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</si>
  <si>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</si>
  <si>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</si>
  <si>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</si>
  <si>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</si>
  <si>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</si>
  <si>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</si>
  <si>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</si>
  <si>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</si>
  <si>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</si>
  <si>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</si>
  <si>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</si>
  <si>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</si>
  <si>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</si>
  <si>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</si>
  <si>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</si>
  <si>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</si>
  <si>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</si>
  <si>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</si>
  <si>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</si>
  <si>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</si>
  <si>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</si>
  <si>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</si>
  <si>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</si>
  <si>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</si>
  <si>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</si>
  <si>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</si>
  <si>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</si>
  <si>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</si>
  <si>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</si>
  <si>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</si>
  <si>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</si>
  <si>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</si>
  <si>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</si>
  <si>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</si>
  <si>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</si>
  <si>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</si>
  <si>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</si>
  <si>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</si>
  <si>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</si>
  <si>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</si>
  <si>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</si>
  <si>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</si>
  <si>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</si>
  <si>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</si>
  <si>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</si>
  <si>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</si>
  <si>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</si>
  <si>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</si>
  <si>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</si>
  <si>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</si>
  <si>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</si>
  <si>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</si>
  <si>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</si>
  <si>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</si>
  <si>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</si>
  <si>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</si>
  <si>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</si>
  <si>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</si>
  <si>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</si>
  <si>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</si>
  <si>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</si>
  <si>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</si>
  <si>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</si>
  <si>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</si>
  <si>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</si>
  <si>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</si>
  <si>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</si>
  <si>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</si>
  <si>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</si>
  <si>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</si>
  <si>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</si>
  <si>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</si>
  <si>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</si>
  <si>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</si>
  <si>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</si>
  <si>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</si>
  <si>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</si>
  <si>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</si>
  <si>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</si>
  <si>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</si>
  <si>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</si>
  <si>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</si>
  <si>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</si>
  <si>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</si>
  <si>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</si>
  <si>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</si>
  <si>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</si>
  <si>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</si>
  <si>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</si>
  <si>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</si>
  <si>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</si>
  <si>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</si>
  <si>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</si>
  <si>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</si>
  <si>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</si>
  <si>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</si>
  <si>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</si>
  <si>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</si>
  <si>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</si>
  <si>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</si>
  <si>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</si>
  <si>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</si>
  <si>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</si>
  <si>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</si>
  <si>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</si>
  <si>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</si>
  <si>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</si>
  <si>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</si>
  <si>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</si>
  <si>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</si>
  <si>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</si>
  <si>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</si>
  <si>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</si>
  <si>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</si>
  <si>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</si>
  <si>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</si>
  <si>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</si>
  <si>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</si>
  <si>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</si>
  <si>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</si>
  <si>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</si>
  <si>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</si>
  <si>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</si>
  <si>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</si>
  <si>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</si>
  <si>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</si>
  <si>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</si>
  <si>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</si>
  <si>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</si>
  <si>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</si>
  <si>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</si>
  <si>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</si>
  <si>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</si>
  <si>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</si>
  <si>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</si>
  <si>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</si>
  <si>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</si>
  <si>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</si>
  <si>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</si>
  <si>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</si>
  <si>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</si>
  <si>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</si>
  <si>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</si>
  <si>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</si>
  <si>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</si>
  <si>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</si>
  <si>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</si>
  <si>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</si>
  <si>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</si>
  <si>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</si>
  <si>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</si>
  <si>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</si>
  <si>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</si>
  <si>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</si>
  <si>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</si>
  <si>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</si>
  <si>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</si>
  <si>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</si>
  <si>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</si>
  <si>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</si>
  <si>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</si>
  <si>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</si>
  <si>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</si>
  <si>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</si>
  <si>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</si>
  <si>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</si>
  <si>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</si>
  <si>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</si>
  <si>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</si>
  <si>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</si>
  <si>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</si>
  <si>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</si>
  <si>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</si>
  <si>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</si>
  <si>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</si>
  <si>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</si>
  <si>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</si>
  <si>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</si>
  <si>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</si>
  <si>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</si>
  <si>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</si>
  <si>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</si>
  <si>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</si>
  <si>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</si>
  <si>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</si>
  <si>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</si>
  <si>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</si>
  <si>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</si>
  <si>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</si>
  <si>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</si>
  <si>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</si>
  <si>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</si>
  <si>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</si>
  <si>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</si>
  <si>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</si>
  <si>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</si>
  <si>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</si>
  <si>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</si>
  <si>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</si>
  <si>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</si>
  <si>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</si>
  <si>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</si>
  <si>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</si>
  <si>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</si>
  <si>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</si>
  <si>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</si>
  <si>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</si>
  <si>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</si>
  <si>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</si>
  <si>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</si>
  <si>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</si>
  <si>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</si>
  <si>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</si>
  <si>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</si>
  <si>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</si>
  <si>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</si>
  <si>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</si>
  <si>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</si>
  <si>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</si>
  <si>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</si>
  <si>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</si>
  <si>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</si>
  <si>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</si>
  <si>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</si>
  <si>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</si>
  <si>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</si>
  <si>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</si>
  <si>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</si>
  <si>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</si>
  <si>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</si>
  <si>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</si>
  <si>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</si>
  <si>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</si>
  <si>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</si>
  <si>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</si>
  <si>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</si>
  <si>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</si>
  <si>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</si>
  <si>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</si>
  <si>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</si>
  <si>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</si>
  <si>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</si>
  <si>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</si>
  <si>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</si>
  <si>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</si>
  <si>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</si>
  <si>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</si>
  <si>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</si>
  <si>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</si>
  <si>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</si>
  <si>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</si>
  <si>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</si>
  <si>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</si>
  <si>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</si>
  <si>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</si>
  <si>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</si>
  <si>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</si>
  <si>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</si>
  <si>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</si>
  <si>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</si>
  <si>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</si>
  <si>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</si>
  <si>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</si>
  <si>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</si>
  <si>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</si>
  <si>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</si>
  <si>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</si>
  <si>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</si>
  <si>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</si>
  <si>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</si>
  <si>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</si>
  <si>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</si>
  <si>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</si>
  <si>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</si>
  <si>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</si>
  <si>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</si>
  <si>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</si>
  <si>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</si>
  <si>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</si>
  <si>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</si>
  <si>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</si>
  <si>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</si>
  <si>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</si>
  <si>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</si>
  <si>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</si>
  <si>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</si>
  <si>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</si>
  <si>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</si>
  <si>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</si>
  <si>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</si>
  <si>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</si>
  <si>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</si>
  <si>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</si>
  <si>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</si>
  <si>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</si>
  <si>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</si>
  <si>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</si>
  <si>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</si>
  <si>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</si>
  <si>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</si>
  <si>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</si>
  <si>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</si>
  <si>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</si>
  <si>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</si>
  <si>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</si>
  <si>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</si>
  <si>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</si>
  <si>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</si>
  <si>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</si>
  <si>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</si>
  <si>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</si>
  <si>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</si>
  <si>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</si>
  <si>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</si>
  <si>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</si>
  <si>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</si>
  <si>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</si>
  <si>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</si>
  <si>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</si>
  <si>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</si>
  <si>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</si>
  <si>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</si>
  <si>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</si>
  <si>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</si>
  <si>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</si>
  <si>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</si>
  <si>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</si>
  <si>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</si>
  <si>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</si>
  <si>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</si>
  <si>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</si>
  <si>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</si>
  <si>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</si>
  <si>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</si>
  <si>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</si>
  <si>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</si>
  <si>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</si>
  <si>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</si>
  <si>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</si>
  <si>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</si>
  <si>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</si>
  <si>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</si>
  <si>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</si>
  <si>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</si>
  <si>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</si>
  <si>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</si>
  <si>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</si>
  <si>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</si>
  <si>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</si>
  <si>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</si>
  <si>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</si>
  <si>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</si>
  <si>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</si>
  <si>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</si>
  <si>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</si>
  <si>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</si>
  <si>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</si>
  <si>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</si>
  <si>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</si>
  <si>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</si>
  <si>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</si>
  <si>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</si>
  <si>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</si>
  <si>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</si>
  <si>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</si>
  <si>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</si>
  <si>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</si>
  <si>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</si>
  <si>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</si>
  <si>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</si>
  <si>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</si>
  <si>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</si>
  <si>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</si>
  <si>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</si>
  <si>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</si>
  <si>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</si>
  <si>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</si>
  <si>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</si>
  <si>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</si>
  <si>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</si>
  <si>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</si>
  <si>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</si>
  <si>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</si>
  <si>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</si>
  <si>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</si>
  <si>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</si>
  <si>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</si>
  <si>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</si>
  <si>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</si>
  <si>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</si>
  <si>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</si>
  <si>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</si>
  <si>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</si>
  <si>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</si>
  <si>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</si>
  <si>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</si>
  <si>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</si>
  <si>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</si>
  <si>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</si>
  <si>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</si>
  <si>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</si>
  <si>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</si>
  <si>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</si>
  <si>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</si>
  <si>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</si>
  <si>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</si>
  <si>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</si>
  <si>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</si>
  <si>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</si>
  <si>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</si>
  <si>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</si>
  <si>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</si>
  <si>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</si>
  <si>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</si>
  <si>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</si>
  <si>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</si>
  <si>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</si>
  <si>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</si>
  <si>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</si>
  <si>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</si>
  <si>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</si>
  <si>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</si>
  <si>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</si>
  <si>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</si>
  <si>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</si>
  <si>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</si>
  <si>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</si>
  <si>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</si>
  <si>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</si>
  <si>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</si>
  <si>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</si>
  <si>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</si>
  <si>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</si>
  <si>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</si>
  <si>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</si>
  <si>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</si>
  <si>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</si>
  <si>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</si>
  <si>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</si>
  <si>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</si>
  <si>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</si>
  <si>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</si>
  <si>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</si>
  <si>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</si>
  <si>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</si>
  <si>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</si>
  <si>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</si>
  <si>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</si>
  <si>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</si>
  <si>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</si>
  <si>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</si>
  <si>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</si>
  <si>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</si>
  <si>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</si>
  <si>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</si>
  <si>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</si>
  <si>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</si>
  <si>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</si>
  <si>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</si>
  <si>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</si>
  <si>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</si>
  <si>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</si>
  <si>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</si>
  <si>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</si>
  <si>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</si>
  <si>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</si>
  <si>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</si>
  <si>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</si>
  <si>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</si>
  <si>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</si>
  <si>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</si>
  <si>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</si>
  <si>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</si>
  <si>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</si>
  <si>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</si>
  <si>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</si>
  <si>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</si>
  <si>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</si>
  <si>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</si>
  <si>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</si>
  <si>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</si>
  <si>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</si>
  <si>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</si>
  <si>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</si>
  <si>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</si>
  <si>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</si>
  <si>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</si>
  <si>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</si>
  <si>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</si>
  <si>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</si>
  <si>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</si>
  <si>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</si>
  <si>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</si>
  <si>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</si>
  <si>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</si>
  <si>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</si>
  <si>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</si>
  <si>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</si>
  <si>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</si>
  <si>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</si>
  <si>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</si>
  <si>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</si>
  <si>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</si>
  <si>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</si>
  <si>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</si>
  <si>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</si>
  <si>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</si>
  <si>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</si>
  <si>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</si>
  <si>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</si>
  <si>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</si>
  <si>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</si>
  <si>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</si>
  <si>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</si>
  <si>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</si>
  <si>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</si>
  <si>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</si>
  <si>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</si>
  <si>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</si>
  <si>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</si>
  <si>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</si>
  <si>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</si>
  <si>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</si>
  <si>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</si>
  <si>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</si>
  <si>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</si>
  <si>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</si>
  <si>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</si>
  <si>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</si>
  <si>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</si>
  <si>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</si>
  <si>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</si>
  <si>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</si>
  <si>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</si>
  <si>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</si>
  <si>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</si>
  <si>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</si>
  <si>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</si>
  <si>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</si>
  <si>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</si>
  <si>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</si>
  <si>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</si>
  <si>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</si>
  <si>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</si>
  <si>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</si>
  <si>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</si>
  <si>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</si>
  <si>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</si>
  <si>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</si>
  <si>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</si>
  <si>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</si>
  <si>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</si>
  <si>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</si>
  <si>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</si>
  <si>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</si>
  <si>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</si>
  <si>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</si>
  <si>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</si>
  <si>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</si>
  <si>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</si>
  <si>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</si>
  <si>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</si>
  <si>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</si>
  <si>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</si>
  <si>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</si>
  <si>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</si>
  <si>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</si>
  <si>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</si>
  <si>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</si>
  <si>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</si>
  <si>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</si>
  <si>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</si>
  <si>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</si>
  <si>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</si>
  <si>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</si>
  <si>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</si>
  <si>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</si>
  <si>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</si>
  <si>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</si>
  <si>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</si>
  <si>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</si>
  <si>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</si>
  <si>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</si>
  <si>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</si>
  <si>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</si>
  <si>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</si>
  <si>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</si>
  <si>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</si>
  <si>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</si>
  <si>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</si>
  <si>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</si>
  <si>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</si>
  <si>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</si>
  <si>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</si>
  <si>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</si>
  <si>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</si>
  <si>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</si>
  <si>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</si>
  <si>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</si>
  <si>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</si>
  <si>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</si>
  <si>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</si>
  <si>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</si>
  <si>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</si>
  <si>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</si>
  <si>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</si>
  <si>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</si>
  <si>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</si>
  <si>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</si>
  <si>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</si>
  <si>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</si>
  <si>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</si>
  <si>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</si>
  <si>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</si>
  <si>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</si>
  <si>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</si>
  <si>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</si>
  <si>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</si>
  <si>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</si>
  <si>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</si>
  <si>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</si>
  <si>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</si>
  <si>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</si>
  <si>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</si>
  <si>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</si>
  <si>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</si>
  <si>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</si>
  <si>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</si>
  <si>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</si>
  <si>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</si>
  <si>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</si>
  <si>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</si>
  <si>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</si>
  <si>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</si>
  <si>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</si>
  <si>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</si>
  <si>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</si>
  <si>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</si>
  <si>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</si>
  <si>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</si>
  <si>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</si>
  <si>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</si>
  <si>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</si>
  <si>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</si>
  <si>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</si>
  <si>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</si>
  <si>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</si>
  <si>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</si>
  <si>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</si>
  <si>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</si>
  <si>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</si>
  <si>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</si>
  <si>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</si>
  <si>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</si>
  <si>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</si>
  <si>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</si>
  <si>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</si>
  <si>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</si>
  <si>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</si>
  <si>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</si>
  <si>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</si>
  <si>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</si>
  <si>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</si>
  <si>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</si>
  <si>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</si>
  <si>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</si>
  <si>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</si>
  <si>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</si>
  <si>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</si>
  <si>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</si>
  <si>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</si>
  <si>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</si>
  <si>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</si>
  <si>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</si>
  <si>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</si>
  <si>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</si>
  <si>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</si>
  <si>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</si>
  <si>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</si>
  <si>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</si>
  <si>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</si>
  <si>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</si>
  <si>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</si>
  <si>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</si>
  <si>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</si>
  <si>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</si>
  <si>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</si>
  <si>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</si>
  <si>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</si>
  <si>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</si>
  <si>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</si>
  <si>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</si>
  <si>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</si>
  <si>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</si>
  <si>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</si>
  <si>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</si>
  <si>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</si>
  <si>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</si>
  <si>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</si>
  <si>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</si>
  <si>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</si>
  <si>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</si>
  <si>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</si>
  <si>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</si>
  <si>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</si>
  <si>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</si>
  <si>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</si>
  <si>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</si>
  <si>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</si>
  <si>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</si>
  <si>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</si>
  <si>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</si>
  <si>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</si>
  <si>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</si>
  <si>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</si>
  <si>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</si>
  <si>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</si>
  <si>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</si>
  <si>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</si>
  <si>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</si>
  <si>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</si>
  <si>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</si>
  <si>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</si>
  <si>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</si>
  <si>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</si>
  <si>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</si>
  <si>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</si>
  <si>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</si>
  <si>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</si>
  <si>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</si>
  <si>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</si>
  <si>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</si>
  <si>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</si>
  <si>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</si>
  <si>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</si>
  <si>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</si>
  <si>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</si>
  <si>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</si>
  <si>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</si>
  <si>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</si>
  <si>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</si>
  <si>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</si>
  <si>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</si>
  <si>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</si>
  <si>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</si>
  <si>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</si>
  <si>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</si>
  <si>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</si>
  <si>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</si>
  <si>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</si>
  <si>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</si>
  <si>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</si>
  <si>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</si>
  <si>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</si>
  <si>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</si>
  <si>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</si>
  <si>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</si>
  <si>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</si>
  <si>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</si>
  <si>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</si>
  <si>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</si>
  <si>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</si>
  <si>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</si>
  <si>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</si>
  <si>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</si>
  <si>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</si>
  <si>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</si>
  <si>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</si>
  <si>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</si>
  <si>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</si>
  <si>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</si>
  <si>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</si>
  <si>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</si>
  <si>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</si>
  <si>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</si>
  <si>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</si>
  <si>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</si>
  <si>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</si>
  <si>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</si>
  <si>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</si>
  <si>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</si>
  <si>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</si>
  <si>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</si>
  <si>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</si>
  <si>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</si>
  <si>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</si>
  <si>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</si>
  <si>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</si>
  <si>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</si>
  <si>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</si>
  <si>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</si>
  <si>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</si>
  <si>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</si>
  <si>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</si>
  <si>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</si>
  <si>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</si>
  <si>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</si>
  <si>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</si>
  <si>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</si>
  <si>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</si>
  <si>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</si>
  <si>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</si>
  <si>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</si>
  <si>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</si>
  <si>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</si>
  <si>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</si>
  <si>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</si>
  <si>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</si>
  <si>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</si>
  <si>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</si>
  <si>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</si>
  <si>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</si>
  <si>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</si>
  <si>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</si>
  <si>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</si>
  <si>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</si>
  <si>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</si>
  <si>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</si>
  <si>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</si>
  <si>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</si>
  <si>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</si>
  <si>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</si>
  <si>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</si>
  <si>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</si>
  <si>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</si>
  <si>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</si>
  <si>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</si>
  <si>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</si>
  <si>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</si>
  <si>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</si>
  <si>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</si>
  <si>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</si>
  <si>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</si>
  <si>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</si>
  <si>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</si>
  <si>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</si>
  <si>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</si>
  <si>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</si>
  <si>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</si>
  <si>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</si>
  <si>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</si>
  <si>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</si>
  <si>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</si>
  <si>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</si>
  <si>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</si>
  <si>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</si>
  <si>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</si>
  <si>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</si>
  <si>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</si>
  <si>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</si>
  <si>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</si>
  <si>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</si>
  <si>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</si>
  <si>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</si>
  <si>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</si>
  <si>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</si>
  <si>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</si>
  <si>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</si>
  <si>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</si>
  <si>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</si>
  <si>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</si>
  <si>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</si>
  <si>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</si>
  <si>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</si>
  <si>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</si>
  <si>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</si>
  <si>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</si>
  <si>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</si>
  <si>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</si>
  <si>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</si>
  <si>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</si>
  <si>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</si>
  <si>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</si>
  <si>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</si>
  <si>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</si>
  <si>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</si>
  <si>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</si>
  <si>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</si>
  <si>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</si>
  <si>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</si>
  <si>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</si>
  <si>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</si>
  <si>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</si>
  <si>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</si>
  <si>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</si>
  <si>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</si>
  <si>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</si>
  <si>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</si>
  <si>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</si>
  <si>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</si>
  <si>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</si>
  <si>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</si>
  <si>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</si>
  <si>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</si>
  <si>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</si>
  <si>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</si>
  <si>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</si>
  <si>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</si>
  <si>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</si>
  <si>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</si>
  <si>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</si>
  <si>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</si>
  <si>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</si>
  <si>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</si>
  <si>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</si>
  <si>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</si>
  <si>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</si>
  <si>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</si>
  <si>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</si>
  <si>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</si>
  <si>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</si>
  <si>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</si>
  <si>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</si>
  <si>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</si>
  <si>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</si>
  <si>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</si>
  <si>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</si>
  <si>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</si>
  <si>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</si>
  <si>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</si>
  <si>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</si>
  <si>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</si>
  <si>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</si>
  <si>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</si>
  <si>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</si>
  <si>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</si>
  <si>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</si>
  <si>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</si>
  <si>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</si>
  <si>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</si>
  <si>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</si>
  <si>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</si>
  <si>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</si>
  <si>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</si>
  <si>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</si>
  <si>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</si>
  <si>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</si>
  <si>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</si>
  <si>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</si>
  <si>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</si>
  <si>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</si>
  <si>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</si>
  <si>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</si>
  <si>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</si>
  <si>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</si>
  <si>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</si>
  <si>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</si>
  <si>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</si>
  <si>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</si>
  <si>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</si>
  <si>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</si>
  <si>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</si>
  <si>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</si>
  <si>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</si>
  <si>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</si>
  <si>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</si>
  <si>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</si>
  <si>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</si>
  <si>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</si>
  <si>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</si>
  <si>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</si>
  <si>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</si>
  <si>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</si>
  <si>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</si>
  <si>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</si>
  <si>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</si>
  <si>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</si>
  <si>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</si>
  <si>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</si>
  <si>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</si>
  <si>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</si>
  <si>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</si>
  <si>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</si>
  <si>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</si>
  <si>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</si>
  <si>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</si>
  <si>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</si>
  <si>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</si>
  <si>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</si>
  <si>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</si>
  <si>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</si>
  <si>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</si>
  <si>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</si>
  <si>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</si>
  <si>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</si>
  <si>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</si>
  <si>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</si>
  <si>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</si>
  <si>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</si>
  <si>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</si>
  <si>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</si>
  <si>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</si>
  <si>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</si>
  <si>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</si>
  <si>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</si>
  <si>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</si>
  <si>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</si>
  <si>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</si>
  <si>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</si>
  <si>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</si>
  <si>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</si>
  <si>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</si>
  <si>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</si>
  <si>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</si>
  <si>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</si>
  <si>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</si>
  <si>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</si>
  <si>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</si>
  <si>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</si>
  <si>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</si>
  <si>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</si>
  <si>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</si>
  <si>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</si>
  <si>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</si>
  <si>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</si>
  <si>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</si>
  <si>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</si>
  <si>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</si>
  <si>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</si>
  <si>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</si>
  <si>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</si>
  <si>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</si>
  <si>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</si>
  <si>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</si>
  <si>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</si>
  <si>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</si>
  <si>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</si>
  <si>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</si>
  <si>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</si>
  <si>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</si>
  <si>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</si>
  <si>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</si>
  <si>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</si>
  <si>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</si>
  <si>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</si>
  <si>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</si>
  <si>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</si>
  <si>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</si>
  <si>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</si>
  <si>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</si>
  <si>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</si>
  <si>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</si>
  <si>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</si>
  <si>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</si>
  <si>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</si>
  <si>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</si>
  <si>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</si>
  <si>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</si>
  <si>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</si>
  <si>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</si>
  <si>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</si>
  <si>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</si>
  <si>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</si>
  <si>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</si>
  <si>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</si>
  <si>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</si>
  <si>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</si>
  <si>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</si>
  <si>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</si>
  <si>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</si>
  <si>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</si>
  <si>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</si>
  <si>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</si>
  <si>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</si>
  <si>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</si>
  <si>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</si>
  <si>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</si>
  <si>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</si>
  <si>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</si>
  <si>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</si>
  <si>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</si>
  <si>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</si>
  <si>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</si>
  <si>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</si>
  <si>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</si>
  <si>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</si>
  <si>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</si>
  <si>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</si>
  <si>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</si>
  <si>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</si>
  <si>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</si>
  <si>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</si>
  <si>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</si>
  <si>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</si>
  <si>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</si>
  <si>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</si>
  <si>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</si>
  <si>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</si>
  <si>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</si>
  <si>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</si>
  <si>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</si>
  <si>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</si>
  <si>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</si>
  <si>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</si>
  <si>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</si>
  <si>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</si>
  <si>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</si>
  <si>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</si>
  <si>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</si>
  <si>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</si>
  <si>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</si>
  <si>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</si>
  <si>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</si>
  <si>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</si>
  <si>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</si>
  <si>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</si>
  <si>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</si>
  <si>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</si>
  <si>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</si>
  <si>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</si>
  <si>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</si>
  <si>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</si>
  <si>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</si>
  <si>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</si>
  <si>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</si>
  <si>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</si>
  <si>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</si>
  <si>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</si>
  <si>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</si>
  <si>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</si>
  <si>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</si>
  <si>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</si>
  <si>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</si>
  <si>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</si>
  <si>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</si>
  <si>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</si>
  <si>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</si>
  <si>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</si>
  <si>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</si>
  <si>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</si>
  <si>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</si>
  <si>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</si>
  <si>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</si>
  <si>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</si>
  <si>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</si>
  <si>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</si>
  <si>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</si>
  <si>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</si>
  <si>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</si>
  <si>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</si>
  <si>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</si>
  <si>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</si>
  <si>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</si>
  <si>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</si>
  <si>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</si>
  <si>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</si>
  <si>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</si>
  <si>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</si>
  <si>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</si>
  <si>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</si>
  <si>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</si>
  <si>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</si>
  <si>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</si>
  <si>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</si>
  <si>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</si>
  <si>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</si>
  <si>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</si>
  <si>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</si>
  <si>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</si>
  <si>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</si>
  <si>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</si>
  <si>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</si>
  <si>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</si>
  <si>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</si>
  <si>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</si>
  <si>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</si>
  <si>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</si>
  <si>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</si>
  <si>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</si>
  <si>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</si>
  <si>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</si>
  <si>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</si>
  <si>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</si>
  <si>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</si>
  <si>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</si>
  <si>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</si>
  <si>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</si>
  <si>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</si>
  <si>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</si>
  <si>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</si>
  <si>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</si>
  <si>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</si>
  <si>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</si>
  <si>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</si>
  <si>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</si>
  <si>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</si>
  <si>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</si>
  <si>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</si>
  <si>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</si>
  <si>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</si>
  <si>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</si>
  <si>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</si>
  <si>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</si>
  <si>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</si>
  <si>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</si>
  <si>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</si>
  <si>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</si>
  <si>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</si>
  <si>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</si>
  <si>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</si>
  <si>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</si>
  <si>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</si>
  <si>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</si>
  <si>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</si>
  <si>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</si>
  <si>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</si>
  <si>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</si>
  <si>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</si>
  <si>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</si>
  <si>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</si>
  <si>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</si>
  <si>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</si>
  <si>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</si>
  <si>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</si>
  <si>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</si>
  <si>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</si>
  <si>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</si>
  <si>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</si>
  <si>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</si>
  <si>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</si>
  <si>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</si>
  <si>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</si>
  <si>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</si>
  <si>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</si>
  <si>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</si>
  <si>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</si>
  <si>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</si>
  <si>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</si>
  <si>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</si>
  <si>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</si>
  <si>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</si>
  <si>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</si>
  <si>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</si>
  <si>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</si>
  <si>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</si>
  <si>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</si>
  <si>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</si>
  <si>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</si>
  <si>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</si>
  <si>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</si>
  <si>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</si>
  <si>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</si>
  <si>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</si>
  <si>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</si>
  <si>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</si>
  <si>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</si>
  <si>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</si>
  <si>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</si>
  <si>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</si>
  <si>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</si>
  <si>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</si>
  <si>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</si>
  <si>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</si>
  <si>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</si>
  <si>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</si>
  <si>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</si>
  <si>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</si>
  <si>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</si>
  <si>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</si>
  <si>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</si>
  <si>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</si>
  <si>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</si>
  <si>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</si>
  <si>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</si>
  <si>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</si>
  <si>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</si>
  <si>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</si>
  <si>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</si>
  <si>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</si>
  <si>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</si>
  <si>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</si>
  <si>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</si>
  <si>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</si>
  <si>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</si>
  <si>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</si>
  <si>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</si>
  <si>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</si>
  <si>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</si>
  <si>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</si>
  <si>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</si>
  <si>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</si>
  <si>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</si>
  <si>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</si>
  <si>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</si>
  <si>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</si>
  <si>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</si>
  <si>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</si>
  <si>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</si>
  <si>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</si>
  <si>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</si>
  <si>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</si>
  <si>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</si>
  <si>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</si>
  <si>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</si>
  <si>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</si>
  <si>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</si>
  <si>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</si>
  <si>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</si>
  <si>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</si>
  <si>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</si>
  <si>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</si>
  <si>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</si>
  <si>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</si>
  <si>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</si>
  <si>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</si>
  <si>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</si>
  <si>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</si>
  <si>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</si>
  <si>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</si>
  <si>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</si>
  <si>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</si>
  <si>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</si>
  <si>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</si>
  <si>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</si>
  <si>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</si>
  <si>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</si>
  <si>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</si>
  <si>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</si>
  <si>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</si>
  <si>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</si>
  <si>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</si>
  <si>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</si>
  <si>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</si>
  <si>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</si>
  <si>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</si>
  <si>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</si>
  <si>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</si>
  <si>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</si>
  <si>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</si>
  <si>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</si>
  <si>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</si>
  <si>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</si>
  <si>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</si>
  <si>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</si>
  <si>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</si>
  <si>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</si>
  <si>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</si>
  <si>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</si>
  <si>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</si>
  <si>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</si>
  <si>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</si>
  <si>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</si>
  <si>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</si>
  <si>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</si>
  <si>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</si>
  <si>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</si>
  <si>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</si>
  <si>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</si>
  <si>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</si>
  <si>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</si>
  <si>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</si>
  <si>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</si>
  <si>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</si>
  <si>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</si>
  <si>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</si>
  <si>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</si>
  <si>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</si>
  <si>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</si>
  <si>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</si>
  <si>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</si>
  <si>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</si>
  <si>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</si>
  <si>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</si>
  <si>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</si>
  <si>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</si>
  <si>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</si>
  <si>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</si>
  <si>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</si>
  <si>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</si>
  <si>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</si>
  <si>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</si>
  <si>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</si>
  <si>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</si>
  <si>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</si>
  <si>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</si>
  <si>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</si>
  <si>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</si>
  <si>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</si>
  <si>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</si>
  <si>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</si>
  <si>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</si>
  <si>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</si>
  <si>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</si>
  <si>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</si>
  <si>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</si>
  <si>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</si>
  <si>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</si>
  <si>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</si>
  <si>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</si>
  <si>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</si>
  <si>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</si>
  <si>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</si>
  <si>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</si>
  <si>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</si>
  <si>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</si>
  <si>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</si>
  <si>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</si>
  <si>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</si>
  <si>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</si>
  <si>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</si>
  <si>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</si>
  <si>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</si>
  <si>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</si>
  <si>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</si>
  <si>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</si>
  <si>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</si>
  <si>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</si>
  <si>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</si>
  <si>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</si>
  <si>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</si>
  <si>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</si>
  <si>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</si>
  <si>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</si>
  <si>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</si>
  <si>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</si>
  <si>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</si>
  <si>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</si>
  <si>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</si>
  <si>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</si>
  <si>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</si>
  <si>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</si>
  <si>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</si>
  <si>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</si>
  <si>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</si>
  <si>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</si>
  <si>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</si>
  <si>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</si>
  <si>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</si>
  <si>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</si>
  <si>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</si>
  <si>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</si>
  <si>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</si>
  <si>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</si>
  <si>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</si>
  <si>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</si>
  <si>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</si>
  <si>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</si>
  <si>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</si>
  <si>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</si>
  <si>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</si>
  <si>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</si>
  <si>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</si>
  <si>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</si>
  <si>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</si>
  <si>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</si>
  <si>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</si>
  <si>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</si>
  <si>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</si>
  <si>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</si>
  <si>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</si>
  <si>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</si>
  <si>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</si>
  <si>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</si>
  <si>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</si>
  <si>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</si>
  <si>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</si>
  <si>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</si>
  <si>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</si>
  <si>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</si>
  <si>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</si>
  <si>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</si>
  <si>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</si>
  <si>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</si>
  <si>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</si>
  <si>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</si>
  <si>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</si>
  <si>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</si>
  <si>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</si>
  <si>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</si>
  <si>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</si>
  <si>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</si>
  <si>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</si>
  <si>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</si>
  <si>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</si>
  <si>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</si>
  <si>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</si>
  <si>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</si>
  <si>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</si>
  <si>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</si>
  <si>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</si>
  <si>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</si>
  <si>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</si>
  <si>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</si>
  <si>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</si>
  <si>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</si>
  <si>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</si>
  <si>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</si>
  <si>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</si>
  <si>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</si>
  <si>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</si>
  <si>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</si>
  <si>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</si>
  <si>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</si>
  <si>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</si>
  <si>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</si>
  <si>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</si>
  <si>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</si>
  <si>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</si>
  <si>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</si>
  <si>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</si>
  <si>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</si>
  <si>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</si>
  <si>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</si>
  <si>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</si>
  <si>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</si>
  <si>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</si>
  <si>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</si>
  <si>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</si>
  <si>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</si>
  <si>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</si>
  <si>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</si>
  <si>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</si>
  <si>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</si>
  <si>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</si>
  <si>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</si>
  <si>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</si>
  <si>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</si>
  <si>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</si>
  <si>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</si>
  <si>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</si>
  <si>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</si>
  <si>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</si>
  <si>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</si>
  <si>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</si>
  <si>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</si>
  <si>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</si>
  <si>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</si>
  <si>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</si>
  <si>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</si>
  <si>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</si>
  <si>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</si>
  <si>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</si>
  <si>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</si>
  <si>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</si>
  <si>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</si>
  <si>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</si>
  <si>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</si>
  <si>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</si>
  <si>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</si>
  <si>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</si>
  <si>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</si>
  <si>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</si>
  <si>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</si>
  <si>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</si>
  <si>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</si>
  <si>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</si>
  <si>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</si>
  <si>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</si>
  <si>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</si>
  <si>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</si>
  <si>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</si>
  <si>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</si>
  <si>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</si>
  <si>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</si>
  <si>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</si>
  <si>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</si>
  <si>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</si>
  <si>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</si>
  <si>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</si>
  <si>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</si>
  <si>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</si>
  <si>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</si>
  <si>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</si>
  <si>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</si>
  <si>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</si>
  <si>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</si>
  <si>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</si>
  <si>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</si>
  <si>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</si>
  <si>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</si>
  <si>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</si>
  <si>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</si>
  <si>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</si>
  <si>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</si>
  <si>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</si>
  <si>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</si>
  <si>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</si>
  <si>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</si>
  <si>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</si>
  <si>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</si>
  <si>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</si>
  <si>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</si>
  <si>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</si>
  <si>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</si>
  <si>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</si>
  <si>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</si>
  <si>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</si>
  <si>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</si>
  <si>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</si>
  <si>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</si>
  <si>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</si>
  <si>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</si>
  <si>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</si>
  <si>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</si>
  <si>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</si>
  <si>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</si>
  <si>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</si>
  <si>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</si>
  <si>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</si>
  <si>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</si>
  <si>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</si>
  <si>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</si>
  <si>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</si>
  <si>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</si>
  <si>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</si>
  <si>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</si>
  <si>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</si>
  <si>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</si>
  <si>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</si>
  <si>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</si>
  <si>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</si>
  <si>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</si>
  <si>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</si>
  <si>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</si>
  <si>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</si>
  <si>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</si>
  <si>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</si>
  <si>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</si>
  <si>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</si>
  <si>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</si>
  <si>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</si>
  <si>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</si>
  <si>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</si>
  <si>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</si>
  <si>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</si>
  <si>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</si>
  <si>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</si>
  <si>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</si>
  <si>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</si>
  <si>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</si>
  <si>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</si>
  <si>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</si>
  <si>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</si>
  <si>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</si>
  <si>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</si>
  <si>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</si>
  <si>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</si>
  <si>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</si>
  <si>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</si>
  <si>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</si>
  <si>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</si>
  <si>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</si>
  <si>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</si>
  <si>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</si>
  <si>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</si>
  <si>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</si>
  <si>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</si>
  <si>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</si>
  <si>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</si>
  <si>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</si>
  <si>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</si>
  <si>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</si>
  <si>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</si>
  <si>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</si>
  <si>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</si>
  <si>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</si>
  <si>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</si>
  <si>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</si>
  <si>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</si>
  <si>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</si>
  <si>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</si>
  <si>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</si>
  <si>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</si>
  <si>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</si>
  <si>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</si>
  <si>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</si>
  <si>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</si>
  <si>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</si>
  <si>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</si>
  <si>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</si>
  <si>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</si>
  <si>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</si>
  <si>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</si>
  <si>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</si>
  <si>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</si>
  <si>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</si>
  <si>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</si>
  <si>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</si>
  <si>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</si>
  <si>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</si>
  <si>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</si>
  <si>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</si>
  <si>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</si>
  <si>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</si>
  <si>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</si>
  <si>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</si>
  <si>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</si>
  <si>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</si>
  <si>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</si>
  <si>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</si>
  <si>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</si>
  <si>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</si>
  <si>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</si>
  <si>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</si>
  <si>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</si>
  <si>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</si>
  <si>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</si>
  <si>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</si>
  <si>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</si>
  <si>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</si>
  <si>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</si>
  <si>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</si>
  <si>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</si>
  <si>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</si>
  <si>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</si>
  <si>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</si>
  <si>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</si>
  <si>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</si>
  <si>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</si>
  <si>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</si>
  <si>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</si>
  <si>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</si>
  <si>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</si>
  <si>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</si>
  <si>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</si>
  <si>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</si>
  <si>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</si>
  <si>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</si>
  <si>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</si>
  <si>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</si>
  <si>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</si>
  <si>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</si>
  <si>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</si>
  <si>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</si>
  <si>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</si>
  <si>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</si>
  <si>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</si>
  <si>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</si>
  <si>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</si>
  <si>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</si>
  <si>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</si>
  <si>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</si>
  <si>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</si>
  <si>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</si>
  <si>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</si>
  <si>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</si>
  <si>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</si>
  <si>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</si>
  <si>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</si>
  <si>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</si>
  <si>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</si>
  <si>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</si>
  <si>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</si>
  <si>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</si>
  <si>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</si>
  <si>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</si>
  <si>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</si>
  <si>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</si>
  <si>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</si>
  <si>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</si>
  <si>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</si>
  <si>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</si>
  <si>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</si>
  <si>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</si>
  <si>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</si>
  <si>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</si>
  <si>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</si>
  <si>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</si>
  <si>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</si>
  <si>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</si>
  <si>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</si>
  <si>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</si>
  <si>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</si>
  <si>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</si>
  <si>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</si>
  <si>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</si>
  <si>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</si>
  <si>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</si>
  <si>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</si>
  <si>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</si>
  <si>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</si>
  <si>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</si>
  <si>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</si>
  <si>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</si>
  <si>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</si>
  <si>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</si>
  <si>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</si>
  <si>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</si>
  <si>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</si>
  <si>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</si>
  <si>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</si>
  <si>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</si>
  <si>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</si>
  <si>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</si>
  <si>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</si>
  <si>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</si>
  <si>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</si>
  <si>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</si>
  <si>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</si>
  <si>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</si>
  <si>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</si>
  <si>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</si>
  <si>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</si>
  <si>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</si>
  <si>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</si>
  <si>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</si>
  <si>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</si>
  <si>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</si>
  <si>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</si>
  <si>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</si>
  <si>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</si>
  <si>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</si>
  <si>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</si>
  <si>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</si>
  <si>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</si>
  <si>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</si>
  <si>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</si>
  <si>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</si>
  <si>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</si>
  <si>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</si>
  <si>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</si>
  <si>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</si>
  <si>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</si>
  <si>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</si>
  <si>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</si>
  <si>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</si>
  <si>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</si>
  <si>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</si>
  <si>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</si>
  <si>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</si>
  <si>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</si>
  <si>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</si>
  <si>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</si>
  <si>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</si>
  <si>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</si>
  <si>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</si>
  <si>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</si>
  <si>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</si>
  <si>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</si>
  <si>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</si>
  <si>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</si>
  <si>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</si>
  <si>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</si>
  <si>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</si>
  <si>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</si>
  <si>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</si>
  <si>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</si>
  <si>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</si>
  <si>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</si>
  <si>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</si>
  <si>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</si>
  <si>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</si>
  <si>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</si>
  <si>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</si>
  <si>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</si>
  <si>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</si>
  <si>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</si>
  <si>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</si>
  <si>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</si>
  <si>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</si>
  <si>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</si>
  <si>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</si>
  <si>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</si>
  <si>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</si>
  <si>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</si>
  <si>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</si>
  <si>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</si>
  <si>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</si>
  <si>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</si>
  <si>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</si>
  <si>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</si>
  <si>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</si>
  <si>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</si>
  <si>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</si>
  <si>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</si>
  <si>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</si>
  <si>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</si>
  <si>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</si>
  <si>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</si>
  <si>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</si>
  <si>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</si>
  <si>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</si>
  <si>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</si>
  <si>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</si>
  <si>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</si>
  <si>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</si>
  <si>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</si>
  <si>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</si>
  <si>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</si>
  <si>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</si>
  <si>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</si>
  <si>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</si>
  <si>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</si>
  <si>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</si>
  <si>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</si>
  <si>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</si>
  <si>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</si>
  <si>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</si>
  <si>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</si>
  <si>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</si>
  <si>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</si>
  <si>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</si>
  <si>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</si>
  <si>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</si>
  <si>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</si>
  <si>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</si>
  <si>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</si>
  <si>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</si>
  <si>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</si>
  <si>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</si>
  <si>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</si>
  <si>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</si>
  <si>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</si>
  <si>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</si>
  <si>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</si>
  <si>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</si>
  <si>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</si>
  <si>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</si>
  <si>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</si>
  <si>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</si>
  <si>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</si>
  <si>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</si>
  <si>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</si>
  <si>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</si>
  <si>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</si>
  <si>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</si>
  <si>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</si>
  <si>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</si>
  <si>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</si>
  <si>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</si>
  <si>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</si>
  <si>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</si>
  <si>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</si>
  <si>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</si>
  <si>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</si>
  <si>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</si>
  <si>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</si>
  <si>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</si>
  <si>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</si>
  <si>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</si>
  <si>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</si>
  <si>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</si>
  <si>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</si>
  <si>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x</t>
  </si>
  <si>
    <t>Tazewell</t>
  </si>
  <si>
    <t>13650 N. Manito Road</t>
  </si>
  <si>
    <t>Manito</t>
  </si>
  <si>
    <t>Charles Nagel</t>
  </si>
  <si>
    <t>Jason A. Hohulin, CPA</t>
  </si>
  <si>
    <t>jhohulin@gorenzcpa.com</t>
  </si>
  <si>
    <t>Pekin PSD #108, Pekin PCHS #303, Rankin District #98</t>
  </si>
  <si>
    <t>Rankin #98, South Pekin #137</t>
  </si>
  <si>
    <t>Homefield</t>
  </si>
  <si>
    <t>State - Central Management Services</t>
  </si>
  <si>
    <t>Rankin CSD #98, PCHS #303, Pekin 108, North Pekin 102, South Pekin 137</t>
  </si>
  <si>
    <t>Tazewell - Mason County Special Education Cooperative</t>
  </si>
  <si>
    <t>State of Illinois Joint Purchasing</t>
  </si>
  <si>
    <t>Rankin CSD #98</t>
  </si>
  <si>
    <t>2017-001</t>
  </si>
  <si>
    <t>Lack of segregation of duties</t>
  </si>
  <si>
    <t>Unresolved - See Finding 2018-001</t>
  </si>
  <si>
    <t>cnagel@springlake606.org</t>
  </si>
  <si>
    <t>The opinion is adverse due to the use of the Regulatory Basis of Accounting.</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</si>
  <si>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</si>
  <si>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One individual has the primary responsibility for performing most of the accounting and financial duties including key functions of recording, reconciling, reporting cash transactions, and authorization to sign checks. This structure reduces certain aspects of the internal control system which rely on adequate segregation of duties.</t>
  </si>
  <si>
    <t>All District accounting and financial records are maintained by one individual, along with the ability to sign checks</t>
  </si>
  <si>
    <t>Certain individuals have the ability to complete and record accounting functions which ideally would be segregated.</t>
  </si>
  <si>
    <t>The Board of Education has determined that one individual is sufficient to preform the required duties.</t>
  </si>
  <si>
    <t>The Board should take steps it considers necessary to limit the risks that a lack of segregation of duties presents; such as but not limited to hiring additional staff.</t>
  </si>
  <si>
    <t>The District will take the auditor's recommendations under consideration.</t>
  </si>
  <si>
    <t>Part C - #20 - See Finding 2018-001.</t>
  </si>
  <si>
    <t>NONE</t>
  </si>
  <si>
    <t>Page 11, Line 107, Other Local Revenues - Interstate Studio Deposit, group insurance dividend</t>
  </si>
  <si>
    <t>Page 12, Line 183, Other Restricted Grants-In-Aid Received Directly from the Federal Govt. - REAP Grant</t>
  </si>
  <si>
    <t>Page 29, Line 80, "PLEASE ENTER CONTRACTS PAID IN THE CURRENT YEAR"</t>
  </si>
  <si>
    <t>For the current fiscal year under audit, the district did not have any qualifying contracts exceeding</t>
  </si>
  <si>
    <t>the $25,000 limit.</t>
  </si>
  <si>
    <t>066-005027</t>
  </si>
  <si>
    <t>see the embedded PDF version</t>
  </si>
  <si>
    <t>Spring Lake CCSD 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</si>
</sst>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79" fontId="55" fillId="0" borderId="0" xfId="3" applyNumberFormat="1" applyFont="1" applyBorder="1" applyAlignment="1" applyProtection="1">
      <alignment horizontal="center"/>
      <protection locked="0"/>
    </xf>
    <xf numFmtId="0" fontId="55" fillId="0" borderId="0" xfId="3"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2085</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2076</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53090606004</v>
      </c>
      <c r="B13" s="2003"/>
      <c r="C13" s="2003"/>
      <c r="D13" s="2003"/>
      <c r="E13" s="2003"/>
      <c r="F13" s="2003"/>
      <c r="G13" s="2003"/>
      <c r="H13" s="2004"/>
      <c r="I13" s="31"/>
      <c r="J13" s="30"/>
      <c r="K13" s="28"/>
      <c r="L13" s="30"/>
      <c r="M13" s="30"/>
      <c r="N13" s="30"/>
      <c r="O13" s="30"/>
      <c r="P13" s="30"/>
      <c r="Q13" s="30"/>
      <c r="R13" s="30"/>
      <c r="S13" s="30"/>
      <c r="T13" s="2007" t="s">
        <v>2077</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2086</v>
      </c>
      <c r="B15" s="2005"/>
      <c r="C15" s="2005"/>
      <c r="D15" s="2005"/>
      <c r="E15" s="2005"/>
      <c r="F15" s="2005"/>
      <c r="G15" s="2005"/>
      <c r="H15" s="2006"/>
      <c r="T15" s="1968" t="s">
        <v>2090</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2121</v>
      </c>
      <c r="B17" s="2030"/>
      <c r="C17" s="2030"/>
      <c r="D17" s="2030"/>
      <c r="E17" s="2030"/>
      <c r="F17" s="2030"/>
      <c r="G17" s="2030"/>
      <c r="H17" s="2031"/>
      <c r="T17" s="2017" t="s">
        <v>2078</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2087</v>
      </c>
      <c r="B19" s="2001"/>
      <c r="C19" s="2001"/>
      <c r="D19" s="2001"/>
      <c r="E19" s="2001"/>
      <c r="F19" s="2001"/>
      <c r="G19" s="2001"/>
      <c r="H19" s="1999"/>
      <c r="I19" s="30"/>
      <c r="J19" s="99"/>
      <c r="K19" s="40"/>
      <c r="L19" s="38"/>
      <c r="M19" s="112" t="s">
        <v>333</v>
      </c>
      <c r="P19" s="27"/>
      <c r="Q19" s="27"/>
      <c r="R19" s="27"/>
      <c r="S19" s="31"/>
      <c r="T19" s="2000" t="s">
        <v>2079</v>
      </c>
      <c r="U19" s="1998"/>
      <c r="V19" s="1998"/>
      <c r="W19" s="1999"/>
      <c r="X19" s="2015" t="s">
        <v>2080</v>
      </c>
      <c r="Y19" s="2016"/>
      <c r="Z19" s="2013">
        <v>61614</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2088</v>
      </c>
      <c r="B21" s="1998"/>
      <c r="C21" s="1998"/>
      <c r="D21" s="1998"/>
      <c r="E21" s="1998"/>
      <c r="F21" s="1998"/>
      <c r="G21" s="1998"/>
      <c r="H21" s="1999"/>
      <c r="I21" s="2023" t="s">
        <v>699</v>
      </c>
      <c r="J21" s="1986"/>
      <c r="K21" s="1986"/>
      <c r="L21" s="1986"/>
      <c r="M21" s="1986"/>
      <c r="N21" s="1986"/>
      <c r="O21" s="1986"/>
      <c r="P21" s="1986"/>
      <c r="Q21" s="1986"/>
      <c r="R21" s="1986"/>
      <c r="S21" s="1987"/>
      <c r="T21" s="1965" t="s">
        <v>2081</v>
      </c>
      <c r="U21" s="1966"/>
      <c r="V21" s="1966"/>
      <c r="W21" s="1966"/>
      <c r="X21" s="1979" t="s">
        <v>2082</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2103</v>
      </c>
      <c r="B23" s="2021"/>
      <c r="C23" s="2021"/>
      <c r="D23" s="2021"/>
      <c r="E23" s="2021"/>
      <c r="F23" s="2021"/>
      <c r="G23" s="2021"/>
      <c r="H23" s="2022"/>
      <c r="T23" s="1960" t="s">
        <v>2119</v>
      </c>
      <c r="U23" s="1961"/>
      <c r="V23" s="1961"/>
      <c r="W23" s="1961"/>
      <c r="X23" s="1976">
        <v>44530</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61546</v>
      </c>
      <c r="B25" s="1998"/>
      <c r="C25" s="1998"/>
      <c r="D25" s="1998"/>
      <c r="E25" s="1998"/>
      <c r="F25" s="1998"/>
      <c r="G25" s="1998"/>
      <c r="H25" s="1999"/>
      <c r="I25" s="113"/>
      <c r="J25" s="2064"/>
      <c r="K25" s="2064"/>
      <c r="L25" s="2064"/>
      <c r="M25" s="2064"/>
      <c r="N25" s="2064"/>
      <c r="O25" s="2064"/>
      <c r="P25" s="2064"/>
      <c r="Q25" s="2064"/>
      <c r="R25" s="2064"/>
      <c r="S25" s="2065"/>
      <c r="T25" s="1957" t="s">
        <v>2091</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2076</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2089</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2103</v>
      </c>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v>3095452241</v>
      </c>
      <c r="B42" s="2047"/>
      <c r="C42" s="2048"/>
      <c r="D42" s="2061">
        <v>3095452695</v>
      </c>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2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2076</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2076</v>
      </c>
      <c r="C53" s="179">
        <v>22</v>
      </c>
      <c r="D53" s="247" t="s">
        <v>1537</v>
      </c>
      <c r="E53" s="248"/>
      <c r="F53" s="249"/>
      <c r="G53" s="249" t="s">
        <v>1536</v>
      </c>
      <c r="H53" s="250">
        <v>36161</v>
      </c>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2104</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t="s">
        <v>2112</v>
      </c>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2083</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t="s">
        <v>2120</v>
      </c>
      <c r="E118" s="322"/>
      <c r="F118" s="324"/>
      <c r="G118" s="1861"/>
      <c r="H118" s="322"/>
      <c r="I118" s="304"/>
    </row>
    <row r="119" spans="1:9" s="181" customFormat="1" ht="11.25" customHeight="1" x14ac:dyDescent="0.2">
      <c r="A119" s="325"/>
      <c r="B119" s="325"/>
      <c r="C119" s="326"/>
      <c r="D119" s="327" t="s">
        <v>379</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12585276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2.99723E-2</v>
      </c>
      <c r="E10" s="356" t="s">
        <v>1062</v>
      </c>
      <c r="F10" s="355">
        <v>2.8148000000000001E-3</v>
      </c>
      <c r="G10" s="356" t="s">
        <v>1062</v>
      </c>
      <c r="H10" s="355">
        <v>1.7290999999999999E-3</v>
      </c>
      <c r="I10" s="356" t="s">
        <v>1063</v>
      </c>
      <c r="J10" s="1752">
        <f>ROUND(D10+F10+H10,5)</f>
        <v>3.4520000000000002E-2</v>
      </c>
      <c r="K10" s="222"/>
      <c r="L10" s="355">
        <v>4.0230000000000002E-4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875009</v>
      </c>
      <c r="E16" s="356"/>
      <c r="F16" s="1753">
        <f>SUM('Acct Summary 7-8'!C17,'Acct Summary 7-8'!D17,'Acct Summary 7-8'!F17)</f>
        <v>788222</v>
      </c>
      <c r="G16" s="356"/>
      <c r="H16" s="1753">
        <f>SUM(D16-F16)</f>
        <v>86787</v>
      </c>
      <c r="I16" s="222"/>
      <c r="J16" s="1753">
        <f>SUM('Acct Summary 7-8'!C81,'Acct Summary 7-8'!D81,'Acct Summary 7-8'!F81,'Acct Summary 7-8'!I81)</f>
        <v>176832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2085</v>
      </c>
      <c r="C31" s="367" t="s">
        <v>607</v>
      </c>
      <c r="D31" s="237" t="s">
        <v>1132</v>
      </c>
      <c r="E31" s="222"/>
      <c r="F31" s="222"/>
      <c r="G31" s="363"/>
      <c r="H31" s="1755">
        <f>IF(B31="X",(J7*0.069),IF(B32="X",(J7*0.138),"Enter x in a.or b."))</f>
        <v>868384.04400000011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Spring Lake CCSD 606</v>
      </c>
      <c r="E7" s="391"/>
      <c r="G7" s="252"/>
      <c r="H7" s="387"/>
      <c r="I7" s="387"/>
      <c r="J7" s="387"/>
      <c r="K7" s="387"/>
      <c r="L7" s="329"/>
      <c r="M7" s="329"/>
      <c r="N7" s="329"/>
      <c r="O7" s="329"/>
      <c r="P7" s="329"/>
    </row>
    <row r="8" spans="1:18" ht="12.75" x14ac:dyDescent="0.2">
      <c r="A8" s="329"/>
      <c r="B8" s="329"/>
      <c r="C8" s="389" t="s">
        <v>1187</v>
      </c>
      <c r="D8" s="392">
        <f>COVER!A13</f>
        <v>53090606004</v>
      </c>
      <c r="E8" s="393"/>
      <c r="G8" s="329"/>
      <c r="H8" s="329"/>
      <c r="I8" s="329"/>
      <c r="J8" s="329"/>
      <c r="K8" s="329"/>
      <c r="L8" s="329"/>
      <c r="M8" s="329"/>
      <c r="N8" s="329"/>
      <c r="O8" s="329"/>
      <c r="P8" s="329"/>
    </row>
    <row r="9" spans="1:18" ht="12.75" x14ac:dyDescent="0.2">
      <c r="A9" s="329"/>
      <c r="B9" s="329"/>
      <c r="C9" s="389" t="s">
        <v>737</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176832</v>
      </c>
      <c r="I12" s="404"/>
      <c r="J12" s="404"/>
      <c r="K12" s="405">
        <f>TRUNC((H12/H13*100000),5)/100000</f>
        <v>0.20209163560000001</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875009</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788222</v>
      </c>
      <c r="I17" s="404"/>
      <c r="J17" s="416"/>
      <c r="K17" s="405">
        <f>TRUNC((H17/H18*100000),5)/100000</f>
        <v>0.90081587730000001</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875009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176832</v>
      </c>
      <c r="I24" s="422"/>
      <c r="J24" s="422"/>
      <c r="K24" s="423">
        <f>TRUNC(((H24/H25*100000)/100000),2)</f>
        <v>80.760000000000005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2189.5055600000001</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369277.16839000001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868384.04400000011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3.4499999999999997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79"/>
      <c r="D3" s="1580"/>
      <c r="E3" s="1580"/>
      <c r="F3" s="1580"/>
      <c r="G3" s="1580"/>
      <c r="H3" s="1580"/>
      <c r="I3" s="1580"/>
      <c r="J3" s="1580"/>
      <c r="K3" s="1580"/>
      <c r="L3" s="1580"/>
      <c r="M3" s="1581"/>
      <c r="N3" s="1582"/>
    </row>
    <row r="4" spans="1:14" ht="13.5" customHeight="1" x14ac:dyDescent="0.2">
      <c r="A4" s="463" t="s">
        <v>1750</v>
      </c>
      <c r="B4" s="464"/>
      <c r="C4" s="465">
        <v>133315</v>
      </c>
      <c r="D4" s="465">
        <v>15596</v>
      </c>
      <c r="E4" s="466">
        <v>0</v>
      </c>
      <c r="F4" s="466">
        <v>22408</v>
      </c>
      <c r="G4" s="466">
        <v>9992</v>
      </c>
      <c r="H4" s="466">
        <v>0</v>
      </c>
      <c r="I4" s="466">
        <v>5513</v>
      </c>
      <c r="J4" s="467">
        <v>0</v>
      </c>
      <c r="K4" s="466">
        <v>0</v>
      </c>
      <c r="L4" s="466">
        <v>3018</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133315</v>
      </c>
      <c r="D13" s="1757">
        <f t="shared" ref="D13:L13" si="0">SUM(D4:D12)</f>
        <v>15596</v>
      </c>
      <c r="E13" s="1757">
        <f t="shared" si="0"/>
        <v>0</v>
      </c>
      <c r="F13" s="1757">
        <f t="shared" si="0"/>
        <v>22408</v>
      </c>
      <c r="G13" s="1757">
        <f t="shared" si="0"/>
        <v>9992</v>
      </c>
      <c r="H13" s="1757">
        <f t="shared" si="0"/>
        <v>0</v>
      </c>
      <c r="I13" s="1757">
        <f t="shared" si="0"/>
        <v>5513</v>
      </c>
      <c r="J13" s="1757">
        <f t="shared" si="0"/>
        <v>0</v>
      </c>
      <c r="K13" s="1757">
        <f t="shared" si="0"/>
        <v>0</v>
      </c>
      <c r="L13" s="1757">
        <f t="shared" si="0"/>
        <v>3018</v>
      </c>
      <c r="M13" s="468"/>
      <c r="N13" s="469"/>
    </row>
    <row r="14" spans="1:14" ht="18" customHeight="1" thickTop="1" x14ac:dyDescent="0.2">
      <c r="A14" s="2126" t="s">
        <v>149</v>
      </c>
      <c r="B14" s="2127"/>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1284</v>
      </c>
      <c r="N16" s="483"/>
    </row>
    <row r="17" spans="1:14" s="484" customFormat="1" ht="12.75" customHeight="1" x14ac:dyDescent="0.2">
      <c r="A17" s="481" t="s">
        <v>1470</v>
      </c>
      <c r="B17" s="482">
        <v>230</v>
      </c>
      <c r="C17" s="476"/>
      <c r="D17" s="476"/>
      <c r="E17" s="476"/>
      <c r="F17" s="476"/>
      <c r="G17" s="476"/>
      <c r="H17" s="476"/>
      <c r="I17" s="476"/>
      <c r="J17" s="476"/>
      <c r="K17" s="476"/>
      <c r="L17" s="476"/>
      <c r="M17" s="467">
        <v>453536</v>
      </c>
      <c r="N17" s="483"/>
    </row>
    <row r="18" spans="1:14" s="484" customFormat="1" ht="12.75" customHeight="1" x14ac:dyDescent="0.2">
      <c r="A18" s="481" t="s">
        <v>1471</v>
      </c>
      <c r="B18" s="482">
        <v>240</v>
      </c>
      <c r="C18" s="476"/>
      <c r="D18" s="476"/>
      <c r="E18" s="476"/>
      <c r="F18" s="476"/>
      <c r="G18" s="476"/>
      <c r="H18" s="476"/>
      <c r="I18" s="476"/>
      <c r="J18" s="476"/>
      <c r="K18" s="476"/>
      <c r="L18" s="476"/>
      <c r="M18" s="467">
        <v>1439</v>
      </c>
      <c r="N18" s="483"/>
    </row>
    <row r="19" spans="1:14" s="484" customFormat="1" ht="12.75" customHeight="1" x14ac:dyDescent="0.2">
      <c r="A19" s="481" t="s">
        <v>1472</v>
      </c>
      <c r="B19" s="482">
        <v>250</v>
      </c>
      <c r="C19" s="476"/>
      <c r="D19" s="476"/>
      <c r="E19" s="476"/>
      <c r="F19" s="476"/>
      <c r="G19" s="476"/>
      <c r="H19" s="476"/>
      <c r="I19" s="476"/>
      <c r="J19" s="476"/>
      <c r="K19" s="476"/>
      <c r="L19" s="476"/>
      <c r="M19" s="467">
        <v>77259</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56" t="s">
        <v>664</v>
      </c>
      <c r="B23" s="1761"/>
      <c r="C23" s="468"/>
      <c r="D23" s="468"/>
      <c r="E23" s="468"/>
      <c r="F23" s="468"/>
      <c r="G23" s="468"/>
      <c r="H23" s="468"/>
      <c r="I23" s="468"/>
      <c r="J23" s="468"/>
      <c r="K23" s="468"/>
      <c r="L23" s="468"/>
      <c r="M23" s="1708">
        <f>SUM(M15:M22)</f>
        <v>533518</v>
      </c>
      <c r="N23" s="1708">
        <f>SUM(N21:N22)</f>
        <v>0</v>
      </c>
    </row>
    <row r="24" spans="1:14" ht="18" customHeight="1" thickTop="1" x14ac:dyDescent="0.2">
      <c r="A24" s="2128" t="s">
        <v>619</v>
      </c>
      <c r="B24" s="2129"/>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3018</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3018</v>
      </c>
      <c r="M34" s="468"/>
      <c r="N34" s="479"/>
    </row>
    <row r="35" spans="1:14" ht="18" customHeight="1" thickTop="1" x14ac:dyDescent="0.2">
      <c r="A35" s="2130" t="s">
        <v>550</v>
      </c>
      <c r="B35" s="2131"/>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0</v>
      </c>
    </row>
    <row r="37" spans="1:14" ht="13.5" thickBot="1" x14ac:dyDescent="0.25">
      <c r="A37" s="1756" t="s">
        <v>674</v>
      </c>
      <c r="B37" s="1761"/>
      <c r="C37" s="476"/>
      <c r="D37" s="476"/>
      <c r="E37" s="476"/>
      <c r="F37" s="476"/>
      <c r="G37" s="476"/>
      <c r="H37" s="476"/>
      <c r="I37" s="476"/>
      <c r="J37" s="476"/>
      <c r="K37" s="476"/>
      <c r="L37" s="479"/>
      <c r="M37" s="468"/>
      <c r="N37" s="1708">
        <f>SUM(N36:N36)</f>
        <v>0</v>
      </c>
    </row>
    <row r="38" spans="1:14" s="329" customFormat="1" ht="13.5" customHeight="1" thickTop="1" x14ac:dyDescent="0.2">
      <c r="A38" s="494" t="s">
        <v>440</v>
      </c>
      <c r="B38" s="482">
        <v>714</v>
      </c>
      <c r="C38" s="465">
        <v>0</v>
      </c>
      <c r="D38" s="465">
        <v>0</v>
      </c>
      <c r="E38" s="465">
        <v>0</v>
      </c>
      <c r="F38" s="465">
        <v>0</v>
      </c>
      <c r="G38" s="465">
        <v>5611</v>
      </c>
      <c r="H38" s="465">
        <v>0</v>
      </c>
      <c r="I38" s="465">
        <v>0</v>
      </c>
      <c r="J38" s="465">
        <v>0</v>
      </c>
      <c r="K38" s="465">
        <v>0</v>
      </c>
      <c r="L38" s="465">
        <v>0</v>
      </c>
      <c r="M38" s="495"/>
      <c r="N38" s="495"/>
    </row>
    <row r="39" spans="1:14" s="329" customFormat="1" ht="13.5" customHeight="1" x14ac:dyDescent="0.2">
      <c r="A39" s="494" t="s">
        <v>360</v>
      </c>
      <c r="B39" s="482">
        <v>730</v>
      </c>
      <c r="C39" s="465">
        <v>133315</v>
      </c>
      <c r="D39" s="465">
        <v>15596</v>
      </c>
      <c r="E39" s="465">
        <v>0</v>
      </c>
      <c r="F39" s="465">
        <v>22408</v>
      </c>
      <c r="G39" s="465">
        <v>4381</v>
      </c>
      <c r="H39" s="465">
        <v>0</v>
      </c>
      <c r="I39" s="465">
        <v>5513</v>
      </c>
      <c r="J39" s="465">
        <v>0</v>
      </c>
      <c r="K39" s="465">
        <v>0</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533518</v>
      </c>
      <c r="N40" s="495"/>
    </row>
    <row r="41" spans="1:14" ht="13.5" customHeight="1" thickBot="1" x14ac:dyDescent="0.25">
      <c r="A41" s="1756" t="s">
        <v>676</v>
      </c>
      <c r="B41" s="1726"/>
      <c r="C41" s="1708">
        <f>(SUM(C34,C37,C38,C39))</f>
        <v>133315</v>
      </c>
      <c r="D41" s="1708">
        <f t="shared" ref="D41:L41" si="2">SUM(D34,D37,D38:D39)</f>
        <v>15596</v>
      </c>
      <c r="E41" s="1708">
        <f t="shared" si="2"/>
        <v>0</v>
      </c>
      <c r="F41" s="1708">
        <f t="shared" si="2"/>
        <v>22408</v>
      </c>
      <c r="G41" s="1708">
        <f t="shared" si="2"/>
        <v>9992</v>
      </c>
      <c r="H41" s="1708">
        <f t="shared" si="2"/>
        <v>0</v>
      </c>
      <c r="I41" s="1708">
        <f t="shared" si="2"/>
        <v>5513</v>
      </c>
      <c r="J41" s="1708">
        <f t="shared" si="2"/>
        <v>0</v>
      </c>
      <c r="K41" s="1708">
        <f t="shared" si="2"/>
        <v>0</v>
      </c>
      <c r="L41" s="1708">
        <f t="shared" si="2"/>
        <v>3018</v>
      </c>
      <c r="M41" s="1708">
        <f>SUM(M40)</f>
        <v>533518</v>
      </c>
      <c r="N41" s="1708">
        <f>SUM(N37)</f>
        <v>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J32" sqref="J32"/>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0"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2" t="s">
        <v>1237</v>
      </c>
      <c r="B3" s="2153"/>
      <c r="C3" s="1593"/>
      <c r="D3" s="1594"/>
      <c r="E3" s="1594"/>
      <c r="F3" s="1594"/>
      <c r="G3" s="1594"/>
      <c r="H3" s="1594"/>
      <c r="I3" s="1594"/>
      <c r="J3" s="1594"/>
      <c r="K3" s="1595"/>
      <c r="L3" s="504"/>
    </row>
    <row r="4" spans="1:13" ht="15.75" customHeight="1" x14ac:dyDescent="0.2">
      <c r="A4" s="1952" t="s">
        <v>1579</v>
      </c>
      <c r="B4" s="1953">
        <v>1000</v>
      </c>
      <c r="C4" s="1762">
        <f>'Revenues 9-14'!C109</f>
        <v>384438</v>
      </c>
      <c r="D4" s="1762">
        <f>'Revenues 9-14'!D109</f>
        <v>34744</v>
      </c>
      <c r="E4" s="1762">
        <f>'Revenues 9-14'!E109</f>
        <v>0</v>
      </c>
      <c r="F4" s="1762">
        <f>'Revenues 9-14'!F109</f>
        <v>25510</v>
      </c>
      <c r="G4" s="1762">
        <f>'Revenues 9-14'!G109</f>
        <v>24451</v>
      </c>
      <c r="H4" s="1762">
        <f>'Revenues 9-14'!H109</f>
        <v>0</v>
      </c>
      <c r="I4" s="1762">
        <f>'Revenues 9-14'!I109</f>
        <v>4953</v>
      </c>
      <c r="J4" s="1762">
        <f>'Revenues 9-14'!J109</f>
        <v>0</v>
      </c>
      <c r="K4" s="1762">
        <f>'Revenues 9-14'!K109</f>
        <v>0</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232905</v>
      </c>
      <c r="D6" s="1763">
        <f>'Revenues 9-14'!D173</f>
        <v>0</v>
      </c>
      <c r="E6" s="1763">
        <f>'Revenues 9-14'!E173</f>
        <v>0</v>
      </c>
      <c r="F6" s="1763">
        <f>'Revenues 9-14'!F173</f>
        <v>70542</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121917</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739260</v>
      </c>
      <c r="D8" s="1708">
        <f t="shared" ref="D8:K8" si="0">SUM(D4:D7)</f>
        <v>34744</v>
      </c>
      <c r="E8" s="1708">
        <f t="shared" si="0"/>
        <v>0</v>
      </c>
      <c r="F8" s="1708">
        <f t="shared" si="0"/>
        <v>96052</v>
      </c>
      <c r="G8" s="1708">
        <f t="shared" si="0"/>
        <v>24451</v>
      </c>
      <c r="H8" s="1708">
        <f t="shared" si="0"/>
        <v>0</v>
      </c>
      <c r="I8" s="1708">
        <f t="shared" si="0"/>
        <v>4953</v>
      </c>
      <c r="J8" s="1708">
        <f t="shared" si="0"/>
        <v>0</v>
      </c>
      <c r="K8" s="1708">
        <f t="shared" si="0"/>
        <v>0</v>
      </c>
      <c r="L8" s="347"/>
    </row>
    <row r="9" spans="1:13" ht="15.75" thickTop="1" x14ac:dyDescent="0.2">
      <c r="A9" s="512" t="s">
        <v>1752</v>
      </c>
      <c r="B9" s="513">
        <v>3998</v>
      </c>
      <c r="C9" s="465">
        <v>182878</v>
      </c>
      <c r="D9" s="514"/>
      <c r="E9" s="480"/>
      <c r="F9" s="480"/>
      <c r="G9" s="515"/>
      <c r="H9" s="480"/>
      <c r="I9" s="507" t="s">
        <v>1231</v>
      </c>
      <c r="J9" s="477"/>
      <c r="K9" s="480"/>
      <c r="L9" s="347"/>
    </row>
    <row r="10" spans="1:13" s="517" customFormat="1" ht="13.5" thickBot="1" x14ac:dyDescent="0.25">
      <c r="A10" s="1756" t="s">
        <v>1235</v>
      </c>
      <c r="B10" s="1729"/>
      <c r="C10" s="1708">
        <f>SUM(C8:C9)</f>
        <v>922138</v>
      </c>
      <c r="D10" s="1708">
        <f t="shared" ref="D10:K10" si="1">SUM(D8:D9)</f>
        <v>34744</v>
      </c>
      <c r="E10" s="1708">
        <f t="shared" si="1"/>
        <v>0</v>
      </c>
      <c r="F10" s="1708">
        <f t="shared" si="1"/>
        <v>96052</v>
      </c>
      <c r="G10" s="1708">
        <f t="shared" si="1"/>
        <v>24451</v>
      </c>
      <c r="H10" s="1708">
        <f t="shared" si="1"/>
        <v>0</v>
      </c>
      <c r="I10" s="1708">
        <f t="shared" si="1"/>
        <v>4953</v>
      </c>
      <c r="J10" s="1708">
        <f t="shared" si="1"/>
        <v>0</v>
      </c>
      <c r="K10" s="1708">
        <f t="shared" si="1"/>
        <v>0</v>
      </c>
      <c r="L10" s="516"/>
    </row>
    <row r="11" spans="1:13" s="517" customFormat="1" ht="16.7" customHeight="1" thickTop="1" x14ac:dyDescent="0.2">
      <c r="A11" s="2126" t="s">
        <v>1238</v>
      </c>
      <c r="B11" s="2127"/>
      <c r="C11" s="1590"/>
      <c r="D11" s="1591"/>
      <c r="E11" s="1591"/>
      <c r="F11" s="1591"/>
      <c r="G11" s="1591"/>
      <c r="H11" s="1591"/>
      <c r="I11" s="1591"/>
      <c r="J11" s="1591"/>
      <c r="K11" s="1592"/>
      <c r="L11" s="516"/>
    </row>
    <row r="12" spans="1:13" ht="15.75" customHeight="1" x14ac:dyDescent="0.2">
      <c r="A12" s="1596" t="s">
        <v>476</v>
      </c>
      <c r="B12" s="1598">
        <v>1000</v>
      </c>
      <c r="C12" s="1762">
        <f>'Expenditures 15-22'!K33</f>
        <v>333094</v>
      </c>
      <c r="D12" s="518" t="s">
        <v>1231</v>
      </c>
      <c r="E12" s="468" t="s">
        <v>1231</v>
      </c>
      <c r="F12" s="468" t="s">
        <v>1231</v>
      </c>
      <c r="G12" s="1762">
        <f>'Expenditures 15-22'!K229</f>
        <v>7165</v>
      </c>
      <c r="H12" s="519"/>
      <c r="I12" s="468" t="s">
        <v>1231</v>
      </c>
      <c r="J12" s="468" t="s">
        <v>1231</v>
      </c>
      <c r="K12" s="519" t="s">
        <v>1231</v>
      </c>
      <c r="L12" s="347"/>
    </row>
    <row r="13" spans="1:13" ht="15.75" customHeight="1" x14ac:dyDescent="0.2">
      <c r="A13" s="1596" t="s">
        <v>477</v>
      </c>
      <c r="B13" s="1598">
        <v>2000</v>
      </c>
      <c r="C13" s="1763">
        <f>'Expenditures 15-22'!K74</f>
        <v>219200</v>
      </c>
      <c r="D13" s="1763">
        <f>'Expenditures 15-22'!K129</f>
        <v>27990</v>
      </c>
      <c r="E13" s="469" t="s">
        <v>1231</v>
      </c>
      <c r="F13" s="1763">
        <f>'Expenditures 15-22'!K184</f>
        <v>64280</v>
      </c>
      <c r="G13" s="1763">
        <f>'Expenditures 15-22'!K279</f>
        <v>16714</v>
      </c>
      <c r="H13" s="1763">
        <f>'Expenditures 15-22'!K303</f>
        <v>0</v>
      </c>
      <c r="I13" s="468" t="s">
        <v>1231</v>
      </c>
      <c r="J13" s="1763">
        <f>'Expenditures 15-22'!K330</f>
        <v>0</v>
      </c>
      <c r="K13" s="1767">
        <f>'Expenditures 15-22'!K352</f>
        <v>0</v>
      </c>
      <c r="L13" s="347"/>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131767</v>
      </c>
      <c r="D15" s="1763">
        <f>'Expenditures 15-22'!K139</f>
        <v>0</v>
      </c>
      <c r="E15" s="1763">
        <f>'Expenditures 15-22'!K160</f>
        <v>0</v>
      </c>
      <c r="F15" s="1763">
        <f>'Expenditures 15-22'!K196</f>
        <v>11891</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0</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684061</v>
      </c>
      <c r="D17" s="1708">
        <f t="shared" si="2"/>
        <v>27990</v>
      </c>
      <c r="E17" s="1708">
        <f t="shared" si="2"/>
        <v>0</v>
      </c>
      <c r="F17" s="1708">
        <f t="shared" si="2"/>
        <v>76171</v>
      </c>
      <c r="G17" s="1708">
        <f t="shared" si="2"/>
        <v>23879</v>
      </c>
      <c r="H17" s="1708">
        <f t="shared" si="2"/>
        <v>0</v>
      </c>
      <c r="I17" s="468"/>
      <c r="J17" s="1708">
        <f>SUM(J12:J16)</f>
        <v>0</v>
      </c>
      <c r="K17" s="1708">
        <f>SUM(K12:K16)</f>
        <v>0</v>
      </c>
      <c r="L17" s="347"/>
    </row>
    <row r="18" spans="1:12" ht="15" customHeight="1" thickTop="1" x14ac:dyDescent="0.2">
      <c r="A18" s="1764" t="s">
        <v>1753</v>
      </c>
      <c r="B18" s="1765">
        <v>4180</v>
      </c>
      <c r="C18" s="1762">
        <f t="shared" ref="C18:H18" si="3">C9</f>
        <v>182878</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866939</v>
      </c>
      <c r="D19" s="1708">
        <f t="shared" si="4"/>
        <v>27990</v>
      </c>
      <c r="E19" s="1708">
        <f t="shared" si="4"/>
        <v>0</v>
      </c>
      <c r="F19" s="1708">
        <f t="shared" si="4"/>
        <v>76171</v>
      </c>
      <c r="G19" s="1708">
        <f t="shared" si="4"/>
        <v>23879</v>
      </c>
      <c r="H19" s="1708">
        <f t="shared" si="4"/>
        <v>0</v>
      </c>
      <c r="I19" s="468"/>
      <c r="J19" s="1708">
        <f>SUM(J17:J18)</f>
        <v>0</v>
      </c>
      <c r="K19" s="1708">
        <f>SUM(K17:K18)</f>
        <v>0</v>
      </c>
      <c r="L19" s="347"/>
    </row>
    <row r="20" spans="1:12" ht="16.5" thickTop="1" thickBot="1" x14ac:dyDescent="0.25">
      <c r="A20" s="2142" t="s">
        <v>1754</v>
      </c>
      <c r="B20" s="2143"/>
      <c r="C20" s="1766">
        <f>C8-C17</f>
        <v>55199</v>
      </c>
      <c r="D20" s="1766">
        <f t="shared" ref="D20:K20" si="5">D8-D17</f>
        <v>6754</v>
      </c>
      <c r="E20" s="1766">
        <f t="shared" si="5"/>
        <v>0</v>
      </c>
      <c r="F20" s="1766">
        <f t="shared" si="5"/>
        <v>19881</v>
      </c>
      <c r="G20" s="1766">
        <f t="shared" si="5"/>
        <v>572</v>
      </c>
      <c r="H20" s="1766">
        <f t="shared" si="5"/>
        <v>0</v>
      </c>
      <c r="I20" s="1766">
        <f t="shared" si="5"/>
        <v>4953</v>
      </c>
      <c r="J20" s="1766">
        <f t="shared" si="5"/>
        <v>0</v>
      </c>
      <c r="K20" s="1766">
        <f t="shared" si="5"/>
        <v>0</v>
      </c>
      <c r="L20" s="347"/>
    </row>
    <row r="21" spans="1:12" ht="16.7" customHeight="1" thickTop="1" x14ac:dyDescent="0.2">
      <c r="A21" s="2154" t="s">
        <v>616</v>
      </c>
      <c r="B21" s="2155"/>
      <c r="C21" s="1590"/>
      <c r="D21" s="1591"/>
      <c r="E21" s="1591"/>
      <c r="F21" s="1591"/>
      <c r="G21" s="1591"/>
      <c r="H21" s="1591"/>
      <c r="I21" s="1591"/>
      <c r="J21" s="1591"/>
      <c r="K21" s="1592"/>
      <c r="L21" s="522"/>
    </row>
    <row r="22" spans="1:12" ht="15.75" customHeight="1" collapsed="1" x14ac:dyDescent="0.2">
      <c r="A22" s="2150" t="s">
        <v>617</v>
      </c>
      <c r="B22" s="2151"/>
      <c r="C22" s="476"/>
      <c r="D22" s="476"/>
      <c r="E22" s="476"/>
      <c r="F22" s="476"/>
      <c r="G22" s="476"/>
      <c r="H22" s="476"/>
      <c r="I22" s="476"/>
      <c r="J22" s="476"/>
      <c r="K22" s="476"/>
      <c r="L22" s="347"/>
    </row>
    <row r="23" spans="1:12" s="484" customFormat="1" ht="15.75" customHeight="1" x14ac:dyDescent="0.2">
      <c r="A23" s="2146" t="s">
        <v>311</v>
      </c>
      <c r="B23" s="2147"/>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1896</v>
      </c>
      <c r="B30" s="525">
        <v>7160</v>
      </c>
      <c r="C30" s="476"/>
      <c r="D30" s="467">
        <v>0</v>
      </c>
      <c r="E30" s="476"/>
      <c r="F30" s="476"/>
      <c r="G30" s="476"/>
      <c r="H30" s="476"/>
      <c r="I30" s="476"/>
      <c r="J30" s="476"/>
      <c r="K30" s="476"/>
      <c r="L30" s="522"/>
    </row>
    <row r="31" spans="1:12" s="484" customFormat="1" ht="26.25" x14ac:dyDescent="0.2">
      <c r="A31" s="1509" t="s">
        <v>1900</v>
      </c>
      <c r="B31" s="525">
        <v>7170</v>
      </c>
      <c r="C31" s="476"/>
      <c r="D31" s="476"/>
      <c r="E31" s="474">
        <v>0</v>
      </c>
      <c r="F31" s="476"/>
      <c r="G31" s="476"/>
      <c r="H31" s="476"/>
      <c r="I31" s="476"/>
      <c r="J31" s="476"/>
      <c r="K31" s="476"/>
      <c r="L31" s="522"/>
    </row>
    <row r="32" spans="1:12" s="484" customFormat="1" ht="15.75" customHeight="1" x14ac:dyDescent="0.2">
      <c r="A32" s="2148" t="s">
        <v>1038</v>
      </c>
      <c r="B32" s="2149"/>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6" t="s">
        <v>392</v>
      </c>
      <c r="B44" s="2157"/>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50" t="s">
        <v>110</v>
      </c>
      <c r="B45" s="2151"/>
      <c r="C45" s="526"/>
      <c r="D45" s="526"/>
      <c r="E45" s="526"/>
      <c r="F45" s="526"/>
      <c r="G45" s="526"/>
      <c r="H45" s="526"/>
      <c r="I45" s="526"/>
      <c r="J45" s="526"/>
      <c r="K45" s="526"/>
      <c r="L45" s="347"/>
    </row>
    <row r="46" spans="1:12" s="484" customFormat="1" ht="15.75" customHeight="1" x14ac:dyDescent="0.2">
      <c r="A46" s="2158" t="s">
        <v>111</v>
      </c>
      <c r="B46" s="2159"/>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1899</v>
      </c>
      <c r="B52" s="482">
        <v>8160</v>
      </c>
      <c r="C52" s="476"/>
      <c r="D52" s="476"/>
      <c r="E52" s="476"/>
      <c r="F52" s="476"/>
      <c r="G52" s="476"/>
      <c r="H52" s="476"/>
      <c r="I52" s="476"/>
      <c r="J52" s="476"/>
      <c r="K52" s="1763">
        <f>D30</f>
        <v>0</v>
      </c>
      <c r="L52" s="522"/>
    </row>
    <row r="53" spans="1:12" s="484" customFormat="1" ht="26.25" x14ac:dyDescent="0.2">
      <c r="A53" s="1510" t="s">
        <v>1898</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2" t="s">
        <v>460</v>
      </c>
      <c r="B76" s="2133"/>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4" t="s">
        <v>1239</v>
      </c>
      <c r="B77" s="2135"/>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8" t="s">
        <v>618</v>
      </c>
      <c r="B78" s="2139"/>
      <c r="C78" s="1722">
        <f t="shared" ref="C78:K78" si="9">C20+C77</f>
        <v>55199</v>
      </c>
      <c r="D78" s="1722">
        <f t="shared" si="9"/>
        <v>6754</v>
      </c>
      <c r="E78" s="1722">
        <f t="shared" si="9"/>
        <v>0</v>
      </c>
      <c r="F78" s="1722">
        <f t="shared" si="9"/>
        <v>19881</v>
      </c>
      <c r="G78" s="1722">
        <f t="shared" si="9"/>
        <v>572</v>
      </c>
      <c r="H78" s="1722">
        <f t="shared" si="9"/>
        <v>0</v>
      </c>
      <c r="I78" s="1722">
        <f t="shared" si="9"/>
        <v>4953</v>
      </c>
      <c r="J78" s="1722">
        <f t="shared" si="9"/>
        <v>0</v>
      </c>
      <c r="K78" s="1722">
        <f t="shared" si="9"/>
        <v>0</v>
      </c>
      <c r="L78" s="531"/>
    </row>
    <row r="79" spans="1:12" ht="13.5" thickTop="1" x14ac:dyDescent="0.2">
      <c r="A79" s="1514" t="s">
        <v>2072</v>
      </c>
      <c r="B79" s="532"/>
      <c r="C79" s="467">
        <v>78116</v>
      </c>
      <c r="D79" s="467">
        <v>8842</v>
      </c>
      <c r="E79" s="467">
        <v>0</v>
      </c>
      <c r="F79" s="467">
        <v>2527</v>
      </c>
      <c r="G79" s="467">
        <v>9420</v>
      </c>
      <c r="H79" s="467">
        <v>0</v>
      </c>
      <c r="I79" s="467">
        <v>560</v>
      </c>
      <c r="J79" s="467">
        <v>0</v>
      </c>
      <c r="K79" s="467">
        <v>0</v>
      </c>
      <c r="L79" s="347"/>
    </row>
    <row r="80" spans="1:12" x14ac:dyDescent="0.2">
      <c r="A80" s="2144" t="s">
        <v>1897</v>
      </c>
      <c r="B80" s="2145"/>
      <c r="C80" s="467">
        <v>0</v>
      </c>
      <c r="D80" s="467">
        <v>0</v>
      </c>
      <c r="E80" s="467">
        <v>0</v>
      </c>
      <c r="F80" s="467">
        <v>0</v>
      </c>
      <c r="G80" s="467">
        <v>0</v>
      </c>
      <c r="H80" s="467">
        <v>0</v>
      </c>
      <c r="I80" s="467">
        <v>0</v>
      </c>
      <c r="J80" s="467">
        <v>0</v>
      </c>
      <c r="K80" s="467">
        <v>0</v>
      </c>
      <c r="L80" s="347"/>
    </row>
    <row r="81" spans="1:12" ht="13.5" thickBot="1" x14ac:dyDescent="0.25">
      <c r="A81" s="2136" t="s">
        <v>2073</v>
      </c>
      <c r="B81" s="2137"/>
      <c r="C81" s="1708">
        <f>(SUM(C78:C80))</f>
        <v>133315</v>
      </c>
      <c r="D81" s="1708">
        <f>SUM(D78:D80)</f>
        <v>15596</v>
      </c>
      <c r="E81" s="1708">
        <f t="shared" ref="E81:K81" si="10">SUM(E78:E80)</f>
        <v>0</v>
      </c>
      <c r="F81" s="1708">
        <f t="shared" si="10"/>
        <v>22408</v>
      </c>
      <c r="G81" s="1708">
        <f t="shared" si="10"/>
        <v>9992</v>
      </c>
      <c r="H81" s="1708">
        <f t="shared" si="10"/>
        <v>0</v>
      </c>
      <c r="I81" s="1708">
        <f t="shared" si="10"/>
        <v>5513</v>
      </c>
      <c r="J81" s="1708">
        <f t="shared" si="10"/>
        <v>0</v>
      </c>
      <c r="K81" s="1708">
        <f t="shared" si="10"/>
        <v>0</v>
      </c>
      <c r="L81" s="347"/>
    </row>
    <row r="82" spans="1:12" ht="0.75" customHeight="1" thickTop="1" thickBot="1" x14ac:dyDescent="0.25">
      <c r="A82" s="534" t="s">
        <v>361</v>
      </c>
      <c r="B82" s="535"/>
      <c r="C82" s="536">
        <f>(C81-C79)</f>
        <v>55199</v>
      </c>
      <c r="D82" s="536">
        <f t="shared" ref="D82:K82" si="11">(D81-D79)</f>
        <v>6754</v>
      </c>
      <c r="E82" s="536">
        <f t="shared" si="11"/>
        <v>0</v>
      </c>
      <c r="F82" s="536">
        <f t="shared" si="11"/>
        <v>19881</v>
      </c>
      <c r="G82" s="536">
        <f t="shared" si="11"/>
        <v>572</v>
      </c>
      <c r="H82" s="536">
        <f t="shared" si="11"/>
        <v>0</v>
      </c>
      <c r="I82" s="536">
        <f t="shared" si="11"/>
        <v>4953</v>
      </c>
      <c r="J82" s="536">
        <f t="shared" si="11"/>
        <v>0</v>
      </c>
      <c r="K82" s="536">
        <f t="shared" si="11"/>
        <v>0</v>
      </c>
    </row>
    <row r="83" spans="1:12" ht="14.25" hidden="1" thickTop="1" thickBot="1" x14ac:dyDescent="0.25">
      <c r="A83" s="537" t="s">
        <v>362</v>
      </c>
      <c r="B83" s="464"/>
      <c r="C83" s="538">
        <f>C82/C81</f>
        <v>0.41404943179687209</v>
      </c>
      <c r="D83" s="538">
        <f t="shared" ref="D83:K83" si="12">D82/D81</f>
        <v>0.43305975891254167</v>
      </c>
      <c r="E83" s="538" t="e">
        <f t="shared" si="12"/>
        <v>#DIV/0!</v>
      </c>
      <c r="F83" s="538">
        <f t="shared" si="12"/>
        <v>0.88722777579435919</v>
      </c>
      <c r="G83" s="538">
        <f t="shared" si="12"/>
        <v>5.7245796637309845E-2</v>
      </c>
      <c r="H83" s="538" t="e">
        <f t="shared" si="12"/>
        <v>#DIV/0!</v>
      </c>
      <c r="I83" s="538">
        <f t="shared" si="12"/>
        <v>0.89842191184473064</v>
      </c>
      <c r="J83" s="538" t="e">
        <f t="shared" si="12"/>
        <v>#DIV/0!</v>
      </c>
      <c r="K83" s="538" t="e">
        <f t="shared" si="12"/>
        <v>#DIV/0!</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32" sqref="J32"/>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0" t="s">
        <v>1904</v>
      </c>
      <c r="B1" s="452"/>
      <c r="C1" s="453" t="s">
        <v>445</v>
      </c>
      <c r="D1" s="453" t="s">
        <v>446</v>
      </c>
      <c r="E1" s="453" t="s">
        <v>447</v>
      </c>
      <c r="F1" s="453" t="s">
        <v>448</v>
      </c>
      <c r="G1" s="453" t="s">
        <v>449</v>
      </c>
      <c r="H1" s="453" t="s">
        <v>450</v>
      </c>
      <c r="I1" s="453" t="s">
        <v>451</v>
      </c>
      <c r="J1" s="453" t="s">
        <v>452</v>
      </c>
      <c r="K1" s="453" t="s">
        <v>780</v>
      </c>
    </row>
    <row r="2" spans="1:12" ht="36" x14ac:dyDescent="0.2">
      <c r="A2" s="2141"/>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368184</v>
      </c>
      <c r="D5" s="480">
        <v>34643</v>
      </c>
      <c r="E5" s="480">
        <v>0</v>
      </c>
      <c r="F5" s="546">
        <v>21281</v>
      </c>
      <c r="G5" s="466">
        <v>4950</v>
      </c>
      <c r="H5" s="466">
        <v>0</v>
      </c>
      <c r="I5" s="466">
        <v>4950</v>
      </c>
      <c r="J5" s="466">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7">
        <v>1140</v>
      </c>
      <c r="C7" s="466">
        <v>2475</v>
      </c>
      <c r="D7" s="466">
        <v>0</v>
      </c>
      <c r="E7" s="468"/>
      <c r="F7" s="467">
        <v>0</v>
      </c>
      <c r="G7" s="467">
        <v>0</v>
      </c>
      <c r="H7" s="467">
        <v>0</v>
      </c>
      <c r="I7" s="468"/>
      <c r="J7" s="468"/>
      <c r="K7" s="468"/>
    </row>
    <row r="8" spans="1:12" x14ac:dyDescent="0.2">
      <c r="A8" s="463" t="s">
        <v>433</v>
      </c>
      <c r="B8" s="470">
        <v>1150</v>
      </c>
      <c r="C8" s="475"/>
      <c r="D8" s="475"/>
      <c r="E8" s="476"/>
      <c r="F8" s="476"/>
      <c r="G8" s="480">
        <v>18510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370659</v>
      </c>
      <c r="D12" s="1727">
        <f t="shared" si="0"/>
        <v>34643</v>
      </c>
      <c r="E12" s="1727">
        <f t="shared" si="0"/>
        <v>0</v>
      </c>
      <c r="F12" s="1727">
        <f t="shared" si="0"/>
        <v>21281</v>
      </c>
      <c r="G12" s="1727">
        <f t="shared" si="0"/>
        <v>23460</v>
      </c>
      <c r="H12" s="1727">
        <f t="shared" si="0"/>
        <v>0</v>
      </c>
      <c r="I12" s="1727">
        <f t="shared" si="0"/>
        <v>4950</v>
      </c>
      <c r="J12" s="1727">
        <f t="shared" si="0"/>
        <v>0</v>
      </c>
      <c r="K12" s="1708">
        <f t="shared" si="0"/>
        <v>0</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0</v>
      </c>
      <c r="D16" s="466">
        <v>0</v>
      </c>
      <c r="E16" s="466">
        <v>0</v>
      </c>
      <c r="F16" s="466">
        <v>4214</v>
      </c>
      <c r="G16" s="466">
        <v>975</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0</v>
      </c>
      <c r="D18" s="1730">
        <f t="shared" ref="D18:K18" si="1">SUM(D14:D17)</f>
        <v>0</v>
      </c>
      <c r="E18" s="1730">
        <f t="shared" si="1"/>
        <v>0</v>
      </c>
      <c r="F18" s="1730">
        <f t="shared" si="1"/>
        <v>4214</v>
      </c>
      <c r="G18" s="1730">
        <f t="shared" si="1"/>
        <v>975</v>
      </c>
      <c r="H18" s="1730">
        <f t="shared" si="1"/>
        <v>0</v>
      </c>
      <c r="I18" s="1730">
        <f t="shared" si="1"/>
        <v>0</v>
      </c>
      <c r="J18" s="1730">
        <f t="shared" si="1"/>
        <v>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3395</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3395</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262</v>
      </c>
      <c r="D65" s="466">
        <v>26</v>
      </c>
      <c r="E65" s="466">
        <v>0</v>
      </c>
      <c r="F65" s="467">
        <v>15</v>
      </c>
      <c r="G65" s="466">
        <v>16</v>
      </c>
      <c r="H65" s="466">
        <v>0</v>
      </c>
      <c r="I65" s="466">
        <v>3</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262</v>
      </c>
      <c r="D67" s="1708">
        <f t="shared" ref="D67:K67" si="2">SUM(D65:D66)</f>
        <v>26</v>
      </c>
      <c r="E67" s="1708">
        <f t="shared" si="2"/>
        <v>0</v>
      </c>
      <c r="F67" s="1708">
        <f t="shared" si="2"/>
        <v>15</v>
      </c>
      <c r="G67" s="1708">
        <f t="shared" si="2"/>
        <v>16</v>
      </c>
      <c r="H67" s="1708">
        <f t="shared" si="2"/>
        <v>0</v>
      </c>
      <c r="I67" s="1708">
        <f t="shared" si="2"/>
        <v>3</v>
      </c>
      <c r="J67" s="1708">
        <f t="shared" si="2"/>
        <v>0</v>
      </c>
      <c r="K67" s="1708">
        <f t="shared" si="2"/>
        <v>0</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589</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1800</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2389</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0</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0</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1784</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129</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1913</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75</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5611</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209</v>
      </c>
      <c r="D107" s="466">
        <v>0</v>
      </c>
      <c r="E107" s="466">
        <v>0</v>
      </c>
      <c r="F107" s="466">
        <v>0</v>
      </c>
      <c r="G107" s="466">
        <v>0</v>
      </c>
      <c r="H107" s="466">
        <v>0</v>
      </c>
      <c r="I107" s="466">
        <v>0</v>
      </c>
      <c r="J107" s="467">
        <v>0</v>
      </c>
      <c r="K107" s="466">
        <v>0</v>
      </c>
    </row>
    <row r="108" spans="1:12" ht="12.75" customHeight="1" thickBot="1" x14ac:dyDescent="0.25">
      <c r="A108" s="1728" t="s">
        <v>508</v>
      </c>
      <c r="B108" s="1732"/>
      <c r="C108" s="1727">
        <f>SUM(C95:C107)</f>
        <v>5820</v>
      </c>
      <c r="D108" s="1727">
        <f t="shared" ref="D108:K108" si="3">SUM(D95:D107)</f>
        <v>75</v>
      </c>
      <c r="E108" s="1727">
        <f t="shared" si="3"/>
        <v>0</v>
      </c>
      <c r="F108" s="1727">
        <f t="shared" si="3"/>
        <v>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384438</v>
      </c>
      <c r="D109" s="1735">
        <f t="shared" si="4"/>
        <v>34744</v>
      </c>
      <c r="E109" s="1735">
        <f t="shared" si="4"/>
        <v>0</v>
      </c>
      <c r="F109" s="1735">
        <f t="shared" si="4"/>
        <v>25510</v>
      </c>
      <c r="G109" s="1735">
        <f t="shared" si="4"/>
        <v>24451</v>
      </c>
      <c r="H109" s="1735">
        <f t="shared" si="4"/>
        <v>0</v>
      </c>
      <c r="I109" s="1735">
        <f t="shared" si="4"/>
        <v>4953</v>
      </c>
      <c r="J109" s="1735">
        <f t="shared" si="4"/>
        <v>0</v>
      </c>
      <c r="K109" s="1722">
        <f t="shared" si="4"/>
        <v>0</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223099</v>
      </c>
      <c r="D117" s="480">
        <v>0</v>
      </c>
      <c r="E117" s="466">
        <v>0</v>
      </c>
      <c r="F117" s="480">
        <v>21898</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6"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223099</v>
      </c>
      <c r="D121" s="1727">
        <f t="shared" si="5"/>
        <v>0</v>
      </c>
      <c r="E121" s="1727">
        <f t="shared" si="5"/>
        <v>0</v>
      </c>
      <c r="F121" s="1727">
        <f t="shared" si="5"/>
        <v>21898</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907</v>
      </c>
      <c r="D124" s="559"/>
      <c r="E124" s="468"/>
      <c r="F124" s="546">
        <v>0</v>
      </c>
      <c r="G124" s="468"/>
      <c r="H124" s="468"/>
      <c r="I124" s="468"/>
      <c r="J124" s="468"/>
      <c r="K124" s="468"/>
    </row>
    <row r="125" spans="1:11" ht="12.75" customHeight="1" x14ac:dyDescent="0.2">
      <c r="A125" s="463" t="s">
        <v>1521</v>
      </c>
      <c r="B125" s="560">
        <v>3105</v>
      </c>
      <c r="C125" s="466">
        <v>5109</v>
      </c>
      <c r="D125" s="559"/>
      <c r="E125" s="468"/>
      <c r="F125" s="466">
        <v>0</v>
      </c>
      <c r="G125" s="468"/>
      <c r="H125" s="468"/>
      <c r="I125" s="468"/>
      <c r="J125" s="468"/>
      <c r="K125" s="468"/>
    </row>
    <row r="126" spans="1:11" ht="12.75" customHeight="1" x14ac:dyDescent="0.2">
      <c r="A126" s="463" t="s">
        <v>922</v>
      </c>
      <c r="B126" s="560">
        <v>3110</v>
      </c>
      <c r="C126" s="549">
        <v>2778</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296</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9090</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0</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716</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29802</v>
      </c>
      <c r="G151" s="467">
        <v>0</v>
      </c>
      <c r="H151" s="468"/>
      <c r="I151" s="468"/>
      <c r="J151" s="468"/>
      <c r="K151" s="468"/>
    </row>
    <row r="152" spans="1:11" ht="12.75" customHeight="1" x14ac:dyDescent="0.2">
      <c r="A152" s="463" t="s">
        <v>1117</v>
      </c>
      <c r="B152" s="560">
        <v>3510</v>
      </c>
      <c r="C152" s="549">
        <v>0</v>
      </c>
      <c r="D152" s="466">
        <v>0</v>
      </c>
      <c r="E152" s="559"/>
      <c r="F152" s="466">
        <v>18842</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48644</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60" t="s">
        <v>418</v>
      </c>
      <c r="B172" s="2161"/>
      <c r="C172" s="1742">
        <f t="shared" ref="C172:K172" si="6">SUM(C131,C140,C144,C145:C149,C154,C155:C170,C171)</f>
        <v>9806</v>
      </c>
      <c r="D172" s="1742">
        <f t="shared" si="6"/>
        <v>0</v>
      </c>
      <c r="E172" s="1742">
        <f t="shared" si="6"/>
        <v>0</v>
      </c>
      <c r="F172" s="1742">
        <f t="shared" si="6"/>
        <v>48644</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232905</v>
      </c>
      <c r="D173" s="1735">
        <f>SUM(D121,D172)</f>
        <v>0</v>
      </c>
      <c r="E173" s="1735">
        <f>SUM(E121,E172)</f>
        <v>0</v>
      </c>
      <c r="F173" s="1735">
        <f t="shared" ref="F173:K173" si="7">SUM(F121,F172)</f>
        <v>70542</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2" t="s">
        <v>1572</v>
      </c>
      <c r="B175" s="2163"/>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6" t="s">
        <v>1764</v>
      </c>
      <c r="B178" s="2167"/>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0" t="s">
        <v>1763</v>
      </c>
      <c r="B179" s="2171"/>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31715</v>
      </c>
      <c r="D183" s="466">
        <v>0</v>
      </c>
      <c r="E183" s="468"/>
      <c r="F183" s="466">
        <v>0</v>
      </c>
      <c r="G183" s="466">
        <v>0</v>
      </c>
      <c r="H183" s="466">
        <v>0</v>
      </c>
      <c r="I183" s="468"/>
      <c r="J183" s="468"/>
      <c r="K183" s="466">
        <v>0</v>
      </c>
    </row>
    <row r="184" spans="1:11" ht="13.5" thickBot="1" x14ac:dyDescent="0.25">
      <c r="A184" s="2168" t="s">
        <v>818</v>
      </c>
      <c r="B184" s="2169"/>
      <c r="C184" s="1727">
        <f>SUM(C180:C183)</f>
        <v>31715</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4" t="s">
        <v>1905</v>
      </c>
      <c r="B185" s="2165"/>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22842</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16392</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39234</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25540</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25540</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10927</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10927</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2453</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863</v>
      </c>
      <c r="D270" s="574">
        <v>0</v>
      </c>
      <c r="E270" s="468"/>
      <c r="F270" s="574">
        <v>0</v>
      </c>
      <c r="G270" s="574">
        <v>0</v>
      </c>
      <c r="H270" s="468"/>
      <c r="I270" s="468"/>
      <c r="J270" s="468"/>
      <c r="K270" s="468"/>
    </row>
    <row r="271" spans="1:11" ht="12.75" customHeight="1" thickTop="1" thickBot="1" x14ac:dyDescent="0.25">
      <c r="A271" s="463" t="s">
        <v>395</v>
      </c>
      <c r="B271" s="470">
        <v>4992</v>
      </c>
      <c r="C271" s="573">
        <v>11185</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90202</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121917</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739260</v>
      </c>
      <c r="D275" s="1735">
        <f t="shared" si="12"/>
        <v>34744</v>
      </c>
      <c r="E275" s="1735">
        <f t="shared" si="12"/>
        <v>0</v>
      </c>
      <c r="F275" s="1735">
        <f t="shared" si="12"/>
        <v>96052</v>
      </c>
      <c r="G275" s="1735">
        <f t="shared" si="12"/>
        <v>24451</v>
      </c>
      <c r="H275" s="1735">
        <f t="shared" si="12"/>
        <v>0</v>
      </c>
      <c r="I275" s="1735">
        <f t="shared" si="12"/>
        <v>4953</v>
      </c>
      <c r="J275" s="1735">
        <f t="shared" si="12"/>
        <v>0</v>
      </c>
      <c r="K275" s="1722">
        <f t="shared" si="12"/>
        <v>0</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32" sqref="J32"/>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0"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2"/>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8" t="s">
        <v>315</v>
      </c>
      <c r="B3" s="2179"/>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275724</v>
      </c>
      <c r="D5" s="466">
        <v>2823</v>
      </c>
      <c r="E5" s="466">
        <v>8422</v>
      </c>
      <c r="F5" s="466">
        <v>34303</v>
      </c>
      <c r="G5" s="466">
        <v>11822</v>
      </c>
      <c r="H5" s="466">
        <v>0</v>
      </c>
      <c r="I5" s="467">
        <v>0</v>
      </c>
      <c r="J5" s="467">
        <v>0</v>
      </c>
      <c r="K5" s="1691">
        <f>SUM(C5:J5)</f>
        <v>333094</v>
      </c>
      <c r="L5" s="466">
        <v>333563</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0</v>
      </c>
      <c r="D8" s="466">
        <v>0</v>
      </c>
      <c r="E8" s="466">
        <v>0</v>
      </c>
      <c r="F8" s="466">
        <v>0</v>
      </c>
      <c r="G8" s="466">
        <v>0</v>
      </c>
      <c r="H8" s="466">
        <v>0</v>
      </c>
      <c r="I8" s="467">
        <v>0</v>
      </c>
      <c r="J8" s="467">
        <v>0</v>
      </c>
      <c r="K8" s="1691">
        <f t="shared" si="0"/>
        <v>0</v>
      </c>
      <c r="L8" s="466">
        <v>0</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0</v>
      </c>
      <c r="D10" s="466">
        <v>0</v>
      </c>
      <c r="E10" s="466">
        <v>0</v>
      </c>
      <c r="F10" s="466">
        <v>0</v>
      </c>
      <c r="G10" s="466">
        <v>0</v>
      </c>
      <c r="H10" s="466">
        <v>0</v>
      </c>
      <c r="I10" s="467">
        <v>0</v>
      </c>
      <c r="J10" s="467">
        <v>0</v>
      </c>
      <c r="K10" s="1691">
        <f t="shared" si="0"/>
        <v>0</v>
      </c>
      <c r="L10" s="466">
        <v>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0</v>
      </c>
      <c r="F13" s="466">
        <v>0</v>
      </c>
      <c r="G13" s="466">
        <v>0</v>
      </c>
      <c r="H13" s="466">
        <v>0</v>
      </c>
      <c r="I13" s="467">
        <v>0</v>
      </c>
      <c r="J13" s="467">
        <v>0</v>
      </c>
      <c r="K13" s="1691">
        <f t="shared" si="0"/>
        <v>0</v>
      </c>
      <c r="L13" s="466">
        <v>0</v>
      </c>
    </row>
    <row r="14" spans="1:14" x14ac:dyDescent="0.2">
      <c r="A14" s="1524" t="s">
        <v>1020</v>
      </c>
      <c r="B14" s="613">
        <v>1500</v>
      </c>
      <c r="C14" s="467">
        <v>0</v>
      </c>
      <c r="D14" s="466">
        <v>0</v>
      </c>
      <c r="E14" s="466">
        <v>0</v>
      </c>
      <c r="F14" s="466">
        <v>0</v>
      </c>
      <c r="G14" s="466">
        <v>0</v>
      </c>
      <c r="H14" s="466">
        <v>0</v>
      </c>
      <c r="I14" s="467">
        <v>0</v>
      </c>
      <c r="J14" s="467">
        <v>0</v>
      </c>
      <c r="K14" s="1691">
        <f t="shared" si="0"/>
        <v>0</v>
      </c>
      <c r="L14" s="466">
        <v>0</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275724</v>
      </c>
      <c r="D33" s="1690">
        <f t="shared" ref="D33:L33" si="1">SUM(D5:D32)</f>
        <v>2823</v>
      </c>
      <c r="E33" s="1690">
        <f t="shared" si="1"/>
        <v>8422</v>
      </c>
      <c r="F33" s="1690">
        <f t="shared" si="1"/>
        <v>34303</v>
      </c>
      <c r="G33" s="1690">
        <f t="shared" si="1"/>
        <v>11822</v>
      </c>
      <c r="H33" s="1690">
        <f t="shared" si="1"/>
        <v>0</v>
      </c>
      <c r="I33" s="1690">
        <f t="shared" si="1"/>
        <v>0</v>
      </c>
      <c r="J33" s="1690">
        <f t="shared" si="1"/>
        <v>0</v>
      </c>
      <c r="K33" s="1690">
        <f t="shared" si="1"/>
        <v>333094</v>
      </c>
      <c r="L33" s="1690">
        <f t="shared" si="1"/>
        <v>333563</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0</v>
      </c>
      <c r="D37" s="466">
        <v>0</v>
      </c>
      <c r="E37" s="466">
        <v>0</v>
      </c>
      <c r="F37" s="466">
        <v>0</v>
      </c>
      <c r="G37" s="466">
        <v>0</v>
      </c>
      <c r="H37" s="466">
        <v>0</v>
      </c>
      <c r="I37" s="467">
        <v>0</v>
      </c>
      <c r="J37" s="467">
        <v>0</v>
      </c>
      <c r="K37" s="1691">
        <f t="shared" si="2"/>
        <v>0</v>
      </c>
      <c r="L37" s="466">
        <v>0</v>
      </c>
    </row>
    <row r="38" spans="1:14" x14ac:dyDescent="0.2">
      <c r="A38" s="1524" t="s">
        <v>207</v>
      </c>
      <c r="B38" s="613">
        <v>2130</v>
      </c>
      <c r="C38" s="466">
        <v>0</v>
      </c>
      <c r="D38" s="466">
        <v>0</v>
      </c>
      <c r="E38" s="466">
        <v>0</v>
      </c>
      <c r="F38" s="466">
        <v>0</v>
      </c>
      <c r="G38" s="466">
        <v>0</v>
      </c>
      <c r="H38" s="466">
        <v>0</v>
      </c>
      <c r="I38" s="467">
        <v>0</v>
      </c>
      <c r="J38" s="467">
        <v>0</v>
      </c>
      <c r="K38" s="1691">
        <f t="shared" si="2"/>
        <v>0</v>
      </c>
      <c r="L38" s="466">
        <v>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18573</v>
      </c>
      <c r="D40" s="466">
        <v>0</v>
      </c>
      <c r="E40" s="466">
        <v>0</v>
      </c>
      <c r="F40" s="466">
        <v>107</v>
      </c>
      <c r="G40" s="466">
        <v>0</v>
      </c>
      <c r="H40" s="466">
        <v>0</v>
      </c>
      <c r="I40" s="467">
        <v>0</v>
      </c>
      <c r="J40" s="467">
        <v>0</v>
      </c>
      <c r="K40" s="1691">
        <f t="shared" si="2"/>
        <v>18680</v>
      </c>
      <c r="L40" s="466">
        <v>18680</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18573</v>
      </c>
      <c r="D42" s="1690">
        <f t="shared" ref="D42:L42" si="3">SUM(D36:D41)</f>
        <v>0</v>
      </c>
      <c r="E42" s="1690">
        <f t="shared" si="3"/>
        <v>0</v>
      </c>
      <c r="F42" s="1690">
        <f t="shared" si="3"/>
        <v>107</v>
      </c>
      <c r="G42" s="1690">
        <f t="shared" si="3"/>
        <v>0</v>
      </c>
      <c r="H42" s="1690">
        <f t="shared" si="3"/>
        <v>0</v>
      </c>
      <c r="I42" s="1690">
        <f t="shared" si="3"/>
        <v>0</v>
      </c>
      <c r="J42" s="1690">
        <f t="shared" si="3"/>
        <v>0</v>
      </c>
      <c r="K42" s="1690">
        <f t="shared" si="3"/>
        <v>18680</v>
      </c>
      <c r="L42" s="1690">
        <f t="shared" si="3"/>
        <v>18680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1760</v>
      </c>
      <c r="E44" s="480">
        <v>1215</v>
      </c>
      <c r="F44" s="480">
        <v>0</v>
      </c>
      <c r="G44" s="480">
        <v>0</v>
      </c>
      <c r="H44" s="480">
        <v>0</v>
      </c>
      <c r="I44" s="467">
        <v>0</v>
      </c>
      <c r="J44" s="467">
        <v>0</v>
      </c>
      <c r="K44" s="1692">
        <f>SUM(C44:J44)</f>
        <v>2975</v>
      </c>
      <c r="L44" s="480">
        <v>2975</v>
      </c>
    </row>
    <row r="45" spans="1:14" x14ac:dyDescent="0.2">
      <c r="A45" s="1524" t="s">
        <v>869</v>
      </c>
      <c r="B45" s="613">
        <v>2220</v>
      </c>
      <c r="C45" s="467">
        <v>0</v>
      </c>
      <c r="D45" s="466">
        <v>0</v>
      </c>
      <c r="E45" s="466">
        <v>0</v>
      </c>
      <c r="F45" s="466">
        <v>299</v>
      </c>
      <c r="G45" s="466">
        <v>0</v>
      </c>
      <c r="H45" s="466">
        <v>0</v>
      </c>
      <c r="I45" s="467">
        <v>0</v>
      </c>
      <c r="J45" s="467">
        <v>0</v>
      </c>
      <c r="K45" s="1692">
        <f>SUM(C45:J45)</f>
        <v>299</v>
      </c>
      <c r="L45" s="466">
        <v>299</v>
      </c>
    </row>
    <row r="46" spans="1:14" x14ac:dyDescent="0.2">
      <c r="A46" s="1524" t="s">
        <v>870</v>
      </c>
      <c r="B46" s="613">
        <v>2230</v>
      </c>
      <c r="C46" s="467">
        <v>0</v>
      </c>
      <c r="D46" s="466">
        <v>0</v>
      </c>
      <c r="E46" s="466">
        <v>1704</v>
      </c>
      <c r="F46" s="466">
        <v>3209</v>
      </c>
      <c r="G46" s="466">
        <v>0</v>
      </c>
      <c r="H46" s="466">
        <v>0</v>
      </c>
      <c r="I46" s="467">
        <v>0</v>
      </c>
      <c r="J46" s="467">
        <v>0</v>
      </c>
      <c r="K46" s="1692">
        <f>SUM(C46:J46)</f>
        <v>4913</v>
      </c>
      <c r="L46" s="466">
        <v>4913</v>
      </c>
    </row>
    <row r="47" spans="1:14" ht="12.75" customHeight="1" thickBot="1" x14ac:dyDescent="0.25">
      <c r="A47" s="1688" t="s">
        <v>582</v>
      </c>
      <c r="B47" s="1689" t="s">
        <v>32</v>
      </c>
      <c r="C47" s="1690">
        <f>SUM(C44:C46)</f>
        <v>0</v>
      </c>
      <c r="D47" s="1690">
        <f t="shared" ref="D47:K47" si="4">SUM(D44:D46)</f>
        <v>1760</v>
      </c>
      <c r="E47" s="1690">
        <f t="shared" si="4"/>
        <v>2919</v>
      </c>
      <c r="F47" s="1690">
        <f t="shared" si="4"/>
        <v>3508</v>
      </c>
      <c r="G47" s="1690">
        <f t="shared" si="4"/>
        <v>0</v>
      </c>
      <c r="H47" s="1690">
        <f t="shared" si="4"/>
        <v>0</v>
      </c>
      <c r="I47" s="1690">
        <f t="shared" si="4"/>
        <v>0</v>
      </c>
      <c r="J47" s="1690">
        <f t="shared" si="4"/>
        <v>0</v>
      </c>
      <c r="K47" s="1690">
        <f t="shared" si="4"/>
        <v>8187</v>
      </c>
      <c r="L47" s="1690">
        <f>SUM(L44:L46)</f>
        <v>8187</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0</v>
      </c>
      <c r="D49" s="480">
        <v>0</v>
      </c>
      <c r="E49" s="480">
        <v>6459</v>
      </c>
      <c r="F49" s="480">
        <v>169</v>
      </c>
      <c r="G49" s="480">
        <v>0</v>
      </c>
      <c r="H49" s="480">
        <v>1963</v>
      </c>
      <c r="I49" s="467">
        <v>0</v>
      </c>
      <c r="J49" s="467">
        <v>0</v>
      </c>
      <c r="K49" s="1692">
        <f>SUM(C49:J49)</f>
        <v>8591</v>
      </c>
      <c r="L49" s="466">
        <v>8591</v>
      </c>
    </row>
    <row r="50" spans="1:14" x14ac:dyDescent="0.2">
      <c r="A50" s="1524" t="s">
        <v>872</v>
      </c>
      <c r="B50" s="613">
        <v>2320</v>
      </c>
      <c r="C50" s="466">
        <v>42500</v>
      </c>
      <c r="D50" s="466">
        <v>0</v>
      </c>
      <c r="E50" s="466">
        <v>621</v>
      </c>
      <c r="F50" s="466">
        <v>0</v>
      </c>
      <c r="G50" s="466">
        <v>0</v>
      </c>
      <c r="H50" s="466">
        <v>0</v>
      </c>
      <c r="I50" s="467">
        <v>0</v>
      </c>
      <c r="J50" s="467">
        <v>0</v>
      </c>
      <c r="K50" s="1692">
        <f>SUM(C50:J50)</f>
        <v>43121</v>
      </c>
      <c r="L50" s="466">
        <v>43121</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18386</v>
      </c>
      <c r="F52" s="474">
        <v>0</v>
      </c>
      <c r="G52" s="474">
        <v>0</v>
      </c>
      <c r="H52" s="474">
        <v>0</v>
      </c>
      <c r="I52" s="474">
        <v>0</v>
      </c>
      <c r="J52" s="474">
        <v>0</v>
      </c>
      <c r="K52" s="1692">
        <f>SUM(C52:J52)</f>
        <v>18386</v>
      </c>
      <c r="L52" s="466">
        <v>18386</v>
      </c>
    </row>
    <row r="53" spans="1:14" ht="12.75" customHeight="1" thickBot="1" x14ac:dyDescent="0.25">
      <c r="A53" s="1688" t="s">
        <v>741</v>
      </c>
      <c r="B53" s="1689" t="s">
        <v>33</v>
      </c>
      <c r="C53" s="1690">
        <f>SUM(C49:C52)</f>
        <v>42500</v>
      </c>
      <c r="D53" s="1690">
        <f t="shared" ref="D53:L53" si="5">SUM(D49:D52)</f>
        <v>0</v>
      </c>
      <c r="E53" s="1690">
        <f t="shared" si="5"/>
        <v>25466</v>
      </c>
      <c r="F53" s="1690">
        <f t="shared" si="5"/>
        <v>169</v>
      </c>
      <c r="G53" s="1690">
        <f t="shared" si="5"/>
        <v>0</v>
      </c>
      <c r="H53" s="1690">
        <f t="shared" si="5"/>
        <v>1963</v>
      </c>
      <c r="I53" s="1690">
        <f t="shared" si="5"/>
        <v>0</v>
      </c>
      <c r="J53" s="1690">
        <f t="shared" si="5"/>
        <v>0</v>
      </c>
      <c r="K53" s="1690">
        <f t="shared" si="5"/>
        <v>70098</v>
      </c>
      <c r="L53" s="1690">
        <f t="shared" si="5"/>
        <v>70098</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0</v>
      </c>
      <c r="D55" s="480">
        <v>0</v>
      </c>
      <c r="E55" s="480">
        <v>0</v>
      </c>
      <c r="F55" s="480">
        <v>0</v>
      </c>
      <c r="G55" s="480">
        <v>0</v>
      </c>
      <c r="H55" s="480">
        <v>0</v>
      </c>
      <c r="I55" s="467">
        <v>0</v>
      </c>
      <c r="J55" s="467">
        <v>0</v>
      </c>
      <c r="K55" s="1692">
        <f>SUM(C55:J55)</f>
        <v>0</v>
      </c>
      <c r="L55" s="480">
        <v>0</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0</v>
      </c>
      <c r="D57" s="1694">
        <f t="shared" ref="D57:K57" si="6">SUM(D55:D56)</f>
        <v>0</v>
      </c>
      <c r="E57" s="1694">
        <f t="shared" si="6"/>
        <v>0</v>
      </c>
      <c r="F57" s="1694">
        <f t="shared" si="6"/>
        <v>0</v>
      </c>
      <c r="G57" s="1694">
        <f t="shared" si="6"/>
        <v>0</v>
      </c>
      <c r="H57" s="1694">
        <f t="shared" si="6"/>
        <v>0</v>
      </c>
      <c r="I57" s="1694">
        <f t="shared" si="6"/>
        <v>0</v>
      </c>
      <c r="J57" s="1694">
        <f t="shared" si="6"/>
        <v>0</v>
      </c>
      <c r="K57" s="1694">
        <f t="shared" si="6"/>
        <v>0</v>
      </c>
      <c r="L57" s="1690">
        <f>SUM(L55:L56)</f>
        <v>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43925</v>
      </c>
      <c r="D60" s="466">
        <v>0</v>
      </c>
      <c r="E60" s="466">
        <v>380</v>
      </c>
      <c r="F60" s="466">
        <v>495</v>
      </c>
      <c r="G60" s="466">
        <v>0</v>
      </c>
      <c r="H60" s="466">
        <v>0</v>
      </c>
      <c r="I60" s="467">
        <v>0</v>
      </c>
      <c r="J60" s="467">
        <v>0</v>
      </c>
      <c r="K60" s="1692">
        <f t="shared" si="7"/>
        <v>44800</v>
      </c>
      <c r="L60" s="466">
        <v>44800</v>
      </c>
      <c r="M60" s="608"/>
      <c r="N60" s="608"/>
    </row>
    <row r="61" spans="1:14" s="343" customFormat="1" x14ac:dyDescent="0.2">
      <c r="A61" s="1524" t="s">
        <v>206</v>
      </c>
      <c r="B61" s="613">
        <v>2540</v>
      </c>
      <c r="C61" s="467">
        <v>36322</v>
      </c>
      <c r="D61" s="466">
        <v>0</v>
      </c>
      <c r="E61" s="466">
        <v>639</v>
      </c>
      <c r="F61" s="466">
        <v>0</v>
      </c>
      <c r="G61" s="466">
        <v>0</v>
      </c>
      <c r="H61" s="466">
        <v>0</v>
      </c>
      <c r="I61" s="467">
        <v>0</v>
      </c>
      <c r="J61" s="467">
        <v>0</v>
      </c>
      <c r="K61" s="1692">
        <f t="shared" si="7"/>
        <v>36961</v>
      </c>
      <c r="L61" s="466">
        <v>37462</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22251</v>
      </c>
      <c r="D63" s="466">
        <v>0</v>
      </c>
      <c r="E63" s="466">
        <v>649</v>
      </c>
      <c r="F63" s="466">
        <v>17574</v>
      </c>
      <c r="G63" s="466">
        <v>0</v>
      </c>
      <c r="H63" s="466">
        <v>0</v>
      </c>
      <c r="I63" s="467">
        <v>0</v>
      </c>
      <c r="J63" s="467">
        <v>0</v>
      </c>
      <c r="K63" s="1692">
        <f t="shared" si="7"/>
        <v>40474</v>
      </c>
      <c r="L63" s="466">
        <v>40474</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102498</v>
      </c>
      <c r="D65" s="1690">
        <f t="shared" ref="D65:L65" si="8">SUM(D59:D64)</f>
        <v>0</v>
      </c>
      <c r="E65" s="1690">
        <f t="shared" si="8"/>
        <v>1668</v>
      </c>
      <c r="F65" s="1690">
        <f t="shared" si="8"/>
        <v>18069</v>
      </c>
      <c r="G65" s="1690">
        <f t="shared" si="8"/>
        <v>0</v>
      </c>
      <c r="H65" s="1690">
        <f t="shared" si="8"/>
        <v>0</v>
      </c>
      <c r="I65" s="1690">
        <f t="shared" si="8"/>
        <v>0</v>
      </c>
      <c r="J65" s="1690">
        <f t="shared" si="8"/>
        <v>0</v>
      </c>
      <c r="K65" s="1690">
        <f t="shared" si="8"/>
        <v>122235</v>
      </c>
      <c r="L65" s="1690">
        <f t="shared" si="8"/>
        <v>122736</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163571</v>
      </c>
      <c r="D74" s="1697">
        <f t="shared" ref="D74:K74" si="10">SUM(D42,D47,D53,D57,D65,D72,D73)</f>
        <v>1760</v>
      </c>
      <c r="E74" s="1697">
        <f t="shared" si="10"/>
        <v>30053</v>
      </c>
      <c r="F74" s="1697">
        <f t="shared" si="10"/>
        <v>21853</v>
      </c>
      <c r="G74" s="1697">
        <f t="shared" si="10"/>
        <v>0</v>
      </c>
      <c r="H74" s="1697">
        <f t="shared" si="10"/>
        <v>1963</v>
      </c>
      <c r="I74" s="1697">
        <f t="shared" si="10"/>
        <v>0</v>
      </c>
      <c r="J74" s="1697">
        <f t="shared" si="10"/>
        <v>0</v>
      </c>
      <c r="K74" s="1697">
        <f t="shared" si="10"/>
        <v>219200</v>
      </c>
      <c r="L74" s="1697">
        <f>SUM(L42,L47,L53,L57,L65,L72,L73)</f>
        <v>219701</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24923</v>
      </c>
      <c r="F79" s="615"/>
      <c r="G79" s="615"/>
      <c r="H79" s="466">
        <v>0</v>
      </c>
      <c r="I79" s="476"/>
      <c r="J79" s="476"/>
      <c r="K79" s="1691">
        <f t="shared" si="11"/>
        <v>24923</v>
      </c>
      <c r="L79" s="466">
        <v>25054</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24923</v>
      </c>
      <c r="F84" s="615"/>
      <c r="G84" s="615"/>
      <c r="H84" s="1690">
        <f>SUM(H78:H83)</f>
        <v>0</v>
      </c>
      <c r="I84" s="476"/>
      <c r="J84" s="476"/>
      <c r="K84" s="1690">
        <f>SUM(K78:K83)</f>
        <v>24923</v>
      </c>
      <c r="L84" s="1690">
        <f>SUM(L78:L83)</f>
        <v>25054</v>
      </c>
    </row>
    <row r="85" spans="1:12" ht="12.75" customHeight="1" thickTop="1" thickBot="1" x14ac:dyDescent="0.25">
      <c r="A85" s="1531" t="s">
        <v>273</v>
      </c>
      <c r="B85" s="634">
        <v>4210</v>
      </c>
      <c r="C85" s="615"/>
      <c r="D85" s="615"/>
      <c r="E85" s="635"/>
      <c r="F85" s="615"/>
      <c r="G85" s="615"/>
      <c r="H85" s="533">
        <v>56017</v>
      </c>
      <c r="I85" s="476"/>
      <c r="J85" s="476"/>
      <c r="K85" s="1697">
        <f>H85</f>
        <v>56017</v>
      </c>
      <c r="L85" s="528">
        <v>56017</v>
      </c>
    </row>
    <row r="86" spans="1:12" ht="12.75" customHeight="1" thickTop="1" thickBot="1" x14ac:dyDescent="0.25">
      <c r="A86" s="1532" t="s">
        <v>723</v>
      </c>
      <c r="B86" s="636">
        <v>4220</v>
      </c>
      <c r="C86" s="615"/>
      <c r="D86" s="615"/>
      <c r="E86" s="637"/>
      <c r="F86" s="615"/>
      <c r="G86" s="615"/>
      <c r="H86" s="467">
        <v>50827</v>
      </c>
      <c r="I86" s="476"/>
      <c r="J86" s="476"/>
      <c r="K86" s="1697">
        <f t="shared" ref="K86:K98" si="12">H86</f>
        <v>50827</v>
      </c>
      <c r="L86" s="528">
        <v>54408</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106844</v>
      </c>
      <c r="I92" s="476"/>
      <c r="J92" s="476"/>
      <c r="K92" s="1697">
        <f t="shared" si="12"/>
        <v>106844</v>
      </c>
      <c r="L92" s="1690">
        <f>SUM(L85:L91)</f>
        <v>110425</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24923</v>
      </c>
      <c r="F102" s="615"/>
      <c r="G102" s="615"/>
      <c r="H102" s="1697">
        <f>SUM(H84,H92,H100,H101)</f>
        <v>106844</v>
      </c>
      <c r="I102" s="476"/>
      <c r="J102" s="476"/>
      <c r="K102" s="1697">
        <f>SUM(K84,K92,K100,K101)</f>
        <v>131767</v>
      </c>
      <c r="L102" s="1697">
        <f>SUM(L84,L92,L100,L101)</f>
        <v>135479</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439295</v>
      </c>
      <c r="D114" s="1690">
        <f t="shared" ref="D114:K114" si="13">SUM(D33,D74,D75,D102,D112,D113)</f>
        <v>4583</v>
      </c>
      <c r="E114" s="1690">
        <f t="shared" si="13"/>
        <v>63398</v>
      </c>
      <c r="F114" s="1690">
        <f t="shared" si="13"/>
        <v>56156</v>
      </c>
      <c r="G114" s="1690">
        <f t="shared" si="13"/>
        <v>11822</v>
      </c>
      <c r="H114" s="1690">
        <f>SUM(H33,H74,H75,H102,H112,H113)</f>
        <v>108807</v>
      </c>
      <c r="I114" s="1690">
        <f t="shared" si="13"/>
        <v>0</v>
      </c>
      <c r="J114" s="1690">
        <f t="shared" si="13"/>
        <v>0</v>
      </c>
      <c r="K114" s="1690">
        <f t="shared" si="13"/>
        <v>684061</v>
      </c>
      <c r="L114" s="1690">
        <f>SUM(L33,L74,L75,L102,L112,L113)</f>
        <v>688743</v>
      </c>
    </row>
    <row r="115" spans="1:14" ht="13.5" thickTop="1" x14ac:dyDescent="0.2">
      <c r="A115" s="2197" t="s">
        <v>1053</v>
      </c>
      <c r="B115" s="2198"/>
      <c r="C115" s="617"/>
      <c r="D115" s="617"/>
      <c r="E115" s="617"/>
      <c r="F115" s="617"/>
      <c r="G115" s="617"/>
      <c r="H115" s="617"/>
      <c r="I115" s="617"/>
      <c r="J115" s="617"/>
      <c r="K115" s="1704">
        <f>'Revenues 9-14'!C275-'Expenditures 15-22'!K114</f>
        <v>55199</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5" t="s">
        <v>314</v>
      </c>
      <c r="B117" s="2176"/>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0</v>
      </c>
      <c r="D124" s="466">
        <v>0</v>
      </c>
      <c r="E124" s="466">
        <v>4353</v>
      </c>
      <c r="F124" s="466">
        <v>23637</v>
      </c>
      <c r="G124" s="466">
        <v>0</v>
      </c>
      <c r="H124" s="466">
        <v>0</v>
      </c>
      <c r="I124" s="467">
        <v>0</v>
      </c>
      <c r="J124" s="467">
        <v>0</v>
      </c>
      <c r="K124" s="1690">
        <f>SUM(C124:J124)</f>
        <v>27990</v>
      </c>
      <c r="L124" s="466">
        <v>32990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0</v>
      </c>
      <c r="D127" s="1690">
        <f t="shared" ref="D127:L127" si="14">SUM(D122:D126)</f>
        <v>0</v>
      </c>
      <c r="E127" s="1690">
        <f t="shared" si="14"/>
        <v>4353</v>
      </c>
      <c r="F127" s="1690">
        <f t="shared" si="14"/>
        <v>23637</v>
      </c>
      <c r="G127" s="1690">
        <f t="shared" si="14"/>
        <v>0</v>
      </c>
      <c r="H127" s="1690">
        <f t="shared" si="14"/>
        <v>0</v>
      </c>
      <c r="I127" s="1690">
        <f t="shared" si="14"/>
        <v>0</v>
      </c>
      <c r="J127" s="1690">
        <f t="shared" si="14"/>
        <v>0</v>
      </c>
      <c r="K127" s="1690">
        <f t="shared" si="14"/>
        <v>27990</v>
      </c>
      <c r="L127" s="1690">
        <f t="shared" si="14"/>
        <v>32990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0</v>
      </c>
      <c r="D129" s="1697">
        <f t="shared" ref="D129:L129" si="15">SUM(D120,D127,D128)</f>
        <v>0</v>
      </c>
      <c r="E129" s="1697">
        <f t="shared" si="15"/>
        <v>4353</v>
      </c>
      <c r="F129" s="1697">
        <f t="shared" si="15"/>
        <v>23637</v>
      </c>
      <c r="G129" s="1697">
        <f t="shared" si="15"/>
        <v>0</v>
      </c>
      <c r="H129" s="1697">
        <f t="shared" si="15"/>
        <v>0</v>
      </c>
      <c r="I129" s="1697">
        <f t="shared" si="15"/>
        <v>0</v>
      </c>
      <c r="J129" s="1697">
        <f t="shared" si="15"/>
        <v>0</v>
      </c>
      <c r="K129" s="1697">
        <f t="shared" si="15"/>
        <v>27990</v>
      </c>
      <c r="L129" s="1697">
        <f t="shared" si="15"/>
        <v>32990</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1956</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7" t="s">
        <v>641</v>
      </c>
      <c r="B151" s="2169"/>
      <c r="C151" s="1690">
        <f>SUM(C129,C130,C139,C149,C150)</f>
        <v>0</v>
      </c>
      <c r="D151" s="1690">
        <f t="shared" ref="D151:K151" si="16">SUM(D129,D130,D139,D149,D150)</f>
        <v>0</v>
      </c>
      <c r="E151" s="1690">
        <f t="shared" si="16"/>
        <v>4353</v>
      </c>
      <c r="F151" s="1690">
        <f t="shared" si="16"/>
        <v>23637</v>
      </c>
      <c r="G151" s="1690">
        <f t="shared" si="16"/>
        <v>0</v>
      </c>
      <c r="H151" s="1690">
        <f t="shared" si="16"/>
        <v>0</v>
      </c>
      <c r="I151" s="1690">
        <f t="shared" si="16"/>
        <v>0</v>
      </c>
      <c r="J151" s="1690">
        <f t="shared" si="16"/>
        <v>0</v>
      </c>
      <c r="K151" s="1690">
        <f t="shared" si="16"/>
        <v>27990</v>
      </c>
      <c r="L151" s="1690">
        <f>SUM(L129,L130,L139,L149,L150)</f>
        <v>32990</v>
      </c>
    </row>
    <row r="152" spans="1:14" ht="12.75" customHeight="1" thickTop="1" x14ac:dyDescent="0.2">
      <c r="A152" s="2190" t="s">
        <v>1240</v>
      </c>
      <c r="B152" s="2191"/>
      <c r="C152" s="617"/>
      <c r="D152" s="617"/>
      <c r="E152" s="617"/>
      <c r="F152" s="617"/>
      <c r="G152" s="617"/>
      <c r="H152" s="617"/>
      <c r="I152" s="617"/>
      <c r="J152" s="615"/>
      <c r="K152" s="1704">
        <f>'Revenues 9-14'!D275-'Expenditures 15-22'!K151</f>
        <v>6754</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5" t="s">
        <v>642</v>
      </c>
      <c r="B154" s="2177"/>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1957</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1956</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1958</v>
      </c>
      <c r="C158" s="615"/>
      <c r="D158" s="615"/>
      <c r="E158" s="615"/>
      <c r="F158" s="615"/>
      <c r="G158" s="615"/>
      <c r="H158" s="467">
        <v>0</v>
      </c>
      <c r="I158" s="615"/>
      <c r="J158" s="615"/>
      <c r="K158" s="1691">
        <f>H158</f>
        <v>0</v>
      </c>
      <c r="L158" s="467">
        <v>0</v>
      </c>
      <c r="M158" s="618"/>
      <c r="N158" s="618"/>
    </row>
    <row r="159" spans="1:14" s="619" customFormat="1" ht="12" x14ac:dyDescent="0.2">
      <c r="A159" s="1847" t="s">
        <v>1959</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1960</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0</v>
      </c>
      <c r="I169" s="615"/>
      <c r="J169" s="615"/>
      <c r="K169" s="1691">
        <f>SUM(C169:H169)</f>
        <v>0</v>
      </c>
      <c r="L169" s="655">
        <v>0</v>
      </c>
    </row>
    <row r="170" spans="1:14" ht="33.75" customHeight="1" x14ac:dyDescent="0.2">
      <c r="A170" s="668" t="s">
        <v>1769</v>
      </c>
      <c r="B170" s="670" t="s">
        <v>31</v>
      </c>
      <c r="C170" s="615"/>
      <c r="D170" s="615"/>
      <c r="E170" s="615"/>
      <c r="F170" s="615"/>
      <c r="G170" s="615"/>
      <c r="H170" s="567">
        <v>0</v>
      </c>
      <c r="I170" s="615"/>
      <c r="J170" s="615"/>
      <c r="K170" s="1691">
        <f>SUM(C170:J170)</f>
        <v>0</v>
      </c>
      <c r="L170" s="567">
        <v>0</v>
      </c>
    </row>
    <row r="171" spans="1:14" ht="15.75" customHeight="1" x14ac:dyDescent="0.2">
      <c r="A171" s="620" t="s">
        <v>790</v>
      </c>
      <c r="B171" s="671" t="s">
        <v>86</v>
      </c>
      <c r="C171" s="615"/>
      <c r="D171" s="615"/>
      <c r="E171" s="466">
        <v>0</v>
      </c>
      <c r="F171" s="615"/>
      <c r="G171" s="615"/>
      <c r="H171" s="567">
        <v>0</v>
      </c>
      <c r="I171" s="476"/>
      <c r="J171" s="615"/>
      <c r="K171" s="1691">
        <f>SUM(C171:J171)</f>
        <v>0</v>
      </c>
      <c r="L171" s="567">
        <v>0</v>
      </c>
    </row>
    <row r="172" spans="1:14" ht="12.75" customHeight="1" thickBot="1" x14ac:dyDescent="0.25">
      <c r="A172" s="1688" t="s">
        <v>659</v>
      </c>
      <c r="B172" s="1689" t="s">
        <v>513</v>
      </c>
      <c r="C172" s="615"/>
      <c r="D172" s="615"/>
      <c r="E172" s="1697">
        <f>SUM(E168,E169,E170,E171)</f>
        <v>0</v>
      </c>
      <c r="F172" s="615"/>
      <c r="G172" s="615"/>
      <c r="H172" s="1697">
        <f>SUM(H168,H169,H170,H171)</f>
        <v>0</v>
      </c>
      <c r="I172" s="637"/>
      <c r="J172" s="615"/>
      <c r="K172" s="1697">
        <f>SUM(K168,K169,K170,K171)</f>
        <v>0</v>
      </c>
      <c r="L172" s="1697">
        <f>SUM(L168,L169,L170,L171)</f>
        <v>0</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0</v>
      </c>
      <c r="I174" s="637"/>
      <c r="J174" s="615"/>
      <c r="K174" s="1697">
        <f>SUM(K160,K172,K173)</f>
        <v>0</v>
      </c>
      <c r="L174" s="1697">
        <f>SUM(L160,L172,L173)</f>
        <v>0</v>
      </c>
    </row>
    <row r="175" spans="1:14" ht="13.5" thickTop="1" x14ac:dyDescent="0.2">
      <c r="A175" s="2197" t="s">
        <v>1053</v>
      </c>
      <c r="B175" s="2198"/>
      <c r="C175" s="615"/>
      <c r="D175" s="615"/>
      <c r="E175" s="615"/>
      <c r="F175" s="615"/>
      <c r="G175" s="615"/>
      <c r="H175" s="617"/>
      <c r="I175" s="615"/>
      <c r="J175" s="615"/>
      <c r="K175" s="1704">
        <f>'Revenues 9-14'!E275-'Expenditures 15-22'!K174</f>
        <v>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64280</v>
      </c>
      <c r="F182" s="467">
        <v>0</v>
      </c>
      <c r="G182" s="467">
        <v>0</v>
      </c>
      <c r="H182" s="466">
        <v>0</v>
      </c>
      <c r="I182" s="467">
        <v>0</v>
      </c>
      <c r="J182" s="467">
        <v>0</v>
      </c>
      <c r="K182" s="1691">
        <f>SUM(C182:J182)</f>
        <v>64280</v>
      </c>
      <c r="L182" s="466">
        <v>64280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64280</v>
      </c>
      <c r="F184" s="1697">
        <f t="shared" si="17"/>
        <v>0</v>
      </c>
      <c r="G184" s="1697">
        <f t="shared" si="17"/>
        <v>0</v>
      </c>
      <c r="H184" s="1697">
        <f t="shared" si="17"/>
        <v>0</v>
      </c>
      <c r="I184" s="1697">
        <f t="shared" si="17"/>
        <v>0</v>
      </c>
      <c r="J184" s="1697">
        <f t="shared" si="17"/>
        <v>0</v>
      </c>
      <c r="K184" s="1697">
        <f>SUM(K180,K182,K183)</f>
        <v>64280</v>
      </c>
      <c r="L184" s="1697">
        <f>SUM(L180, L182:L183)</f>
        <v>64280</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11891</v>
      </c>
      <c r="F188" s="615"/>
      <c r="G188" s="615"/>
      <c r="H188" s="466">
        <v>0</v>
      </c>
      <c r="I188" s="476"/>
      <c r="J188" s="615"/>
      <c r="K188" s="1691">
        <f t="shared" ref="K188:K193" si="18">SUM(E188,H188)</f>
        <v>11891</v>
      </c>
      <c r="L188" s="466">
        <v>11891</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11891</v>
      </c>
      <c r="F194" s="615"/>
      <c r="G194" s="615"/>
      <c r="H194" s="1690">
        <f>SUM(H188:H193)</f>
        <v>0</v>
      </c>
      <c r="I194" s="476"/>
      <c r="J194" s="615"/>
      <c r="K194" s="1690">
        <f>SUM(K188:K193)</f>
        <v>11891</v>
      </c>
      <c r="L194" s="1690">
        <f>SUM(L188:L193)</f>
        <v>11891</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11891</v>
      </c>
      <c r="F196" s="615"/>
      <c r="G196" s="615"/>
      <c r="H196" s="1697">
        <f>SUM(H194,H195)</f>
        <v>0</v>
      </c>
      <c r="I196" s="476"/>
      <c r="J196" s="615"/>
      <c r="K196" s="1697">
        <f>SUM(K194,K195)</f>
        <v>11891</v>
      </c>
      <c r="L196" s="1697">
        <f>SUM(L194,L195)</f>
        <v>11891</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0</v>
      </c>
      <c r="D210" s="1690">
        <f>SUM(D184,D185)</f>
        <v>0</v>
      </c>
      <c r="E210" s="1690">
        <f>SUM(E184,E185,E196)</f>
        <v>76171</v>
      </c>
      <c r="F210" s="1690">
        <f>SUM(F184,F185)</f>
        <v>0</v>
      </c>
      <c r="G210" s="1690">
        <f>SUM(G184,G185)</f>
        <v>0</v>
      </c>
      <c r="H210" s="1690">
        <f>SUM(H184,H185,H196,H208,H209)</f>
        <v>0</v>
      </c>
      <c r="I210" s="1690">
        <f>SUM(I184,I185)</f>
        <v>0</v>
      </c>
      <c r="J210" s="1690">
        <f>SUM(J184,J185)</f>
        <v>0</v>
      </c>
      <c r="K210" s="1691">
        <f>SUM(K184,K185,K196,K208,K209)</f>
        <v>76171</v>
      </c>
      <c r="L210" s="1690">
        <f>SUM(L184,L185,L196,L208,L209)</f>
        <v>76171</v>
      </c>
    </row>
    <row r="211" spans="1:14" ht="13.5" thickTop="1" x14ac:dyDescent="0.2">
      <c r="A211" s="2197" t="s">
        <v>1053</v>
      </c>
      <c r="B211" s="2198"/>
      <c r="C211" s="617"/>
      <c r="D211" s="617"/>
      <c r="E211" s="617"/>
      <c r="F211" s="617"/>
      <c r="G211" s="617"/>
      <c r="H211" s="617"/>
      <c r="I211" s="615"/>
      <c r="J211" s="615"/>
      <c r="K211" s="1704">
        <f>'Revenues 9-14'!F275-'Expenditures 15-22'!K210</f>
        <v>19881</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2" t="s">
        <v>1022</v>
      </c>
      <c r="B213" s="2193"/>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7165</v>
      </c>
      <c r="E215" s="615"/>
      <c r="F215" s="615"/>
      <c r="G215" s="615"/>
      <c r="H215" s="615"/>
      <c r="I215" s="615"/>
      <c r="J215" s="615"/>
      <c r="K215" s="1691">
        <f>D215</f>
        <v>7165</v>
      </c>
      <c r="L215" s="466">
        <v>7173</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0</v>
      </c>
      <c r="E217" s="615"/>
      <c r="F217" s="615"/>
      <c r="G217" s="615"/>
      <c r="H217" s="615"/>
      <c r="I217" s="615"/>
      <c r="J217" s="615"/>
      <c r="K217" s="1691">
        <f t="shared" si="19"/>
        <v>0</v>
      </c>
      <c r="L217" s="466">
        <v>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0</v>
      </c>
      <c r="E219" s="615"/>
      <c r="F219" s="615"/>
      <c r="G219" s="615"/>
      <c r="H219" s="615"/>
      <c r="I219" s="615"/>
      <c r="J219" s="615"/>
      <c r="K219" s="1691">
        <f t="shared" si="19"/>
        <v>0</v>
      </c>
      <c r="L219" s="466">
        <v>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0</v>
      </c>
      <c r="E223" s="615"/>
      <c r="F223" s="615"/>
      <c r="G223" s="615"/>
      <c r="H223" s="615"/>
      <c r="I223" s="615"/>
      <c r="J223" s="615"/>
      <c r="K223" s="1691">
        <f t="shared" si="19"/>
        <v>0</v>
      </c>
      <c r="L223" s="466">
        <v>0</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7165</v>
      </c>
      <c r="E229" s="615"/>
      <c r="F229" s="615"/>
      <c r="G229" s="615"/>
      <c r="H229" s="615"/>
      <c r="I229" s="615"/>
      <c r="J229" s="615"/>
      <c r="K229" s="1690">
        <f>SUM(K215:K228)</f>
        <v>7165</v>
      </c>
      <c r="L229" s="1690">
        <f>SUM(L215:L228)</f>
        <v>7173</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269</v>
      </c>
      <c r="E236" s="615"/>
      <c r="F236" s="615"/>
      <c r="G236" s="615"/>
      <c r="H236" s="615"/>
      <c r="I236" s="615"/>
      <c r="J236" s="615"/>
      <c r="K236" s="1691">
        <f t="shared" si="20"/>
        <v>269</v>
      </c>
      <c r="L236" s="466">
        <v>269</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269</v>
      </c>
      <c r="E238" s="615"/>
      <c r="F238" s="615"/>
      <c r="G238" s="615"/>
      <c r="H238" s="615"/>
      <c r="I238" s="615"/>
      <c r="J238" s="615"/>
      <c r="K238" s="1690">
        <f>SUM(K232:K237)</f>
        <v>269</v>
      </c>
      <c r="L238" s="1690">
        <f>SUM(L232:L237)</f>
        <v>269</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0</v>
      </c>
      <c r="E241" s="615"/>
      <c r="F241" s="615"/>
      <c r="G241" s="615"/>
      <c r="H241" s="615"/>
      <c r="I241" s="615"/>
      <c r="J241" s="615"/>
      <c r="K241" s="1692">
        <f>D241</f>
        <v>0</v>
      </c>
      <c r="L241" s="466">
        <v>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0</v>
      </c>
      <c r="E243" s="615"/>
      <c r="F243" s="615"/>
      <c r="G243" s="615"/>
      <c r="H243" s="615"/>
      <c r="I243" s="615"/>
      <c r="J243" s="615"/>
      <c r="K243" s="1690">
        <f>SUM(K240:K242)</f>
        <v>0</v>
      </c>
      <c r="L243" s="1690">
        <f>SUM(L240:L242)</f>
        <v>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0</v>
      </c>
      <c r="E245" s="615"/>
      <c r="F245" s="615"/>
      <c r="G245" s="615"/>
      <c r="H245" s="615"/>
      <c r="I245" s="615"/>
      <c r="J245" s="615"/>
      <c r="K245" s="1692">
        <f>D245</f>
        <v>0</v>
      </c>
      <c r="L245" s="480">
        <v>0</v>
      </c>
    </row>
    <row r="246" spans="1:12" x14ac:dyDescent="0.2">
      <c r="A246" s="1524" t="s">
        <v>872</v>
      </c>
      <c r="B246" s="613">
        <v>2320</v>
      </c>
      <c r="C246" s="615"/>
      <c r="D246" s="466">
        <v>616</v>
      </c>
      <c r="E246" s="615"/>
      <c r="F246" s="615"/>
      <c r="G246" s="615"/>
      <c r="H246" s="615"/>
      <c r="I246" s="615"/>
      <c r="J246" s="615"/>
      <c r="K246" s="1692">
        <f t="shared" ref="K246:K256" si="21">D246</f>
        <v>616</v>
      </c>
      <c r="L246" s="466">
        <v>616</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1907</v>
      </c>
      <c r="B249" s="682" t="s">
        <v>300</v>
      </c>
      <c r="C249" s="615"/>
      <c r="D249" s="474">
        <v>0</v>
      </c>
      <c r="E249" s="615"/>
      <c r="F249" s="615"/>
      <c r="G249" s="615"/>
      <c r="H249" s="615"/>
      <c r="I249" s="615"/>
      <c r="J249" s="615"/>
      <c r="K249" s="1692">
        <f t="shared" si="21"/>
        <v>0</v>
      </c>
      <c r="L249" s="466">
        <v>0</v>
      </c>
    </row>
    <row r="250" spans="1:12" x14ac:dyDescent="0.2">
      <c r="A250" s="1525" t="s">
        <v>1908</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616</v>
      </c>
      <c r="E257" s="615"/>
      <c r="F257" s="615"/>
      <c r="G257" s="615"/>
      <c r="H257" s="615"/>
      <c r="I257" s="615"/>
      <c r="J257" s="615"/>
      <c r="K257" s="1690">
        <f>SUM(K245:K256)</f>
        <v>616</v>
      </c>
      <c r="L257" s="1690">
        <f>SUM(L245:L256)</f>
        <v>616</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0</v>
      </c>
      <c r="E259" s="615"/>
      <c r="F259" s="615"/>
      <c r="G259" s="615"/>
      <c r="H259" s="615"/>
      <c r="I259" s="615"/>
      <c r="J259" s="615"/>
      <c r="K259" s="1692">
        <f>D259</f>
        <v>0</v>
      </c>
      <c r="L259" s="480">
        <v>0</v>
      </c>
    </row>
    <row r="260" spans="1:14" s="596" customFormat="1" x14ac:dyDescent="0.2">
      <c r="A260" s="1542" t="s">
        <v>1906</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0</v>
      </c>
      <c r="E261" s="615"/>
      <c r="F261" s="615"/>
      <c r="G261" s="615"/>
      <c r="H261" s="615"/>
      <c r="I261" s="615"/>
      <c r="J261" s="615"/>
      <c r="K261" s="1690">
        <f>SUM(K259:K260)</f>
        <v>0</v>
      </c>
      <c r="L261" s="1690">
        <f>SUM(L259:L260)</f>
        <v>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6817</v>
      </c>
      <c r="E264" s="615"/>
      <c r="F264" s="615"/>
      <c r="G264" s="615"/>
      <c r="H264" s="615"/>
      <c r="I264" s="615"/>
      <c r="J264" s="615"/>
      <c r="K264" s="1692">
        <f t="shared" ref="K264:K269" si="22">D264</f>
        <v>6817</v>
      </c>
      <c r="L264" s="466">
        <v>6823</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5631</v>
      </c>
      <c r="E266" s="615"/>
      <c r="F266" s="615"/>
      <c r="G266" s="615"/>
      <c r="H266" s="615"/>
      <c r="I266" s="615"/>
      <c r="J266" s="615"/>
      <c r="K266" s="1692">
        <f t="shared" si="22"/>
        <v>5631</v>
      </c>
      <c r="L266" s="466">
        <v>5673</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3381</v>
      </c>
      <c r="E268" s="615"/>
      <c r="F268" s="615"/>
      <c r="G268" s="615"/>
      <c r="H268" s="615"/>
      <c r="I268" s="615"/>
      <c r="J268" s="615"/>
      <c r="K268" s="1692">
        <f t="shared" si="22"/>
        <v>3381</v>
      </c>
      <c r="L268" s="466">
        <v>3408</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15829</v>
      </c>
      <c r="E270" s="615"/>
      <c r="F270" s="615"/>
      <c r="G270" s="615"/>
      <c r="H270" s="615"/>
      <c r="I270" s="615"/>
      <c r="J270" s="615"/>
      <c r="K270" s="1690">
        <f>SUM(K263:K269)</f>
        <v>15829</v>
      </c>
      <c r="L270" s="1690">
        <f>SUM(L263:L269)</f>
        <v>15904</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16714</v>
      </c>
      <c r="E279" s="615"/>
      <c r="F279" s="615"/>
      <c r="G279" s="615"/>
      <c r="H279" s="615"/>
      <c r="I279" s="615"/>
      <c r="J279" s="615"/>
      <c r="K279" s="1697">
        <f>SUM(K238,K243,K257,K261,K270,K277,K278)</f>
        <v>16714</v>
      </c>
      <c r="L279" s="1697">
        <f>SUM(L238,L243,L257,L261,L270,L277,L278)</f>
        <v>16789</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1956</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8" t="s">
        <v>526</v>
      </c>
      <c r="B295" s="2189"/>
      <c r="C295" s="615"/>
      <c r="D295" s="1690">
        <f>SUM(D229,D279,D280,D285)</f>
        <v>23879</v>
      </c>
      <c r="E295" s="615"/>
      <c r="F295" s="615"/>
      <c r="G295" s="615"/>
      <c r="H295" s="1690">
        <f>H293</f>
        <v>0</v>
      </c>
      <c r="I295" s="615"/>
      <c r="J295" s="615"/>
      <c r="K295" s="1690">
        <f>SUM(K229,K279,K280,K285,K293,K294)</f>
        <v>23879</v>
      </c>
      <c r="L295" s="1690">
        <f>SUM(L229,L279,L280,L285,L293,L294)</f>
        <v>23962</v>
      </c>
    </row>
    <row r="296" spans="1:14" ht="13.5" thickTop="1" x14ac:dyDescent="0.2">
      <c r="A296" s="2197" t="s">
        <v>1053</v>
      </c>
      <c r="B296" s="2198"/>
      <c r="C296" s="615"/>
      <c r="D296" s="617"/>
      <c r="E296" s="615"/>
      <c r="F296" s="615"/>
      <c r="G296" s="615"/>
      <c r="H296" s="686"/>
      <c r="I296" s="615"/>
      <c r="J296" s="615"/>
      <c r="K296" s="1704">
        <f>'Revenues 9-14'!G275-'Expenditures 15-22'!K295</f>
        <v>572</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0" t="s">
        <v>145</v>
      </c>
      <c r="B298" s="2174"/>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1961</v>
      </c>
      <c r="B306" s="689" t="s">
        <v>1956</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5" t="s">
        <v>295</v>
      </c>
      <c r="B312" s="2186"/>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4"/>
      <c r="N312" s="664"/>
    </row>
    <row r="313" spans="1:14" ht="13.5" thickTop="1" x14ac:dyDescent="0.2">
      <c r="A313" s="2181" t="s">
        <v>1053</v>
      </c>
      <c r="B313" s="2182"/>
      <c r="C313" s="625"/>
      <c r="D313" s="625"/>
      <c r="E313" s="625"/>
      <c r="F313" s="625"/>
      <c r="G313" s="625"/>
      <c r="H313" s="625"/>
      <c r="I313" s="625"/>
      <c r="J313" s="625"/>
      <c r="K313" s="1705">
        <f>'Revenues 9-14'!H275-'Expenditures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4" t="s">
        <v>151</v>
      </c>
      <c r="B315" s="2195"/>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6" t="s">
        <v>954</v>
      </c>
      <c r="B317" s="2195"/>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1907</v>
      </c>
      <c r="B320" s="697" t="s">
        <v>300</v>
      </c>
      <c r="C320" s="467">
        <v>0</v>
      </c>
      <c r="D320" s="467">
        <v>0</v>
      </c>
      <c r="E320" s="467">
        <v>0</v>
      </c>
      <c r="F320" s="467">
        <v>0</v>
      </c>
      <c r="G320" s="467">
        <v>0</v>
      </c>
      <c r="H320" s="467">
        <v>0</v>
      </c>
      <c r="I320" s="467">
        <v>0</v>
      </c>
      <c r="J320" s="467">
        <v>0</v>
      </c>
      <c r="K320" s="1691">
        <f t="shared" ref="K320:K327" si="24">SUM(C320:J320)</f>
        <v>0</v>
      </c>
      <c r="L320" s="467">
        <v>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0</v>
      </c>
      <c r="M321" s="664"/>
      <c r="N321" s="664"/>
    </row>
    <row r="322" spans="1:14" s="673" customFormat="1" x14ac:dyDescent="0.2">
      <c r="A322" s="1539" t="s">
        <v>256</v>
      </c>
      <c r="B322" s="696" t="s">
        <v>302</v>
      </c>
      <c r="C322" s="467">
        <v>0</v>
      </c>
      <c r="D322" s="467">
        <v>0</v>
      </c>
      <c r="E322" s="467">
        <v>0</v>
      </c>
      <c r="F322" s="467">
        <v>0</v>
      </c>
      <c r="G322" s="467">
        <v>0</v>
      </c>
      <c r="H322" s="467">
        <v>0</v>
      </c>
      <c r="I322" s="467">
        <v>0</v>
      </c>
      <c r="J322" s="467">
        <v>0</v>
      </c>
      <c r="K322" s="1691">
        <f t="shared" si="24"/>
        <v>0</v>
      </c>
      <c r="L322" s="467">
        <v>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0</v>
      </c>
      <c r="D325" s="467">
        <v>0</v>
      </c>
      <c r="E325" s="467">
        <v>0</v>
      </c>
      <c r="F325" s="467">
        <v>0</v>
      </c>
      <c r="G325" s="467">
        <v>0</v>
      </c>
      <c r="H325" s="467">
        <v>0</v>
      </c>
      <c r="I325" s="467">
        <v>0</v>
      </c>
      <c r="J325" s="467">
        <v>0</v>
      </c>
      <c r="K325" s="1691">
        <f t="shared" si="24"/>
        <v>0</v>
      </c>
      <c r="L325" s="467">
        <v>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0</v>
      </c>
      <c r="F327" s="467">
        <v>0</v>
      </c>
      <c r="G327" s="467">
        <v>0</v>
      </c>
      <c r="H327" s="467">
        <v>0</v>
      </c>
      <c r="I327" s="467">
        <v>0</v>
      </c>
      <c r="J327" s="467">
        <v>0</v>
      </c>
      <c r="K327" s="1691">
        <f t="shared" si="24"/>
        <v>0</v>
      </c>
      <c r="L327" s="467">
        <v>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0</v>
      </c>
      <c r="D330" s="1690">
        <f t="shared" ref="D330:J330" si="25">SUM(D319:D329)</f>
        <v>0</v>
      </c>
      <c r="E330" s="1690">
        <f t="shared" si="25"/>
        <v>0</v>
      </c>
      <c r="F330" s="1690">
        <f t="shared" si="25"/>
        <v>0</v>
      </c>
      <c r="G330" s="1690">
        <f t="shared" si="25"/>
        <v>0</v>
      </c>
      <c r="H330" s="1690">
        <f t="shared" si="25"/>
        <v>0</v>
      </c>
      <c r="I330" s="1690">
        <f t="shared" si="25"/>
        <v>0</v>
      </c>
      <c r="J330" s="1690">
        <f t="shared" si="25"/>
        <v>0</v>
      </c>
      <c r="K330" s="1690">
        <f>SUM(K319:K329)</f>
        <v>0</v>
      </c>
      <c r="L330" s="1690">
        <f>SUM(L319:L329)</f>
        <v>0</v>
      </c>
      <c r="M330" s="664"/>
      <c r="N330" s="664"/>
    </row>
    <row r="331" spans="1:14" s="673" customFormat="1" ht="12.75" customHeight="1" thickTop="1" x14ac:dyDescent="0.2">
      <c r="A331" s="1852" t="s">
        <v>1962</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1956</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1958</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0</v>
      </c>
      <c r="D342" s="1690">
        <f>SUM(D330)</f>
        <v>0</v>
      </c>
      <c r="E342" s="1690">
        <f>SUM(E330)</f>
        <v>0</v>
      </c>
      <c r="F342" s="1690">
        <f>SUM(F330)</f>
        <v>0</v>
      </c>
      <c r="G342" s="1690">
        <f>SUM(G330)</f>
        <v>0</v>
      </c>
      <c r="H342" s="1690">
        <f>SUM(H330,H334,H340)</f>
        <v>0</v>
      </c>
      <c r="I342" s="1690">
        <f>SUM(I330)</f>
        <v>0</v>
      </c>
      <c r="J342" s="1690">
        <f>SUM(J330)</f>
        <v>0</v>
      </c>
      <c r="K342" s="1690">
        <f>SUM(K330,K334,K340)</f>
        <v>0</v>
      </c>
      <c r="L342" s="1697">
        <f>SUM(L330,L340,L341)</f>
        <v>0</v>
      </c>
    </row>
    <row r="343" spans="1:14" ht="12.75" customHeight="1" thickTop="1" x14ac:dyDescent="0.2">
      <c r="A343" s="2183" t="s">
        <v>1053</v>
      </c>
      <c r="B343" s="2184"/>
      <c r="C343" s="615"/>
      <c r="D343" s="615"/>
      <c r="E343" s="615"/>
      <c r="F343" s="615"/>
      <c r="G343" s="615"/>
      <c r="H343" s="615"/>
      <c r="I343" s="615"/>
      <c r="J343" s="615"/>
      <c r="K343" s="1704">
        <f>'Revenues 9-14'!J275-'Expenditures 15-22'!K342</f>
        <v>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3" t="s">
        <v>1023</v>
      </c>
      <c r="B345" s="2174"/>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1964</v>
      </c>
      <c r="B354" s="682" t="s">
        <v>1956</v>
      </c>
      <c r="C354" s="615"/>
      <c r="D354" s="615"/>
      <c r="E354" s="615"/>
      <c r="F354" s="615"/>
      <c r="G354" s="615"/>
      <c r="H354" s="474">
        <v>0</v>
      </c>
      <c r="I354" s="700"/>
      <c r="J354" s="615"/>
      <c r="K354" s="1719">
        <f>H354</f>
        <v>0</v>
      </c>
      <c r="L354" s="471">
        <v>0</v>
      </c>
    </row>
    <row r="355" spans="1:14" ht="12.75" customHeight="1" x14ac:dyDescent="0.2">
      <c r="A355" s="1533" t="s">
        <v>1965</v>
      </c>
      <c r="B355" s="689" t="s">
        <v>1958</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197" t="s">
        <v>1053</v>
      </c>
      <c r="B368" s="2198"/>
      <c r="C368" s="653"/>
      <c r="D368" s="653"/>
      <c r="E368" s="625"/>
      <c r="F368" s="625"/>
      <c r="G368" s="625"/>
      <c r="H368" s="625"/>
      <c r="I368" s="625"/>
      <c r="J368" s="622"/>
      <c r="K368" s="1691">
        <f>'Revenues 9-14'!K275-'Expenditures 15-22'!K367</f>
        <v>0</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9" t="s">
        <v>1904</v>
      </c>
      <c r="B2" s="1548" t="s">
        <v>2036</v>
      </c>
      <c r="C2" s="713" t="s">
        <v>1909</v>
      </c>
      <c r="D2" s="713" t="s">
        <v>1910</v>
      </c>
      <c r="E2" s="713" t="s">
        <v>1911</v>
      </c>
      <c r="F2" s="713" t="s">
        <v>1912</v>
      </c>
    </row>
    <row r="3" spans="1:6" ht="12" customHeight="1" x14ac:dyDescent="0.2">
      <c r="A3" s="2200"/>
      <c r="B3" s="1545"/>
      <c r="C3" s="1546"/>
      <c r="D3" s="1547" t="s">
        <v>274</v>
      </c>
      <c r="E3" s="1546"/>
      <c r="F3" s="1547" t="s">
        <v>275</v>
      </c>
    </row>
    <row r="4" spans="1:6" ht="13.7" customHeight="1" x14ac:dyDescent="0.2">
      <c r="A4" s="714" t="s">
        <v>1217</v>
      </c>
      <c r="B4" s="1769">
        <f>'Revenues 9-14'!C5</f>
        <v>368184</v>
      </c>
      <c r="C4" s="1544"/>
      <c r="D4" s="1772">
        <f>B4-C4</f>
        <v>368184</v>
      </c>
      <c r="E4" s="1544">
        <v>377210</v>
      </c>
      <c r="F4" s="1772">
        <f>E4-C4</f>
        <v>377210</v>
      </c>
    </row>
    <row r="5" spans="1:6" ht="13.7" customHeight="1" x14ac:dyDescent="0.2">
      <c r="A5" s="714" t="s">
        <v>925</v>
      </c>
      <c r="B5" s="1770">
        <f>'Revenues 9-14'!D5</f>
        <v>34643</v>
      </c>
      <c r="C5" s="583"/>
      <c r="D5" s="1773">
        <f t="shared" ref="D5:D18" si="0">B5-C5</f>
        <v>34643</v>
      </c>
      <c r="E5" s="583">
        <v>35425</v>
      </c>
      <c r="F5" s="1773">
        <f>E5-C5</f>
        <v>35425</v>
      </c>
    </row>
    <row r="6" spans="1:6" ht="13.7" customHeight="1" x14ac:dyDescent="0.2">
      <c r="A6" s="714" t="s">
        <v>431</v>
      </c>
      <c r="B6" s="1770">
        <f>'Revenues 9-14'!E5</f>
        <v>0</v>
      </c>
      <c r="C6" s="583"/>
      <c r="D6" s="1773">
        <f t="shared" si="0"/>
        <v>0</v>
      </c>
      <c r="E6" s="583"/>
      <c r="F6" s="1773">
        <f t="shared" ref="F6:F18" si="1">E6-C6</f>
        <v>0</v>
      </c>
    </row>
    <row r="7" spans="1:6" ht="13.7" customHeight="1" x14ac:dyDescent="0.2">
      <c r="A7" s="714" t="s">
        <v>157</v>
      </c>
      <c r="B7" s="1770">
        <f>'Revenues 9-14'!F5</f>
        <v>21281</v>
      </c>
      <c r="C7" s="583"/>
      <c r="D7" s="1773">
        <f t="shared" si="0"/>
        <v>21281</v>
      </c>
      <c r="E7" s="583">
        <v>21761</v>
      </c>
      <c r="F7" s="1773">
        <f t="shared" si="1"/>
        <v>21761</v>
      </c>
    </row>
    <row r="8" spans="1:6" ht="13.7" customHeight="1" x14ac:dyDescent="0.2">
      <c r="A8" s="714" t="s">
        <v>1241</v>
      </c>
      <c r="B8" s="1770">
        <f>'Revenues 9-14'!G5</f>
        <v>4950</v>
      </c>
      <c r="C8" s="583"/>
      <c r="D8" s="1773">
        <f t="shared" si="0"/>
        <v>4950</v>
      </c>
      <c r="E8" s="583">
        <v>9557</v>
      </c>
      <c r="F8" s="1773">
        <f t="shared" si="1"/>
        <v>9557</v>
      </c>
    </row>
    <row r="9" spans="1:6" ht="13.7" customHeight="1" x14ac:dyDescent="0.2">
      <c r="A9" s="714" t="s">
        <v>428</v>
      </c>
      <c r="B9" s="1770">
        <f>'Revenues 9-14'!H5</f>
        <v>0</v>
      </c>
      <c r="C9" s="583"/>
      <c r="D9" s="1773">
        <f t="shared" si="0"/>
        <v>0</v>
      </c>
      <c r="E9" s="583"/>
      <c r="F9" s="1773">
        <f t="shared" si="1"/>
        <v>0</v>
      </c>
    </row>
    <row r="10" spans="1:6" ht="13.7" customHeight="1" x14ac:dyDescent="0.2">
      <c r="A10" s="714" t="s">
        <v>427</v>
      </c>
      <c r="B10" s="1770">
        <f>'Revenues 9-14'!I5</f>
        <v>4950</v>
      </c>
      <c r="C10" s="583"/>
      <c r="D10" s="1773">
        <f t="shared" si="0"/>
        <v>4950</v>
      </c>
      <c r="E10" s="583">
        <v>5063</v>
      </c>
      <c r="F10" s="1773">
        <f t="shared" si="1"/>
        <v>5063</v>
      </c>
    </row>
    <row r="11" spans="1:6" x14ac:dyDescent="0.2">
      <c r="A11" s="714" t="s">
        <v>429</v>
      </c>
      <c r="B11" s="1770">
        <f>'Revenues 9-14'!J5</f>
        <v>0</v>
      </c>
      <c r="C11" s="583"/>
      <c r="D11" s="1773">
        <f t="shared" si="0"/>
        <v>0</v>
      </c>
      <c r="E11" s="583"/>
      <c r="F11" s="1773">
        <f t="shared" si="1"/>
        <v>0</v>
      </c>
    </row>
    <row r="12" spans="1:6" ht="13.7" customHeight="1" x14ac:dyDescent="0.2">
      <c r="A12" s="714" t="s">
        <v>159</v>
      </c>
      <c r="B12" s="1770">
        <f>'Revenues 9-14'!K5</f>
        <v>0</v>
      </c>
      <c r="C12" s="583"/>
      <c r="D12" s="1773">
        <f t="shared" si="0"/>
        <v>0</v>
      </c>
      <c r="E12" s="583"/>
      <c r="F12" s="1773">
        <f t="shared" si="1"/>
        <v>0</v>
      </c>
    </row>
    <row r="13" spans="1:6" ht="13.7" customHeight="1" x14ac:dyDescent="0.2">
      <c r="A13" s="714" t="s">
        <v>993</v>
      </c>
      <c r="B13" s="1770">
        <f>SUM('Revenues 9-14'!C6:D6)</f>
        <v>0</v>
      </c>
      <c r="C13" s="583"/>
      <c r="D13" s="1773">
        <f t="shared" si="0"/>
        <v>0</v>
      </c>
      <c r="E13" s="583"/>
      <c r="F13" s="1773">
        <f t="shared" si="1"/>
        <v>0</v>
      </c>
    </row>
    <row r="14" spans="1:6" ht="13.7" customHeight="1" x14ac:dyDescent="0.2">
      <c r="A14" s="714" t="s">
        <v>430</v>
      </c>
      <c r="B14" s="1770">
        <f>SUM('Revenues 9-14'!C7:D7,'Revenues 9-14'!F7:H7)</f>
        <v>2475</v>
      </c>
      <c r="C14" s="583"/>
      <c r="D14" s="1773">
        <f t="shared" si="0"/>
        <v>2475</v>
      </c>
      <c r="E14" s="583">
        <v>2533</v>
      </c>
      <c r="F14" s="1773">
        <f t="shared" si="1"/>
        <v>2533</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18510</v>
      </c>
      <c r="C16" s="583"/>
      <c r="D16" s="1773">
        <f t="shared" si="0"/>
        <v>18510</v>
      </c>
      <c r="E16" s="583">
        <v>14335</v>
      </c>
      <c r="F16" s="1773">
        <f t="shared" si="1"/>
        <v>14335</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454993</v>
      </c>
      <c r="C19" s="1771">
        <f>SUM(C4:C18)</f>
        <v>0</v>
      </c>
      <c r="D19" s="1771">
        <f>SUM(D4:D18)</f>
        <v>454993</v>
      </c>
      <c r="E19" s="1771">
        <f>SUM(E4:E18)</f>
        <v>465884</v>
      </c>
      <c r="F19" s="1771">
        <f>SUM(F4:F18)</f>
        <v>465884</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0"/>
    </row>
    <row r="2" spans="1:7" ht="33.75" x14ac:dyDescent="0.2">
      <c r="A2" s="2214" t="s">
        <v>1904</v>
      </c>
      <c r="B2" s="2215"/>
      <c r="C2" s="1907" t="s">
        <v>2037</v>
      </c>
      <c r="D2" s="722" t="s">
        <v>2044</v>
      </c>
      <c r="E2" s="722" t="s">
        <v>2045</v>
      </c>
      <c r="F2" s="1907" t="s">
        <v>2038</v>
      </c>
    </row>
    <row r="3" spans="1:7" ht="15.75" customHeight="1" x14ac:dyDescent="0.2">
      <c r="A3" s="2218" t="s">
        <v>1176</v>
      </c>
      <c r="B3" s="2219"/>
      <c r="C3" s="2207"/>
      <c r="D3" s="2208"/>
      <c r="E3" s="2208"/>
      <c r="F3" s="2209"/>
    </row>
    <row r="4" spans="1:7" ht="12.75" customHeight="1" thickBot="1" x14ac:dyDescent="0.25">
      <c r="A4" s="2216" t="s">
        <v>651</v>
      </c>
      <c r="B4" s="2217"/>
      <c r="C4" s="579"/>
      <c r="D4" s="579"/>
      <c r="E4" s="579"/>
      <c r="F4" s="1775">
        <f>SUM(C4+D4)-E4</f>
        <v>0</v>
      </c>
    </row>
    <row r="5" spans="1:7" ht="15.75" customHeight="1" thickTop="1" x14ac:dyDescent="0.2">
      <c r="A5" s="2201" t="s">
        <v>1172</v>
      </c>
      <c r="B5" s="2202"/>
      <c r="C5" s="2210"/>
      <c r="D5" s="2211"/>
      <c r="E5" s="2211"/>
      <c r="F5" s="2212"/>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3" t="s">
        <v>652</v>
      </c>
      <c r="B15" s="2204"/>
      <c r="C15" s="1775">
        <f>SUM(C6:C14)</f>
        <v>0</v>
      </c>
      <c r="D15" s="1775">
        <f>SUM(D6:D14)</f>
        <v>0</v>
      </c>
      <c r="E15" s="1775">
        <f>SUM(E6:E14)</f>
        <v>0</v>
      </c>
      <c r="F15" s="1775">
        <f>SUM(F6:F14)</f>
        <v>0</v>
      </c>
      <c r="G15" s="550"/>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5"/>
      <c r="D17" s="583"/>
      <c r="E17" s="725"/>
      <c r="F17" s="1775">
        <f>SUM(C17+D17)-E17</f>
        <v>0</v>
      </c>
    </row>
    <row r="18" spans="1:11" ht="12.75" customHeight="1" thickTop="1" thickBot="1" x14ac:dyDescent="0.25">
      <c r="A18" s="2226" t="s">
        <v>6</v>
      </c>
      <c r="B18" s="2227"/>
      <c r="C18" s="725"/>
      <c r="D18" s="583"/>
      <c r="E18" s="725"/>
      <c r="F18" s="1775">
        <f>SUM(C18+D18)-E18</f>
        <v>0</v>
      </c>
    </row>
    <row r="19" spans="1:11" ht="12.75" customHeight="1" thickTop="1" thickBot="1" x14ac:dyDescent="0.25">
      <c r="A19" s="2226" t="s">
        <v>406</v>
      </c>
      <c r="B19" s="2227"/>
      <c r="C19" s="725"/>
      <c r="D19" s="583"/>
      <c r="E19" s="725"/>
      <c r="F19" s="1775">
        <f>SUM(C19+D19)-E19</f>
        <v>0</v>
      </c>
    </row>
    <row r="20" spans="1:11" ht="12.75" customHeight="1" thickTop="1" thickBot="1" x14ac:dyDescent="0.25">
      <c r="A20" s="2226" t="s">
        <v>468</v>
      </c>
      <c r="B20" s="2227"/>
      <c r="C20" s="725"/>
      <c r="D20" s="583"/>
      <c r="E20" s="725"/>
      <c r="F20" s="1775">
        <f>SUM(C20+D20)-E20</f>
        <v>0</v>
      </c>
    </row>
    <row r="21" spans="1:11" ht="14.25" thickTop="1" thickBot="1" x14ac:dyDescent="0.25">
      <c r="A21" s="2203" t="s">
        <v>653</v>
      </c>
      <c r="B21" s="2204"/>
      <c r="C21" s="1775">
        <f>SUM(C17:C20)</f>
        <v>0</v>
      </c>
      <c r="D21" s="1775">
        <f>SUM(D17:D20)</f>
        <v>0</v>
      </c>
      <c r="E21" s="1775">
        <f>SUM(E17:E20)</f>
        <v>0</v>
      </c>
      <c r="F21" s="1775">
        <f>SUM(F17:F20)</f>
        <v>0</v>
      </c>
      <c r="G21" s="550"/>
    </row>
    <row r="22" spans="1:11" ht="15.75" customHeight="1" thickTop="1" x14ac:dyDescent="0.2">
      <c r="A22" s="2228" t="s">
        <v>1174</v>
      </c>
      <c r="B22" s="2202"/>
      <c r="C22" s="2210"/>
      <c r="D22" s="2211"/>
      <c r="E22" s="2211"/>
      <c r="F22" s="2212"/>
    </row>
    <row r="23" spans="1:11" ht="13.5" thickBot="1" x14ac:dyDescent="0.25">
      <c r="A23" s="2216" t="s">
        <v>654</v>
      </c>
      <c r="B23" s="2217"/>
      <c r="C23" s="579"/>
      <c r="D23" s="579"/>
      <c r="E23" s="579"/>
      <c r="F23" s="1775">
        <f>SUM(C23+D23)-E23</f>
        <v>0</v>
      </c>
      <c r="G23" s="550"/>
    </row>
    <row r="24" spans="1:11" ht="15.75" customHeight="1" thickTop="1" x14ac:dyDescent="0.2">
      <c r="A24" s="2228" t="s">
        <v>1175</v>
      </c>
      <c r="B24" s="2202"/>
      <c r="C24" s="2210"/>
      <c r="D24" s="2211"/>
      <c r="E24" s="2211"/>
      <c r="F24" s="2212"/>
    </row>
    <row r="25" spans="1:11" ht="13.5" thickBot="1" x14ac:dyDescent="0.25">
      <c r="A25" s="2216" t="s">
        <v>655</v>
      </c>
      <c r="B25" s="2217"/>
      <c r="C25" s="579"/>
      <c r="D25" s="579"/>
      <c r="E25" s="579"/>
      <c r="F25" s="1775">
        <f>SUM(C25+D25)-E25</f>
        <v>0</v>
      </c>
      <c r="G25" s="550"/>
    </row>
    <row r="26" spans="1:11" ht="15.75" customHeight="1" thickTop="1" x14ac:dyDescent="0.2">
      <c r="A26" s="2201" t="s">
        <v>678</v>
      </c>
      <c r="B26" s="2202"/>
      <c r="C26" s="726"/>
      <c r="D26" s="726"/>
      <c r="E26" s="726"/>
      <c r="F26" s="727"/>
    </row>
    <row r="27" spans="1:11" ht="13.5" thickBot="1" x14ac:dyDescent="0.25">
      <c r="A27" s="2203" t="s">
        <v>1130</v>
      </c>
      <c r="B27" s="2204"/>
      <c r="C27" s="583"/>
      <c r="D27" s="583"/>
      <c r="E27" s="583"/>
      <c r="F27" s="1775">
        <f>SUM(C27+D27)-E27</f>
        <v>0</v>
      </c>
      <c r="G27" s="550"/>
    </row>
    <row r="28" spans="1:11" ht="7.5" customHeight="1" thickTop="1" x14ac:dyDescent="0.2">
      <c r="A28" s="592"/>
    </row>
    <row r="29" spans="1:11" ht="23.25" customHeight="1" x14ac:dyDescent="0.2">
      <c r="A29" s="2229" t="s">
        <v>603</v>
      </c>
      <c r="B29" s="2206"/>
      <c r="C29" s="728"/>
      <c r="D29" s="728"/>
      <c r="E29" s="728"/>
      <c r="F29" s="728"/>
      <c r="G29" s="728"/>
      <c r="H29" s="728"/>
      <c r="I29" s="728"/>
      <c r="J29" s="728"/>
    </row>
    <row r="30" spans="1:11" ht="33.75" x14ac:dyDescent="0.2">
      <c r="A30" s="1549" t="s">
        <v>1131</v>
      </c>
      <c r="B30" s="729" t="s">
        <v>1186</v>
      </c>
      <c r="C30" s="1908" t="s">
        <v>604</v>
      </c>
      <c r="D30" s="1908" t="s">
        <v>1772</v>
      </c>
      <c r="E30" s="1908" t="s">
        <v>2039</v>
      </c>
      <c r="F30" s="1908" t="s">
        <v>2040</v>
      </c>
      <c r="G30" s="1908" t="s">
        <v>2043</v>
      </c>
      <c r="H30" s="1908" t="s">
        <v>2041</v>
      </c>
      <c r="I30" s="1908" t="s">
        <v>2042</v>
      </c>
      <c r="J30" s="1909" t="s">
        <v>2</v>
      </c>
      <c r="K30" s="730"/>
    </row>
    <row r="31" spans="1:11" ht="12" customHeight="1" x14ac:dyDescent="0.2">
      <c r="A31" s="731"/>
      <c r="B31" s="732"/>
      <c r="C31" s="733"/>
      <c r="D31" s="734"/>
      <c r="E31" s="733"/>
      <c r="F31" s="733"/>
      <c r="G31" s="733"/>
      <c r="H31" s="733"/>
      <c r="I31" s="1776">
        <f>((E31+F31)-H31)+G31</f>
        <v>0</v>
      </c>
      <c r="J31" s="733"/>
      <c r="K31" s="735"/>
    </row>
    <row r="32" spans="1:11" ht="12" customHeight="1" x14ac:dyDescent="0.2">
      <c r="A32" s="731"/>
      <c r="B32" s="732"/>
      <c r="C32" s="733"/>
      <c r="D32" s="734"/>
      <c r="E32" s="733"/>
      <c r="F32" s="733"/>
      <c r="G32" s="733"/>
      <c r="H32" s="733"/>
      <c r="I32" s="1776">
        <f>((E32+F32)-H32)+G32</f>
        <v>0</v>
      </c>
      <c r="J32" s="733"/>
      <c r="K32" s="735"/>
    </row>
    <row r="33" spans="1:11" ht="12" customHeight="1" x14ac:dyDescent="0.2">
      <c r="A33" s="731"/>
      <c r="B33" s="732"/>
      <c r="C33" s="733"/>
      <c r="D33" s="734"/>
      <c r="E33" s="733"/>
      <c r="F33" s="733"/>
      <c r="G33" s="733"/>
      <c r="H33" s="733"/>
      <c r="I33" s="1776">
        <f t="shared" ref="I33:I48" si="1">((E33+F33)-H33)+G33</f>
        <v>0</v>
      </c>
      <c r="J33" s="733"/>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0</v>
      </c>
      <c r="D49" s="744"/>
      <c r="E49" s="1776">
        <f t="shared" ref="E49:J49" si="2">SUM(E31:E48)</f>
        <v>0</v>
      </c>
      <c r="F49" s="1776">
        <f t="shared" si="2"/>
        <v>0</v>
      </c>
      <c r="G49" s="1776">
        <f t="shared" si="2"/>
        <v>0</v>
      </c>
      <c r="H49" s="1776">
        <f t="shared" si="2"/>
        <v>0</v>
      </c>
      <c r="I49" s="1776">
        <f t="shared" si="2"/>
        <v>0</v>
      </c>
      <c r="J49" s="1776">
        <f t="shared" si="2"/>
        <v>0</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20" t="s">
        <v>605</v>
      </c>
      <c r="C52" s="2221"/>
      <c r="D52" s="2221"/>
      <c r="E52" s="748" t="s">
        <v>900</v>
      </c>
      <c r="F52" s="2222"/>
      <c r="G52" s="2223"/>
      <c r="H52" s="735"/>
      <c r="I52" s="735"/>
      <c r="J52" s="745"/>
    </row>
    <row r="53" spans="1:11" ht="11.25" customHeight="1" x14ac:dyDescent="0.2">
      <c r="A53" s="749" t="s">
        <v>969</v>
      </c>
      <c r="B53" s="750" t="s">
        <v>1008</v>
      </c>
      <c r="C53" s="745"/>
      <c r="D53" s="736"/>
      <c r="E53" s="748" t="s">
        <v>518</v>
      </c>
      <c r="F53" s="2224"/>
      <c r="G53" s="2225"/>
      <c r="H53" s="735"/>
      <c r="I53" s="735"/>
      <c r="J53" s="745"/>
    </row>
    <row r="54" spans="1:11" ht="11.25" customHeight="1" x14ac:dyDescent="0.2">
      <c r="A54" s="751" t="s">
        <v>970</v>
      </c>
      <c r="B54" s="746" t="s">
        <v>1009</v>
      </c>
      <c r="C54" s="745"/>
      <c r="D54" s="736"/>
      <c r="E54" s="748" t="s">
        <v>519</v>
      </c>
      <c r="F54" s="2224"/>
      <c r="G54" s="2225"/>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0"/>
      <c r="I1" s="759"/>
      <c r="J1" s="433"/>
    </row>
    <row r="2" spans="1:11" ht="26.25" x14ac:dyDescent="0.2">
      <c r="A2" s="2233" t="s">
        <v>1776</v>
      </c>
      <c r="B2" s="2234"/>
      <c r="C2" s="2234"/>
      <c r="D2" s="2234"/>
      <c r="E2" s="2235"/>
      <c r="F2" s="760" t="s">
        <v>960</v>
      </c>
      <c r="G2" s="761" t="s">
        <v>1773</v>
      </c>
      <c r="H2" s="761" t="s">
        <v>430</v>
      </c>
      <c r="I2" s="761" t="s">
        <v>1220</v>
      </c>
      <c r="J2" s="761" t="s">
        <v>1918</v>
      </c>
      <c r="K2" s="761" t="s">
        <v>140</v>
      </c>
    </row>
    <row r="3" spans="1:11" x14ac:dyDescent="0.2">
      <c r="A3" s="2236" t="s">
        <v>1698</v>
      </c>
      <c r="B3" s="2237"/>
      <c r="C3" s="2237"/>
      <c r="D3" s="2237"/>
      <c r="E3" s="2238"/>
      <c r="F3" s="762"/>
      <c r="G3" s="763"/>
      <c r="H3" s="763"/>
      <c r="I3" s="763"/>
      <c r="J3" s="764"/>
      <c r="K3" s="764"/>
    </row>
    <row r="4" spans="1:11" x14ac:dyDescent="0.2">
      <c r="A4" s="2239" t="s">
        <v>387</v>
      </c>
      <c r="B4" s="2240"/>
      <c r="C4" s="2240"/>
      <c r="D4" s="2240"/>
      <c r="E4" s="2221"/>
      <c r="F4" s="765"/>
      <c r="G4" s="766"/>
      <c r="H4" s="767"/>
      <c r="I4" s="766"/>
      <c r="J4" s="768"/>
      <c r="K4" s="768"/>
    </row>
    <row r="5" spans="1:11" x14ac:dyDescent="0.2">
      <c r="A5" s="2257" t="s">
        <v>1129</v>
      </c>
      <c r="B5" s="2230"/>
      <c r="C5" s="2230"/>
      <c r="D5" s="2230"/>
      <c r="E5" s="2258"/>
      <c r="F5" s="769" t="s">
        <v>903</v>
      </c>
      <c r="G5" s="770"/>
      <c r="H5" s="763">
        <v>2475</v>
      </c>
      <c r="I5" s="771"/>
      <c r="J5" s="772"/>
      <c r="K5" s="772"/>
    </row>
    <row r="6" spans="1:11" x14ac:dyDescent="0.2">
      <c r="A6" s="773" t="s">
        <v>744</v>
      </c>
      <c r="B6" s="774"/>
      <c r="C6" s="774"/>
      <c r="D6" s="774"/>
      <c r="E6" s="775"/>
      <c r="F6" s="776" t="s">
        <v>904</v>
      </c>
      <c r="G6" s="763"/>
      <c r="H6" s="763">
        <v>2</v>
      </c>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257" t="s">
        <v>1919</v>
      </c>
      <c r="B10" s="2230"/>
      <c r="C10" s="2230"/>
      <c r="D10" s="2230"/>
      <c r="E10" s="2259"/>
      <c r="F10" s="782" t="s">
        <v>917</v>
      </c>
      <c r="G10" s="781"/>
      <c r="H10" s="783"/>
      <c r="I10" s="763"/>
      <c r="J10" s="764"/>
      <c r="K10" s="764"/>
    </row>
    <row r="11" spans="1:11" x14ac:dyDescent="0.2">
      <c r="A11" s="2257" t="s">
        <v>162</v>
      </c>
      <c r="B11" s="2230"/>
      <c r="C11" s="2230"/>
      <c r="D11" s="2230"/>
      <c r="E11" s="2258"/>
      <c r="F11" s="769" t="s">
        <v>907</v>
      </c>
      <c r="G11" s="770"/>
      <c r="H11" s="763"/>
      <c r="I11" s="763"/>
      <c r="J11" s="764"/>
      <c r="K11" s="772"/>
    </row>
    <row r="12" spans="1:11" ht="13.5" thickBot="1" x14ac:dyDescent="0.25">
      <c r="A12" s="2247" t="s">
        <v>961</v>
      </c>
      <c r="B12" s="2248"/>
      <c r="C12" s="2248"/>
      <c r="D12" s="2248"/>
      <c r="E12" s="2249"/>
      <c r="F12" s="1777"/>
      <c r="G12" s="1778">
        <f>SUM(G5:G11)</f>
        <v>0</v>
      </c>
      <c r="H12" s="1778">
        <f>SUM(H5:H11)</f>
        <v>2477</v>
      </c>
      <c r="I12" s="1778">
        <f>SUM(I5:I11)</f>
        <v>0</v>
      </c>
      <c r="J12" s="1778">
        <f>SUM(J5:J11)</f>
        <v>0</v>
      </c>
      <c r="K12" s="1778">
        <f>SUM(K5:K11)</f>
        <v>0</v>
      </c>
    </row>
    <row r="13" spans="1:11" ht="13.5" thickTop="1" x14ac:dyDescent="0.2">
      <c r="A13" s="2241" t="s">
        <v>388</v>
      </c>
      <c r="B13" s="2242"/>
      <c r="C13" s="2242"/>
      <c r="D13" s="2242"/>
      <c r="E13" s="2243"/>
      <c r="F13" s="784"/>
      <c r="G13" s="785"/>
      <c r="H13" s="786"/>
      <c r="I13" s="787"/>
      <c r="J13" s="787"/>
      <c r="K13" s="787"/>
    </row>
    <row r="14" spans="1:11" x14ac:dyDescent="0.2">
      <c r="A14" s="2263" t="s">
        <v>476</v>
      </c>
      <c r="B14" s="2263"/>
      <c r="C14" s="2263"/>
      <c r="D14" s="2263"/>
      <c r="E14" s="2264"/>
      <c r="F14" s="788" t="s">
        <v>909</v>
      </c>
      <c r="G14" s="781"/>
      <c r="H14" s="763">
        <v>2477</v>
      </c>
      <c r="I14" s="770"/>
      <c r="J14" s="772"/>
      <c r="K14" s="764"/>
    </row>
    <row r="15" spans="1:11" x14ac:dyDescent="0.2">
      <c r="A15" s="2230" t="s">
        <v>4</v>
      </c>
      <c r="B15" s="2230"/>
      <c r="C15" s="2230"/>
      <c r="D15" s="2230"/>
      <c r="E15" s="2258"/>
      <c r="F15" s="788" t="s">
        <v>910</v>
      </c>
      <c r="G15" s="770"/>
      <c r="H15" s="763"/>
      <c r="I15" s="763"/>
      <c r="J15" s="764"/>
      <c r="K15" s="764"/>
    </row>
    <row r="16" spans="1:11" x14ac:dyDescent="0.2">
      <c r="A16" s="2230" t="s">
        <v>316</v>
      </c>
      <c r="B16" s="2230"/>
      <c r="C16" s="2230"/>
      <c r="D16" s="2230"/>
      <c r="E16" s="2258"/>
      <c r="F16" s="788" t="s">
        <v>980</v>
      </c>
      <c r="G16" s="771"/>
      <c r="H16" s="766"/>
      <c r="I16" s="766"/>
      <c r="J16" s="768"/>
      <c r="K16" s="768"/>
    </row>
    <row r="17" spans="1:11" x14ac:dyDescent="0.2">
      <c r="A17" s="2252" t="s">
        <v>992</v>
      </c>
      <c r="B17" s="2252"/>
      <c r="C17" s="2252"/>
      <c r="D17" s="2252"/>
      <c r="E17" s="2253"/>
      <c r="F17" s="789"/>
      <c r="G17" s="790"/>
      <c r="H17" s="791"/>
      <c r="I17" s="791"/>
      <c r="J17" s="792"/>
      <c r="K17" s="793"/>
    </row>
    <row r="18" spans="1:11" x14ac:dyDescent="0.2">
      <c r="A18" s="2244" t="s">
        <v>386</v>
      </c>
      <c r="B18" s="2245"/>
      <c r="C18" s="2245"/>
      <c r="D18" s="2245"/>
      <c r="E18" s="2246"/>
      <c r="F18" s="788" t="s">
        <v>989</v>
      </c>
      <c r="G18" s="781"/>
      <c r="H18" s="781"/>
      <c r="I18" s="781"/>
      <c r="J18" s="764"/>
      <c r="K18" s="794"/>
    </row>
    <row r="19" spans="1:11" ht="21.75" customHeight="1" x14ac:dyDescent="0.2">
      <c r="A19" s="2265" t="s">
        <v>1915</v>
      </c>
      <c r="B19" s="2265"/>
      <c r="C19" s="2265"/>
      <c r="D19" s="2265"/>
      <c r="E19" s="2266"/>
      <c r="F19" s="788" t="s">
        <v>990</v>
      </c>
      <c r="G19" s="781"/>
      <c r="H19" s="781"/>
      <c r="I19" s="781"/>
      <c r="J19" s="764"/>
      <c r="K19" s="794"/>
    </row>
    <row r="20" spans="1:11" x14ac:dyDescent="0.2">
      <c r="A20" s="2244" t="s">
        <v>1920</v>
      </c>
      <c r="B20" s="2245"/>
      <c r="C20" s="2245"/>
      <c r="D20" s="2245"/>
      <c r="E20" s="2246"/>
      <c r="F20" s="788" t="s">
        <v>991</v>
      </c>
      <c r="G20" s="781"/>
      <c r="H20" s="781"/>
      <c r="I20" s="781"/>
      <c r="J20" s="764"/>
      <c r="K20" s="794"/>
    </row>
    <row r="21" spans="1:11" ht="13.5" thickBot="1" x14ac:dyDescent="0.25">
      <c r="A21" s="2250" t="s">
        <v>659</v>
      </c>
      <c r="B21" s="2250"/>
      <c r="C21" s="2250"/>
      <c r="D21" s="2250"/>
      <c r="E21" s="2250"/>
      <c r="F21" s="1779"/>
      <c r="G21" s="791"/>
      <c r="H21" s="795"/>
      <c r="I21" s="795"/>
      <c r="J21" s="1780">
        <f>SUM(J18:J20)</f>
        <v>0</v>
      </c>
      <c r="K21" s="792"/>
    </row>
    <row r="22" spans="1:11" ht="13.5" thickTop="1" x14ac:dyDescent="0.2">
      <c r="A22" s="2230" t="s">
        <v>1921</v>
      </c>
      <c r="B22" s="2230"/>
      <c r="C22" s="2230"/>
      <c r="D22" s="2230"/>
      <c r="E22" s="2258"/>
      <c r="F22" s="788" t="s">
        <v>917</v>
      </c>
      <c r="G22" s="781"/>
      <c r="H22" s="763"/>
      <c r="I22" s="763"/>
      <c r="J22" s="796"/>
      <c r="K22" s="764"/>
    </row>
    <row r="23" spans="1:11" ht="13.5" thickBot="1" x14ac:dyDescent="0.25">
      <c r="A23" s="2251" t="s">
        <v>962</v>
      </c>
      <c r="B23" s="2250"/>
      <c r="C23" s="2250"/>
      <c r="D23" s="2250"/>
      <c r="E23" s="2250"/>
      <c r="F23" s="1781"/>
      <c r="G23" s="1778">
        <f>SUM(G14:G16,G21,G22)</f>
        <v>0</v>
      </c>
      <c r="H23" s="1778">
        <f>SUM(H14:H16,H21,H22)</f>
        <v>2477</v>
      </c>
      <c r="I23" s="1778">
        <f>SUM(I14:I16,I21,I22)</f>
        <v>0</v>
      </c>
      <c r="J23" s="1778">
        <f>SUM(J14:J16,J21,J22)</f>
        <v>0</v>
      </c>
      <c r="K23" s="1778">
        <f>SUM(K14:K16,K21,K22)</f>
        <v>0</v>
      </c>
    </row>
    <row r="24" spans="1:11" ht="14.25" thickTop="1" thickBot="1" x14ac:dyDescent="0.25">
      <c r="A24" s="2251" t="s">
        <v>2025</v>
      </c>
      <c r="B24" s="2250"/>
      <c r="C24" s="2250"/>
      <c r="D24" s="2250"/>
      <c r="E24" s="2250"/>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2035</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60"/>
      <c r="I31" s="2261"/>
      <c r="J31" s="2261"/>
      <c r="K31" s="2261"/>
    </row>
    <row r="32" spans="1:11" x14ac:dyDescent="0.2">
      <c r="A32" s="808"/>
      <c r="B32" s="237"/>
      <c r="C32" s="237"/>
      <c r="D32" s="237"/>
      <c r="E32" s="804"/>
      <c r="F32" s="810" t="s">
        <v>561</v>
      </c>
      <c r="G32" s="763"/>
      <c r="H32" s="2262"/>
      <c r="I32" s="2261"/>
      <c r="J32" s="2261"/>
      <c r="K32" s="2261"/>
    </row>
    <row r="33" spans="1:11" ht="1.5" customHeight="1" x14ac:dyDescent="0.2">
      <c r="A33" s="811" t="s">
        <v>1231</v>
      </c>
      <c r="B33" s="364"/>
      <c r="C33" s="364"/>
      <c r="D33" s="364"/>
      <c r="E33" s="364"/>
      <c r="F33" s="364"/>
      <c r="G33" s="812"/>
      <c r="H33" s="2262"/>
      <c r="I33" s="2261"/>
      <c r="J33" s="2261"/>
      <c r="K33" s="2261"/>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0" t="s">
        <v>562</v>
      </c>
      <c r="B41" s="2231"/>
      <c r="C41" s="2231"/>
      <c r="D41" s="2231"/>
      <c r="E41" s="2231"/>
      <c r="F41" s="2232"/>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1916</v>
      </c>
      <c r="B46" s="408" t="s">
        <v>1774</v>
      </c>
    </row>
    <row r="47" spans="1:11" s="822" customFormat="1" ht="12.75" customHeight="1" x14ac:dyDescent="0.2">
      <c r="A47" s="820"/>
      <c r="B47" s="821" t="s">
        <v>1775</v>
      </c>
      <c r="E47" s="821"/>
      <c r="K47" s="823"/>
    </row>
    <row r="48" spans="1:11" ht="12.75" customHeight="1" x14ac:dyDescent="0.2">
      <c r="A48" s="1552"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2034</v>
      </c>
      <c r="B1" s="2270"/>
      <c r="C1" s="2271"/>
      <c r="D1" s="825"/>
      <c r="E1" s="826"/>
      <c r="F1" s="826"/>
      <c r="G1" s="827"/>
      <c r="H1" s="828"/>
      <c r="I1" s="829"/>
      <c r="J1" s="2267"/>
      <c r="K1" s="2268"/>
      <c r="L1" s="2268"/>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1284</v>
      </c>
      <c r="D5" s="840"/>
      <c r="E5" s="840"/>
      <c r="F5" s="1780">
        <f>(C5+D5)-E5</f>
        <v>1284</v>
      </c>
      <c r="G5" s="836"/>
      <c r="H5" s="841"/>
      <c r="I5" s="841"/>
      <c r="J5" s="841"/>
      <c r="K5" s="792"/>
      <c r="L5" s="1789">
        <f>F5-K5</f>
        <v>1284</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453536</v>
      </c>
      <c r="D8" s="843"/>
      <c r="E8" s="843"/>
      <c r="F8" s="1780">
        <f>(C8+D8)-E8</f>
        <v>453536</v>
      </c>
      <c r="G8" s="842">
        <v>50</v>
      </c>
      <c r="H8" s="764">
        <v>347189</v>
      </c>
      <c r="I8" s="764">
        <v>7517</v>
      </c>
      <c r="J8" s="764"/>
      <c r="K8" s="1789">
        <f>(H8+I8)-J8</f>
        <v>354706</v>
      </c>
      <c r="L8" s="1789">
        <f>F8-K8</f>
        <v>98830</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1439</v>
      </c>
      <c r="D10" s="845"/>
      <c r="E10" s="845"/>
      <c r="F10" s="1784">
        <f>(C10+D10)-E10</f>
        <v>1439</v>
      </c>
      <c r="G10" s="842">
        <v>20</v>
      </c>
      <c r="H10" s="846">
        <v>144</v>
      </c>
      <c r="I10" s="846">
        <v>72</v>
      </c>
      <c r="J10" s="846"/>
      <c r="K10" s="1789">
        <f>(H10+I10)-J10</f>
        <v>216</v>
      </c>
      <c r="L10" s="1789">
        <f>F10-K10</f>
        <v>1223</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60179</v>
      </c>
      <c r="D12" s="843">
        <v>11822</v>
      </c>
      <c r="E12" s="843">
        <v>5310</v>
      </c>
      <c r="F12" s="1780">
        <f>(C12+D12)-E12</f>
        <v>66691</v>
      </c>
      <c r="G12" s="842">
        <v>10</v>
      </c>
      <c r="H12" s="764">
        <v>31982</v>
      </c>
      <c r="I12" s="764">
        <v>6666</v>
      </c>
      <c r="J12" s="764">
        <v>5310</v>
      </c>
      <c r="K12" s="1789">
        <f>(H12+I12)-J12</f>
        <v>33338</v>
      </c>
      <c r="L12" s="1789">
        <f>F12-K12</f>
        <v>33353</v>
      </c>
    </row>
    <row r="13" spans="1:14" ht="14.25" thickTop="1" thickBot="1" x14ac:dyDescent="0.25">
      <c r="A13" s="847" t="s">
        <v>1184</v>
      </c>
      <c r="B13" s="839">
        <v>252</v>
      </c>
      <c r="C13" s="843">
        <v>10568</v>
      </c>
      <c r="D13" s="843"/>
      <c r="E13" s="843"/>
      <c r="F13" s="1780">
        <f>(C13+D13)-E13</f>
        <v>10568</v>
      </c>
      <c r="G13" s="842">
        <v>5</v>
      </c>
      <c r="H13" s="764">
        <v>10568</v>
      </c>
      <c r="I13" s="764"/>
      <c r="J13" s="764"/>
      <c r="K13" s="1789">
        <f>(H13+I13)-J13</f>
        <v>10568</v>
      </c>
      <c r="L13" s="1789">
        <f>F13-K13</f>
        <v>0</v>
      </c>
    </row>
    <row r="14" spans="1:14" ht="14.25" thickTop="1" thickBot="1" x14ac:dyDescent="0.25">
      <c r="A14" s="847" t="s">
        <v>1185</v>
      </c>
      <c r="B14" s="839">
        <v>253</v>
      </c>
      <c r="C14" s="764">
        <v>0</v>
      </c>
      <c r="D14" s="764"/>
      <c r="E14" s="764"/>
      <c r="F14" s="1780">
        <f>(C14+D14)-E14</f>
        <v>0</v>
      </c>
      <c r="G14" s="842">
        <v>3</v>
      </c>
      <c r="H14" s="764">
        <v>0</v>
      </c>
      <c r="I14" s="764"/>
      <c r="J14" s="764"/>
      <c r="K14" s="1789">
        <f>(H14+I14)-J14</f>
        <v>0</v>
      </c>
      <c r="L14" s="1789">
        <f>F14-K14</f>
        <v>0</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527006</v>
      </c>
      <c r="D16" s="1780">
        <f>SUM(D3,D5:D6,D8:D10,D12:D15)</f>
        <v>11822</v>
      </c>
      <c r="E16" s="1780">
        <f>SUM(E3,E5:E6,E8:E10,E12:E15)</f>
        <v>5310</v>
      </c>
      <c r="F16" s="1780">
        <f>SUM(F3,F5:F6,F8:F10,F12:F15)</f>
        <v>533518</v>
      </c>
      <c r="G16" s="842"/>
      <c r="H16" s="1780">
        <f>SUM(H3,H6,H8:H10,H12:H14,)</f>
        <v>389883</v>
      </c>
      <c r="I16" s="1780">
        <f>SUM(I3,I6,I8:I10,I12:I14,)</f>
        <v>14255</v>
      </c>
      <c r="J16" s="1780">
        <f>SUM(J3,J6,J8:J10,J12:J14,)</f>
        <v>5310</v>
      </c>
      <c r="K16" s="1780">
        <f>(H16+I16)-J16</f>
        <v>398828</v>
      </c>
      <c r="L16" s="1780">
        <f>F16-K16</f>
        <v>134690</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14255</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J32" sqref="J32"/>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5" t="s">
        <v>1699</v>
      </c>
      <c r="B1" s="2276"/>
      <c r="C1" s="2276"/>
      <c r="D1" s="2276"/>
      <c r="E1" s="2276"/>
      <c r="F1" s="2277"/>
      <c r="G1" s="854"/>
    </row>
    <row r="2" spans="1:7" ht="15" customHeight="1" thickBot="1" x14ac:dyDescent="0.25">
      <c r="A2" s="2278" t="s">
        <v>498</v>
      </c>
      <c r="B2" s="2279"/>
      <c r="C2" s="2279"/>
      <c r="D2" s="2279"/>
      <c r="E2" s="2279"/>
      <c r="F2" s="2280"/>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684061</v>
      </c>
      <c r="G8" s="864"/>
    </row>
    <row r="9" spans="1:7" x14ac:dyDescent="0.2">
      <c r="A9" s="868" t="s">
        <v>480</v>
      </c>
      <c r="B9" s="869" t="s">
        <v>1988</v>
      </c>
      <c r="C9" s="870"/>
      <c r="D9" s="868" t="s">
        <v>522</v>
      </c>
      <c r="E9" s="867"/>
      <c r="F9" s="1933">
        <f>'Expenditures 15-22'!K151</f>
        <v>27990</v>
      </c>
      <c r="G9" s="871"/>
    </row>
    <row r="10" spans="1:7" x14ac:dyDescent="0.2">
      <c r="A10" s="868" t="s">
        <v>520</v>
      </c>
      <c r="B10" s="869" t="s">
        <v>1989</v>
      </c>
      <c r="C10" s="870"/>
      <c r="D10" s="868" t="s">
        <v>522</v>
      </c>
      <c r="E10" s="867"/>
      <c r="F10" s="1933">
        <f>'Expenditures 15-22'!K174</f>
        <v>0</v>
      </c>
      <c r="G10" s="871"/>
    </row>
    <row r="11" spans="1:7" x14ac:dyDescent="0.2">
      <c r="A11" s="868" t="s">
        <v>481</v>
      </c>
      <c r="B11" s="869" t="s">
        <v>1990</v>
      </c>
      <c r="C11" s="870"/>
      <c r="D11" s="868" t="s">
        <v>522</v>
      </c>
      <c r="E11" s="867"/>
      <c r="F11" s="1933">
        <f>'Expenditures 15-22'!K210</f>
        <v>76171</v>
      </c>
      <c r="G11" s="871"/>
    </row>
    <row r="12" spans="1:7" x14ac:dyDescent="0.2">
      <c r="A12" s="868" t="s">
        <v>482</v>
      </c>
      <c r="B12" s="869" t="s">
        <v>1991</v>
      </c>
      <c r="C12" s="870"/>
      <c r="D12" s="868" t="s">
        <v>522</v>
      </c>
      <c r="E12" s="867"/>
      <c r="F12" s="1933">
        <f>'Expenditures 15-22'!K295</f>
        <v>23879</v>
      </c>
      <c r="G12" s="871"/>
    </row>
    <row r="13" spans="1:7" x14ac:dyDescent="0.2">
      <c r="A13" s="868" t="s">
        <v>108</v>
      </c>
      <c r="B13" s="869" t="s">
        <v>1992</v>
      </c>
      <c r="C13" s="870"/>
      <c r="D13" s="868" t="s">
        <v>522</v>
      </c>
      <c r="E13" s="867"/>
      <c r="F13" s="1933">
        <f>'Expenditures 15-22'!K342</f>
        <v>0</v>
      </c>
      <c r="G13" s="872"/>
    </row>
    <row r="14" spans="1:7" ht="12" customHeight="1" thickBot="1" x14ac:dyDescent="0.25">
      <c r="A14" s="1790"/>
      <c r="B14" s="1791"/>
      <c r="C14" s="1792"/>
      <c r="D14" s="1793" t="s">
        <v>522</v>
      </c>
      <c r="E14" s="1794" t="s">
        <v>1015</v>
      </c>
      <c r="F14" s="1795">
        <f>SUM(F8:F13)</f>
        <v>812101</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7">
        <f>'Expenditures 15-22'!K102</f>
        <v>131767</v>
      </c>
      <c r="G53" s="864"/>
    </row>
    <row r="54" spans="1:7" x14ac:dyDescent="0.2">
      <c r="A54" s="868" t="s">
        <v>479</v>
      </c>
      <c r="B54" s="868" t="s">
        <v>1552</v>
      </c>
      <c r="C54" s="888" t="s">
        <v>1039</v>
      </c>
      <c r="D54" s="884" t="s">
        <v>1157</v>
      </c>
      <c r="E54" s="867"/>
      <c r="F54" s="1937">
        <f>'Expenditures 15-22'!G114</f>
        <v>11822</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7">
        <f>'Expenditures 15-22'!K139</f>
        <v>0</v>
      </c>
      <c r="G57" s="864"/>
    </row>
    <row r="58" spans="1:7" x14ac:dyDescent="0.2">
      <c r="A58" s="868" t="s">
        <v>480</v>
      </c>
      <c r="B58" s="868" t="s">
        <v>1994</v>
      </c>
      <c r="C58" s="885" t="s">
        <v>1039</v>
      </c>
      <c r="D58" s="884" t="s">
        <v>1157</v>
      </c>
      <c r="E58" s="867"/>
      <c r="F58" s="1939">
        <f>'Expenditures 15-22'!G151</f>
        <v>0</v>
      </c>
      <c r="G58" s="864"/>
    </row>
    <row r="59" spans="1:7" x14ac:dyDescent="0.2">
      <c r="A59" s="892" t="s">
        <v>480</v>
      </c>
      <c r="B59" s="855" t="s">
        <v>1995</v>
      </c>
      <c r="C59" s="893" t="s">
        <v>1039</v>
      </c>
      <c r="D59" s="855" t="s">
        <v>309</v>
      </c>
      <c r="F59" s="1940">
        <f>'Expenditures 15-22'!I151</f>
        <v>0</v>
      </c>
      <c r="G59" s="864"/>
    </row>
    <row r="60" spans="1:7" x14ac:dyDescent="0.2">
      <c r="A60" s="892" t="s">
        <v>520</v>
      </c>
      <c r="B60" s="855" t="s">
        <v>1996</v>
      </c>
      <c r="C60" s="893">
        <v>4000</v>
      </c>
      <c r="D60" s="855" t="s">
        <v>330</v>
      </c>
      <c r="F60" s="1938">
        <f>'Expenditures 15-22'!K160</f>
        <v>0</v>
      </c>
      <c r="G60" s="864"/>
    </row>
    <row r="61" spans="1:7" x14ac:dyDescent="0.2">
      <c r="A61" s="894" t="s">
        <v>520</v>
      </c>
      <c r="B61" s="894" t="s">
        <v>1997</v>
      </c>
      <c r="C61" s="895" t="str">
        <f>'Expenditures 15-22'!B170</f>
        <v>5300</v>
      </c>
      <c r="D61" s="896" t="s">
        <v>329</v>
      </c>
      <c r="E61" s="878"/>
      <c r="F61" s="1937">
        <f>'Expenditures 15-22'!K170</f>
        <v>0</v>
      </c>
      <c r="G61" s="864"/>
    </row>
    <row r="62" spans="1:7" x14ac:dyDescent="0.2">
      <c r="A62" s="868" t="s">
        <v>481</v>
      </c>
      <c r="B62" s="868" t="s">
        <v>1998</v>
      </c>
      <c r="C62" s="885">
        <f>'Expenditures 15-22'!B185</f>
        <v>3000</v>
      </c>
      <c r="D62" s="875" t="s">
        <v>469</v>
      </c>
      <c r="E62" s="867"/>
      <c r="F62" s="1937">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7">
        <f>'Expenditures 15-22'!K196</f>
        <v>11891</v>
      </c>
      <c r="G63" s="864"/>
    </row>
    <row r="64" spans="1:7" x14ac:dyDescent="0.2">
      <c r="A64" s="894" t="s">
        <v>481</v>
      </c>
      <c r="B64" s="894" t="s">
        <v>2000</v>
      </c>
      <c r="C64" s="895" t="str">
        <f>'Expenditures 15-22'!B206</f>
        <v>5300</v>
      </c>
      <c r="D64" s="891" t="s">
        <v>329</v>
      </c>
      <c r="E64" s="867"/>
      <c r="F64" s="1937">
        <f>'Expenditures 15-22'!K206</f>
        <v>0</v>
      </c>
      <c r="G64" s="864"/>
    </row>
    <row r="65" spans="1:8" x14ac:dyDescent="0.2">
      <c r="A65" s="868" t="s">
        <v>481</v>
      </c>
      <c r="B65" s="868" t="s">
        <v>2001</v>
      </c>
      <c r="C65" s="885" t="s">
        <v>1039</v>
      </c>
      <c r="D65" s="884" t="s">
        <v>1157</v>
      </c>
      <c r="E65" s="867"/>
      <c r="F65" s="1937">
        <f>'Expenditures 15-22'!G210</f>
        <v>0</v>
      </c>
      <c r="G65" s="864"/>
    </row>
    <row r="66" spans="1:8" x14ac:dyDescent="0.2">
      <c r="A66" s="868" t="s">
        <v>481</v>
      </c>
      <c r="B66" s="868" t="s">
        <v>2002</v>
      </c>
      <c r="C66" s="885" t="s">
        <v>1039</v>
      </c>
      <c r="D66" s="884" t="s">
        <v>309</v>
      </c>
      <c r="E66" s="867"/>
      <c r="F66" s="1937">
        <f>'Expenditures 15-22'!I210</f>
        <v>0</v>
      </c>
      <c r="G66" s="864"/>
    </row>
    <row r="67" spans="1:8" x14ac:dyDescent="0.2">
      <c r="A67" s="868" t="s">
        <v>482</v>
      </c>
      <c r="B67" s="868" t="s">
        <v>2003</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2005</v>
      </c>
      <c r="C70" s="885">
        <f>'Expenditures 15-22'!B221</f>
        <v>1300</v>
      </c>
      <c r="D70" s="886" t="str">
        <f>'Expenditures 15-22'!A221</f>
        <v>Adult/Continuing Education Programs</v>
      </c>
      <c r="E70" s="867"/>
      <c r="F70" s="1937">
        <f>'Expenditures 15-22'!K221</f>
        <v>0</v>
      </c>
      <c r="G70" s="864"/>
    </row>
    <row r="71" spans="1:8" x14ac:dyDescent="0.2">
      <c r="A71" s="868" t="s">
        <v>482</v>
      </c>
      <c r="B71" s="868" t="s">
        <v>2006</v>
      </c>
      <c r="C71" s="885">
        <f>'Expenditures 15-22'!B224</f>
        <v>1600</v>
      </c>
      <c r="D71" s="886" t="str">
        <f>'Expenditures 15-22'!A224</f>
        <v>Summer School Programs</v>
      </c>
      <c r="E71" s="867"/>
      <c r="F71" s="1937">
        <f>'Expenditures 15-22'!K224</f>
        <v>0</v>
      </c>
      <c r="G71" s="864"/>
    </row>
    <row r="72" spans="1:8" x14ac:dyDescent="0.2">
      <c r="A72" s="868" t="s">
        <v>482</v>
      </c>
      <c r="B72" s="868" t="s">
        <v>2007</v>
      </c>
      <c r="C72" s="885">
        <f>'Expenditures 15-22'!B280</f>
        <v>3000</v>
      </c>
      <c r="D72" s="875" t="s">
        <v>469</v>
      </c>
      <c r="E72" s="867"/>
      <c r="F72" s="1937">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7">
        <f>'Expenditures 15-22'!K285</f>
        <v>0</v>
      </c>
      <c r="G73" s="864"/>
    </row>
    <row r="74" spans="1:8" x14ac:dyDescent="0.2">
      <c r="A74" s="868" t="s">
        <v>456</v>
      </c>
      <c r="B74" s="868" t="s">
        <v>2009</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2010</v>
      </c>
      <c r="E76" s="1794" t="s">
        <v>1015</v>
      </c>
      <c r="F76" s="1798">
        <f>SUM(F18:F74)</f>
        <v>155480</v>
      </c>
      <c r="G76" s="864"/>
    </row>
    <row r="77" spans="1:8" s="892" customFormat="1" ht="12" customHeight="1" thickTop="1" thickBot="1" x14ac:dyDescent="0.25">
      <c r="A77" s="1799"/>
      <c r="B77" s="1796"/>
      <c r="C77" s="1792"/>
      <c r="D77" s="1797" t="s">
        <v>2011</v>
      </c>
      <c r="E77" s="1794"/>
      <c r="F77" s="1800">
        <f>(F14-F76)</f>
        <v>656621</v>
      </c>
      <c r="G77" s="868"/>
    </row>
    <row r="78" spans="1:8" s="892" customFormat="1" ht="12" customHeight="1" thickTop="1" x14ac:dyDescent="0.2">
      <c r="A78" s="1801"/>
      <c r="B78" s="1796"/>
      <c r="C78" s="1792"/>
      <c r="D78" s="1797" t="s">
        <v>2058</v>
      </c>
      <c r="E78" s="1794"/>
      <c r="F78" s="897">
        <v>48.63</v>
      </c>
      <c r="G78" s="898"/>
      <c r="H78" s="868"/>
    </row>
    <row r="79" spans="1:8" s="892" customFormat="1" ht="12" customHeight="1" thickBot="1" x14ac:dyDescent="0.25">
      <c r="A79" s="1802"/>
      <c r="B79" s="1796"/>
      <c r="C79" s="1792"/>
      <c r="D79" s="1797" t="s">
        <v>2012</v>
      </c>
      <c r="E79" s="1794" t="s">
        <v>1015</v>
      </c>
      <c r="F79" s="1803">
        <f>IF(F78&gt;0,F77/F78," Complete Line 78")</f>
        <v>13502.385358831996</v>
      </c>
      <c r="G79" s="868"/>
    </row>
    <row r="80" spans="1:8" s="892" customFormat="1" ht="8.25" customHeight="1" thickTop="1" x14ac:dyDescent="0.2">
      <c r="A80" s="899"/>
      <c r="B80" s="868"/>
      <c r="C80" s="870"/>
      <c r="D80" s="900"/>
      <c r="E80" s="867"/>
      <c r="F80" s="901"/>
      <c r="G80" s="868"/>
    </row>
    <row r="81" spans="1:7" s="892" customFormat="1" ht="12" thickBot="1" x14ac:dyDescent="0.25">
      <c r="A81" s="2272" t="s">
        <v>1167</v>
      </c>
      <c r="B81" s="2273"/>
      <c r="C81" s="2273"/>
      <c r="D81" s="2273"/>
      <c r="E81" s="2273"/>
      <c r="F81" s="2274"/>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2389</v>
      </c>
      <c r="G94" s="911"/>
    </row>
    <row r="95" spans="1:7" x14ac:dyDescent="0.2">
      <c r="A95" s="907" t="s">
        <v>142</v>
      </c>
      <c r="B95" s="907" t="s">
        <v>177</v>
      </c>
      <c r="C95" s="909">
        <v>1700</v>
      </c>
      <c r="D95" s="917" t="str">
        <f>'Revenues 9-14'!A82</f>
        <v>Total District/School Activity Income</v>
      </c>
      <c r="E95" s="905"/>
      <c r="F95" s="1809">
        <f>SUM('Revenues 9-14'!C82,'Revenues 9-14'!D82)</f>
        <v>0</v>
      </c>
      <c r="G95" s="911"/>
    </row>
    <row r="96" spans="1:7" x14ac:dyDescent="0.2">
      <c r="A96" s="907" t="s">
        <v>479</v>
      </c>
      <c r="B96" s="907" t="s">
        <v>178</v>
      </c>
      <c r="C96" s="909">
        <f>'Revenues 9-14'!B84</f>
        <v>1811</v>
      </c>
      <c r="D96" s="910" t="str">
        <f>'Revenues 9-14'!A84</f>
        <v>Rentals - Regular Textbooks</v>
      </c>
      <c r="E96" s="905"/>
      <c r="F96" s="1809">
        <f>'Revenues 9-14'!C84</f>
        <v>1784</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129</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75</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9090</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716</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48644</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31715</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39234</v>
      </c>
      <c r="G129" s="929"/>
    </row>
    <row r="130" spans="1:7" x14ac:dyDescent="0.2">
      <c r="A130" s="926" t="s">
        <v>689</v>
      </c>
      <c r="B130" s="926" t="s">
        <v>804</v>
      </c>
      <c r="C130" s="931">
        <v>4300</v>
      </c>
      <c r="D130" s="932" t="str">
        <f>'Revenues 9-14'!A211</f>
        <v>Total Title I</v>
      </c>
      <c r="E130" s="905"/>
      <c r="F130" s="1809">
        <f>SUM('Revenues 9-14'!C211,'Revenues 9-14'!D211,'Revenues 9-14'!F211,'Revenues 9-14'!G211)</f>
        <v>25540</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10927</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2453</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863</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11185</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2057</v>
      </c>
      <c r="C175" s="1944">
        <v>3100</v>
      </c>
      <c r="D175" s="1945" t="s">
        <v>2060</v>
      </c>
      <c r="E175" s="905"/>
      <c r="F175" s="1929">
        <v>16431.93</v>
      </c>
      <c r="G175" s="926"/>
    </row>
    <row r="176" spans="1:7" x14ac:dyDescent="0.2">
      <c r="A176" s="1942" t="s">
        <v>685</v>
      </c>
      <c r="B176" s="1943" t="s">
        <v>2057</v>
      </c>
      <c r="C176" s="1944">
        <v>3300</v>
      </c>
      <c r="D176" s="1945" t="s">
        <v>2061</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2013</v>
      </c>
      <c r="E178" s="1807" t="s">
        <v>1015</v>
      </c>
      <c r="F178" s="1808">
        <f>SUM(F84:F136,F161:F176)</f>
        <v>201175.93</v>
      </c>
    </row>
    <row r="179" spans="1:7" ht="12" customHeight="1" x14ac:dyDescent="0.2">
      <c r="A179" s="1790"/>
      <c r="B179" s="1804"/>
      <c r="C179" s="1805"/>
      <c r="D179" s="1806" t="s">
        <v>2014</v>
      </c>
      <c r="E179" s="1807"/>
      <c r="F179" s="1809">
        <f>'PCTC-OEPP 27-28'!F77-F178</f>
        <v>455445.07</v>
      </c>
    </row>
    <row r="180" spans="1:7" ht="12" customHeight="1" x14ac:dyDescent="0.2">
      <c r="A180" s="1790"/>
      <c r="B180" s="1804"/>
      <c r="C180" s="1805"/>
      <c r="D180" s="1806" t="s">
        <v>1923</v>
      </c>
      <c r="E180" s="1807"/>
      <c r="F180" s="1809">
        <f>'Cap Outlay Deprec 26'!I18</f>
        <v>14255</v>
      </c>
    </row>
    <row r="181" spans="1:7" ht="12" customHeight="1" x14ac:dyDescent="0.2">
      <c r="A181" s="1790"/>
      <c r="B181" s="1804"/>
      <c r="C181" s="1805"/>
      <c r="D181" s="1806" t="s">
        <v>2015</v>
      </c>
      <c r="E181" s="1807"/>
      <c r="F181" s="1809">
        <f>F179+F180</f>
        <v>469700.07</v>
      </c>
    </row>
    <row r="182" spans="1:7" ht="12" customHeight="1" x14ac:dyDescent="0.2">
      <c r="A182" s="1790"/>
      <c r="B182" s="1810"/>
      <c r="C182" s="1805"/>
      <c r="D182" s="1806" t="str">
        <f>D78</f>
        <v>9 Month ADA from District Average Daily Attendance/Prior General State Aid Inquiry 2017-2018</v>
      </c>
      <c r="E182" s="1807"/>
      <c r="F182" s="1811">
        <f>'PCTC-OEPP 27-28'!F78</f>
        <v>48.63</v>
      </c>
      <c r="G182" s="929"/>
    </row>
    <row r="183" spans="1:7" ht="12" customHeight="1" thickBot="1" x14ac:dyDescent="0.25">
      <c r="A183" s="1790"/>
      <c r="B183" s="1810"/>
      <c r="C183" s="1805"/>
      <c r="D183" s="1806" t="s">
        <v>2016</v>
      </c>
      <c r="E183" s="1807" t="s">
        <v>1626</v>
      </c>
      <c r="F183" s="1812">
        <f>F181/F182</f>
        <v>9658.6483652066618</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6" customFormat="1" ht="12.2" customHeight="1" x14ac:dyDescent="0.2">
      <c r="A186" s="1946" t="s">
        <v>2064</v>
      </c>
      <c r="B186" s="1947"/>
      <c r="C186" s="1948"/>
      <c r="D186" s="1947"/>
      <c r="E186" s="1948"/>
      <c r="F186" s="1947"/>
      <c r="G186" s="1947"/>
    </row>
    <row r="187" spans="1:7" s="1946" customFormat="1" ht="12.2" customHeight="1" x14ac:dyDescent="0.2">
      <c r="A187" s="1949" t="s">
        <v>2065</v>
      </c>
      <c r="C187" s="1948"/>
      <c r="D187" s="1947"/>
      <c r="E187" s="1948"/>
      <c r="F187" s="1947"/>
      <c r="G187" s="1947"/>
    </row>
    <row r="188" spans="1:7" ht="12" customHeight="1" x14ac:dyDescent="0.2">
      <c r="C188" s="948"/>
      <c r="D188" s="929"/>
      <c r="E188" s="948"/>
      <c r="F188" s="929"/>
      <c r="G188" s="929"/>
    </row>
    <row r="189" spans="1:7" x14ac:dyDescent="0.2">
      <c r="A189" s="1950" t="s">
        <v>2063</v>
      </c>
      <c r="B189" s="1951"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J32" sqref="J32"/>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6" t="s">
        <v>1924</v>
      </c>
      <c r="B4" s="2287"/>
      <c r="C4" s="2287"/>
      <c r="D4" s="2287"/>
      <c r="E4" s="2287"/>
      <c r="F4" s="2287"/>
      <c r="G4" s="2288"/>
    </row>
    <row r="5" spans="1:7" x14ac:dyDescent="0.25">
      <c r="A5" s="2289"/>
      <c r="B5" s="2290"/>
      <c r="C5" s="2290"/>
      <c r="D5" s="2290"/>
      <c r="E5" s="2290"/>
      <c r="F5" s="2290"/>
      <c r="G5" s="2291"/>
    </row>
    <row r="6" spans="1:7" ht="18.75" x14ac:dyDescent="0.25">
      <c r="A6" s="1554" t="s">
        <v>1925</v>
      </c>
      <c r="B6" s="1555"/>
      <c r="C6" s="1555"/>
      <c r="D6" s="1555"/>
      <c r="E6" s="1555"/>
      <c r="F6" s="1555"/>
      <c r="G6" s="1556"/>
    </row>
    <row r="7" spans="1:7" ht="30.75" customHeight="1" x14ac:dyDescent="0.25">
      <c r="A7" s="2292" t="s">
        <v>2074</v>
      </c>
      <c r="B7" s="2293"/>
      <c r="C7" s="2293"/>
      <c r="D7" s="2293"/>
      <c r="E7" s="2293"/>
      <c r="F7" s="2293"/>
      <c r="G7" s="2294"/>
    </row>
    <row r="8" spans="1:7" ht="15.75" customHeight="1" x14ac:dyDescent="0.25">
      <c r="A8" s="2295" t="s">
        <v>2023</v>
      </c>
      <c r="B8" s="2296"/>
      <c r="C8" s="2296"/>
      <c r="D8" s="2296"/>
      <c r="E8" s="2296"/>
      <c r="F8" s="2296"/>
      <c r="G8" s="2297"/>
    </row>
    <row r="9" spans="1:7" ht="35.25" customHeight="1" x14ac:dyDescent="0.25">
      <c r="A9" s="2292" t="s">
        <v>2022</v>
      </c>
      <c r="B9" s="2293"/>
      <c r="C9" s="2293"/>
      <c r="D9" s="2293"/>
      <c r="E9" s="2293"/>
      <c r="F9" s="2293"/>
      <c r="G9" s="2294"/>
    </row>
    <row r="10" spans="1:7" ht="15" customHeight="1" x14ac:dyDescent="0.25">
      <c r="A10" s="1557" t="s">
        <v>1926</v>
      </c>
      <c r="B10" s="1558"/>
      <c r="C10" s="1558"/>
      <c r="D10" s="1558"/>
      <c r="E10" s="1558"/>
      <c r="F10" s="1558"/>
      <c r="G10" s="1559"/>
    </row>
    <row r="11" spans="1:7" ht="17.25" customHeight="1" x14ac:dyDescent="0.25">
      <c r="A11" s="2292" t="s">
        <v>1940</v>
      </c>
      <c r="B11" s="2293"/>
      <c r="C11" s="2293"/>
      <c r="D11" s="2293"/>
      <c r="E11" s="2293"/>
      <c r="F11" s="2293"/>
      <c r="G11" s="2294"/>
    </row>
    <row r="12" spans="1:7" ht="15" customHeight="1" x14ac:dyDescent="0.25">
      <c r="A12" s="1557" t="s">
        <v>1931</v>
      </c>
      <c r="B12" s="1558"/>
      <c r="C12" s="1558"/>
      <c r="D12" s="1558"/>
      <c r="E12" s="1558"/>
      <c r="F12" s="1558"/>
      <c r="G12" s="1559"/>
    </row>
    <row r="13" spans="1:7" ht="32.25" customHeight="1" x14ac:dyDescent="0.25">
      <c r="A13" s="2283" t="s">
        <v>1932</v>
      </c>
      <c r="B13" s="2284"/>
      <c r="C13" s="2284"/>
      <c r="D13" s="2284"/>
      <c r="E13" s="2284"/>
      <c r="F13" s="2284"/>
      <c r="G13" s="2285"/>
    </row>
    <row r="14" spans="1:7" x14ac:dyDescent="0.25">
      <c r="A14" s="1681" t="s">
        <v>1941</v>
      </c>
      <c r="B14" s="1682"/>
      <c r="C14" s="1682"/>
      <c r="D14" s="1682"/>
      <c r="E14" s="1682"/>
      <c r="F14" s="1682"/>
      <c r="G14" s="1683"/>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6" t="s">
        <v>2113</v>
      </c>
      <c r="B17" s="1866"/>
      <c r="C17" s="1676"/>
      <c r="D17" s="1865"/>
      <c r="E17" s="1560">
        <f t="shared" ref="E17:E141" si="1">IF(D17&lt;=25000,D17,IF(D17&gt;25000,25000,0))</f>
        <v>0</v>
      </c>
      <c r="F17" s="1813">
        <f t="shared" si="0"/>
        <v>0</v>
      </c>
      <c r="G17" s="1814">
        <f>IF(F17=0,0,D17-F17)</f>
        <v>0</v>
      </c>
      <c r="H17" s="1667"/>
    </row>
    <row r="18" spans="1:8"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8" t="s">
        <v>1778</v>
      </c>
      <c r="B5" s="2299"/>
      <c r="C5" s="2299"/>
      <c r="D5" s="2299"/>
      <c r="E5" s="2299"/>
      <c r="F5" s="2299"/>
      <c r="G5" s="2300"/>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17574.439999999999</v>
      </c>
      <c r="F10" s="973"/>
      <c r="G10" s="974"/>
      <c r="H10" s="162"/>
      <c r="I10" s="162"/>
    </row>
    <row r="11" spans="1:9" s="667" customFormat="1" ht="22.5" customHeight="1" x14ac:dyDescent="0.2">
      <c r="A11" s="2303" t="s">
        <v>1944</v>
      </c>
      <c r="B11" s="2304"/>
      <c r="C11" s="2304"/>
      <c r="D11" s="2305"/>
      <c r="E11" s="976">
        <v>2909.58</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328437</v>
      </c>
      <c r="F19" s="1820"/>
      <c r="G19" s="1822">
        <f>'Expenditures 15-22'!K33-SUM('Expenditures 15-22'!G33,'Expenditures 15-22'!I33)+'Expenditures 15-22'!D229</f>
        <v>328437</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18949</v>
      </c>
      <c r="F21" s="1823"/>
      <c r="G21" s="1826">
        <f>'Expenditures 15-22'!K42-SUM('Expenditures 15-22'!G42,'Expenditures 15-22'!I42)+'Expenditures 15-22'!K120-SUM('Expenditures 15-22'!G120,'Expenditures 15-22'!I120)+'Expenditures 15-22'!K180-SUM('Expenditures 15-22'!G180,'Expenditures 15-22'!I180)+'Expenditures 15-22'!D238</f>
        <v>18949</v>
      </c>
      <c r="H21" s="986"/>
      <c r="I21" s="162"/>
    </row>
    <row r="22" spans="1:9" s="667" customFormat="1" ht="12" customHeight="1" x14ac:dyDescent="0.2">
      <c r="A22" s="993" t="s">
        <v>585</v>
      </c>
      <c r="B22" s="994"/>
      <c r="C22" s="992">
        <v>2200</v>
      </c>
      <c r="D22" s="1823"/>
      <c r="E22" s="1825">
        <f>'Expenditures 15-22'!K47-SUM('Expenditures 15-22'!G47,'Expenditures 15-22'!I47)+'Expenditures 15-22'!D243</f>
        <v>8187</v>
      </c>
      <c r="F22" s="1823"/>
      <c r="G22" s="1826">
        <f>'Expenditures 15-22'!K47-SUM('Expenditures 15-22'!G47,'Expenditures 15-22'!I47)+'Expenditures 15-22'!D243</f>
        <v>8187</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70714</v>
      </c>
      <c r="F23" s="1823"/>
      <c r="G23" s="1825">
        <f>'Expenditures 15-22'!K53-SUM('Expenditures 15-22'!G53,'Expenditures 15-22'!I53)+'Expenditures 15-22'!D257+'Expenditures 15-22'!K330-SUM('Expenditures 15-22'!G330,'Expenditures 15-22'!I330)</f>
        <v>70714</v>
      </c>
      <c r="H23" s="986"/>
      <c r="I23" s="162"/>
    </row>
    <row r="24" spans="1:9" s="667" customFormat="1" ht="12" customHeight="1" x14ac:dyDescent="0.2">
      <c r="A24" s="993" t="s">
        <v>587</v>
      </c>
      <c r="B24" s="994"/>
      <c r="C24" s="992">
        <v>2400</v>
      </c>
      <c r="D24" s="1823"/>
      <c r="E24" s="1825">
        <f>'Expenditures 15-22'!K57-SUM('Expenditures 15-22'!G57,'Expenditures 15-22'!I57)+'Expenditures 15-22'!D261</f>
        <v>0</v>
      </c>
      <c r="F24" s="1823"/>
      <c r="G24" s="1826">
        <f>'Expenditures 15-22'!K57-SUM('Expenditures 15-22'!G57,'Expenditures 15-22'!I57)+'Expenditures 15-22'!D261</f>
        <v>0</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51617</v>
      </c>
      <c r="E27" s="1825">
        <f>E8</f>
        <v>0</v>
      </c>
      <c r="F27" s="1825">
        <f>'Expenditures 15-22'!K60-SUM('Expenditures 15-22'!G60,'Expenditures 15-22'!I60)+'Expenditures 15-22'!D264-E8</f>
        <v>51617</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70582</v>
      </c>
      <c r="F28" s="1827">
        <f>'Expenditures 15-22'!K61-SUM('Expenditures 15-22'!G61,'Expenditures 15-22'!I61)+'Expenditures 15-22'!K124-SUM('Expenditures 15-22'!G124,'Expenditures 15-22'!I124)+'Expenditures 15-22'!D266-E9</f>
        <v>70582</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64280</v>
      </c>
      <c r="F29" s="1823"/>
      <c r="G29" s="1826">
        <f>'Expenditures 15-22'!K62-SUM('Expenditures 15-22'!G62,'Expenditures 15-22'!I62)+'Expenditures 15-22'!K125-SUM('Expenditures 15-22'!G125,'Expenditures 15-22'!I125)+'Expenditures 15-22'!K182-SUM('Expenditures 15-22'!G182,'Expenditures 15-22'!I182)+'Expenditures 15-22'!D267</f>
        <v>64280</v>
      </c>
      <c r="H29" s="984"/>
    </row>
    <row r="30" spans="1:9" ht="12" customHeight="1" x14ac:dyDescent="0.2">
      <c r="A30" s="993" t="s">
        <v>102</v>
      </c>
      <c r="B30" s="996"/>
      <c r="C30" s="992">
        <v>2560</v>
      </c>
      <c r="D30" s="1823"/>
      <c r="E30" s="1825">
        <f>'Expenditures 15-22'!K63-SUM('Expenditures 15-22'!G63,'Expenditures 15-22'!I63)+'Expenditures 15-22'!D268-E10</f>
        <v>26280.560000000001</v>
      </c>
      <c r="F30" s="1823"/>
      <c r="G30" s="1825">
        <f>'Expenditures 15-22'!K63-SUM('Expenditures 15-22'!G63,'Expenditures 15-22'!I63)+'Expenditures 15-22'!D268-E10</f>
        <v>26280.560000000001</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1929</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51617</v>
      </c>
      <c r="E41" s="1827">
        <f>SUM(E19:E40)</f>
        <v>587429.56000000006</v>
      </c>
      <c r="F41" s="1827">
        <f>SUM(F19:F39)</f>
        <v>122199</v>
      </c>
      <c r="G41" s="1827">
        <f>SUM(G19:G40)</f>
        <v>516847.56</v>
      </c>
    </row>
    <row r="42" spans="1:7" x14ac:dyDescent="0.2">
      <c r="A42" s="986"/>
      <c r="B42" s="162"/>
      <c r="C42" s="1000"/>
      <c r="D42" s="2301" t="s">
        <v>543</v>
      </c>
      <c r="E42" s="2302"/>
      <c r="F42" s="1001" t="s">
        <v>544</v>
      </c>
      <c r="G42" s="1002"/>
    </row>
    <row r="43" spans="1:7" ht="12" customHeight="1" x14ac:dyDescent="0.2">
      <c r="A43" s="986"/>
      <c r="B43" s="162"/>
      <c r="C43" s="1000"/>
      <c r="D43" s="1828" t="s">
        <v>493</v>
      </c>
      <c r="E43" s="1829">
        <f>D41</f>
        <v>51617</v>
      </c>
      <c r="F43" s="1828" t="s">
        <v>495</v>
      </c>
      <c r="G43" s="1829">
        <f>F41</f>
        <v>122199</v>
      </c>
    </row>
    <row r="44" spans="1:7" ht="12" customHeight="1" x14ac:dyDescent="0.2">
      <c r="A44" s="986"/>
      <c r="B44" s="162"/>
      <c r="C44" s="1000"/>
      <c r="D44" s="1828" t="s">
        <v>494</v>
      </c>
      <c r="E44" s="1829">
        <f>E41</f>
        <v>587429.56000000006</v>
      </c>
      <c r="F44" s="1828" t="s">
        <v>494</v>
      </c>
      <c r="G44" s="1829">
        <f>G41</f>
        <v>516847.56</v>
      </c>
    </row>
    <row r="45" spans="1:7" ht="12" customHeight="1" x14ac:dyDescent="0.2">
      <c r="A45" s="986"/>
      <c r="B45" s="162"/>
      <c r="C45" s="162"/>
      <c r="D45" s="1830" t="s">
        <v>1063</v>
      </c>
      <c r="E45" s="1831">
        <f>(E43/E44)</f>
        <v>8.786925874142254E-2</v>
      </c>
      <c r="F45" s="1830" t="s">
        <v>1063</v>
      </c>
      <c r="G45" s="1831">
        <f>(G43/G44)</f>
        <v>0.23643141509655188</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J32" sqref="J32"/>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09" t="s">
        <v>1446</v>
      </c>
      <c r="B1" s="2309"/>
      <c r="C1" s="2309"/>
      <c r="D1" s="2309"/>
      <c r="E1" s="2309"/>
      <c r="F1" s="2309"/>
    </row>
    <row r="2" spans="1:10" x14ac:dyDescent="0.2">
      <c r="A2" s="1910" t="s">
        <v>2047</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0" t="s">
        <v>1627</v>
      </c>
      <c r="B5" s="2311"/>
      <c r="C5" s="2312"/>
      <c r="D5" s="2312"/>
      <c r="E5" s="2312"/>
      <c r="F5" s="2312"/>
    </row>
    <row r="6" spans="1:10" ht="12" customHeight="1" x14ac:dyDescent="0.25">
      <c r="A6" s="1873"/>
      <c r="B6" s="1874"/>
      <c r="C6" s="2313" t="str">
        <f>COVER!A17</f>
        <v>Spring Lake CCSD 606</v>
      </c>
      <c r="D6" s="2313"/>
      <c r="E6" s="2313"/>
      <c r="F6" s="1875"/>
    </row>
    <row r="7" spans="1:10" ht="11.25" customHeight="1" thickBot="1" x14ac:dyDescent="0.3">
      <c r="A7" s="1873"/>
      <c r="B7" s="1874"/>
      <c r="C7" s="2314">
        <f>COVER!A13</f>
        <v>53090606004</v>
      </c>
      <c r="D7" s="2314"/>
      <c r="E7" s="2314"/>
      <c r="F7" s="1875"/>
    </row>
    <row r="8" spans="1:10" ht="25.5" customHeight="1" thickBot="1" x14ac:dyDescent="0.25">
      <c r="A8" s="1916" t="s">
        <v>2024</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t="s">
        <v>2085</v>
      </c>
      <c r="D11" s="1888" t="s">
        <v>2085</v>
      </c>
      <c r="E11" s="1889"/>
      <c r="F11" s="1890" t="s">
        <v>2092</v>
      </c>
      <c r="H11" s="1901">
        <f>IF(C11="X",5,0)</f>
        <v>5</v>
      </c>
      <c r="I11" s="1901">
        <f>IF(D11="X",5,0)</f>
        <v>5</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t="s">
        <v>2085</v>
      </c>
      <c r="D13" s="1888" t="s">
        <v>2085</v>
      </c>
      <c r="E13" s="1891"/>
      <c r="F13" s="1890" t="s">
        <v>2093</v>
      </c>
      <c r="H13" s="1901">
        <f t="shared" si="0"/>
        <v>5</v>
      </c>
      <c r="I13" s="1901">
        <f t="shared" si="1"/>
        <v>5</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t="s">
        <v>2085</v>
      </c>
      <c r="D15" s="1888" t="s">
        <v>2085</v>
      </c>
      <c r="E15" s="1891"/>
      <c r="F15" s="1890" t="s">
        <v>2094</v>
      </c>
      <c r="H15" s="1901">
        <f t="shared" si="0"/>
        <v>5</v>
      </c>
      <c r="I15" s="1901">
        <f t="shared" si="1"/>
        <v>5</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2085</v>
      </c>
      <c r="D19" s="1888"/>
      <c r="E19" s="1891"/>
      <c r="F19" s="1890" t="s">
        <v>2095</v>
      </c>
      <c r="H19" s="1901">
        <f t="shared" si="0"/>
        <v>5</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t="s">
        <v>2085</v>
      </c>
      <c r="D24" s="1888" t="s">
        <v>2085</v>
      </c>
      <c r="E24" s="1891"/>
      <c r="F24" s="1890" t="s">
        <v>2096</v>
      </c>
      <c r="H24" s="1901">
        <f t="shared" si="0"/>
        <v>5</v>
      </c>
      <c r="I24" s="1901">
        <f t="shared" si="1"/>
        <v>5</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2085</v>
      </c>
      <c r="D26" s="1888" t="s">
        <v>2085</v>
      </c>
      <c r="E26" s="1891"/>
      <c r="F26" s="1890" t="s">
        <v>2097</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t="s">
        <v>2085</v>
      </c>
      <c r="D28" s="1888" t="s">
        <v>2085</v>
      </c>
      <c r="E28" s="1891"/>
      <c r="F28" s="1890" t="s">
        <v>2098</v>
      </c>
      <c r="H28" s="1901">
        <f t="shared" si="0"/>
        <v>5</v>
      </c>
      <c r="I28" s="1901">
        <f t="shared" si="1"/>
        <v>5</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2085</v>
      </c>
      <c r="D30" s="1888" t="s">
        <v>2085</v>
      </c>
      <c r="E30" s="1891"/>
      <c r="F30" s="1890" t="s">
        <v>2099</v>
      </c>
      <c r="H30" s="1901">
        <f t="shared" si="0"/>
        <v>5</v>
      </c>
      <c r="I30" s="1901">
        <f t="shared" si="1"/>
        <v>5</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t="s">
        <v>2085</v>
      </c>
      <c r="D32" s="1888" t="s">
        <v>2085</v>
      </c>
      <c r="E32" s="1891"/>
      <c r="F32" s="1890" t="s">
        <v>2099</v>
      </c>
      <c r="H32" s="1901">
        <f t="shared" si="0"/>
        <v>5</v>
      </c>
      <c r="I32" s="1901">
        <f t="shared" si="1"/>
        <v>5</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45</v>
      </c>
      <c r="I34" s="1901">
        <f>SUM(I11:I32)</f>
        <v>40</v>
      </c>
      <c r="J34" s="1901">
        <f>SUM(J11:J32)</f>
        <v>0</v>
      </c>
      <c r="K34" s="1901">
        <f>SUM(H34:J34)</f>
        <v>85</v>
      </c>
    </row>
    <row r="35" spans="1:11" ht="12" customHeight="1" x14ac:dyDescent="0.2">
      <c r="A35" s="1894" t="s">
        <v>1459</v>
      </c>
      <c r="B35" s="1895"/>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6"/>
      <c r="B39" s="1896"/>
      <c r="C39" s="1896"/>
      <c r="D39" s="1896"/>
      <c r="E39" s="1896"/>
      <c r="F39" s="1896"/>
    </row>
    <row r="40" spans="1:11" s="1893" customFormat="1" ht="12" customHeight="1" x14ac:dyDescent="0.25">
      <c r="A40" s="1897" t="s">
        <v>1458</v>
      </c>
      <c r="B40" s="1898"/>
      <c r="C40" s="2323"/>
      <c r="D40" s="2323"/>
      <c r="E40" s="2323"/>
      <c r="F40" s="2324"/>
      <c r="H40" s="1902"/>
      <c r="I40" s="1902"/>
      <c r="J40" s="1902"/>
      <c r="K40" s="1902"/>
    </row>
    <row r="41" spans="1:11" s="1893" customFormat="1" ht="12" customHeight="1" x14ac:dyDescent="0.25">
      <c r="A41" s="2325"/>
      <c r="B41" s="2326"/>
      <c r="C41" s="2326"/>
      <c r="D41" s="2326"/>
      <c r="E41" s="2326"/>
      <c r="F41" s="2327"/>
      <c r="H41" s="1902"/>
      <c r="I41" s="1902"/>
      <c r="J41" s="1902"/>
      <c r="K41" s="1902"/>
    </row>
    <row r="42" spans="1:11" s="1893" customFormat="1" ht="12" customHeight="1" x14ac:dyDescent="0.25">
      <c r="A42" s="2325"/>
      <c r="B42" s="2326"/>
      <c r="C42" s="2326"/>
      <c r="D42" s="2326"/>
      <c r="E42" s="2326"/>
      <c r="F42" s="2327"/>
      <c r="H42" s="1902"/>
      <c r="I42" s="1902"/>
      <c r="J42" s="1902"/>
      <c r="K42" s="1902"/>
    </row>
    <row r="43" spans="1:11" s="1893" customFormat="1" ht="15" x14ac:dyDescent="0.25">
      <c r="A43" s="2317"/>
      <c r="B43" s="2318"/>
      <c r="C43" s="2318"/>
      <c r="D43" s="2318"/>
      <c r="E43" s="2318"/>
      <c r="F43" s="2319"/>
      <c r="H43" s="1902"/>
      <c r="I43" s="1902"/>
      <c r="J43" s="1902"/>
      <c r="K43" s="1902"/>
    </row>
    <row r="44" spans="1:11" s="1893" customFormat="1" ht="12" hidden="1" customHeight="1" x14ac:dyDescent="0.25">
      <c r="A44" s="2317"/>
      <c r="B44" s="2318"/>
      <c r="C44" s="2318"/>
      <c r="D44" s="2318"/>
      <c r="E44" s="2318"/>
      <c r="F44" s="2319"/>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3" t="str">
        <f>COVER!A17</f>
        <v>Spring Lake CCSD 606</v>
      </c>
      <c r="J6" s="2334"/>
      <c r="Q6" s="1684"/>
    </row>
    <row r="7" spans="1:17" x14ac:dyDescent="0.2">
      <c r="A7" s="2335" t="s">
        <v>924</v>
      </c>
      <c r="B7" s="2336"/>
      <c r="C7" s="2336"/>
      <c r="D7" s="2336"/>
      <c r="E7" s="2337"/>
      <c r="F7" s="1016"/>
      <c r="G7" s="1008"/>
      <c r="H7" s="1015" t="s">
        <v>390</v>
      </c>
      <c r="I7" s="2338">
        <f>COVER!A13</f>
        <v>53090606004</v>
      </c>
      <c r="J7" s="2338"/>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9" t="s">
        <v>502</v>
      </c>
      <c r="B11" s="2340"/>
      <c r="C11" s="2341"/>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43121</v>
      </c>
      <c r="F12" s="1038"/>
      <c r="G12" s="1832">
        <f t="shared" ref="G12:G18" si="0">SUM(E12:F12)</f>
        <v>43121</v>
      </c>
      <c r="H12" s="1039">
        <v>42640</v>
      </c>
      <c r="I12" s="1038"/>
      <c r="J12" s="1832">
        <f t="shared" ref="J12:J18" si="1">SUM(H12:I12)</f>
        <v>42640</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2" t="s">
        <v>7</v>
      </c>
      <c r="C18" s="2343"/>
      <c r="D18" s="2344"/>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43121</v>
      </c>
      <c r="F19" s="1834">
        <f t="shared" si="2"/>
        <v>0</v>
      </c>
      <c r="G19" s="1834">
        <f t="shared" si="2"/>
        <v>43121</v>
      </c>
      <c r="H19" s="1834">
        <f t="shared" si="2"/>
        <v>42640</v>
      </c>
      <c r="I19" s="1834">
        <f t="shared" si="2"/>
        <v>0</v>
      </c>
      <c r="J19" s="1834">
        <f t="shared" si="2"/>
        <v>42640</v>
      </c>
    </row>
    <row r="20" spans="1:10" ht="13.5" thickTop="1" x14ac:dyDescent="0.2">
      <c r="A20" s="1034">
        <v>9</v>
      </c>
      <c r="B20" s="2345" t="s">
        <v>1703</v>
      </c>
      <c r="C20" s="2345"/>
      <c r="D20" s="2346"/>
      <c r="E20" s="1045"/>
      <c r="F20" s="1045"/>
      <c r="G20" s="1045"/>
      <c r="H20" s="1045"/>
      <c r="I20" s="1045"/>
      <c r="J20" s="1835">
        <f>IF(AND(G19&gt;0,J19&gt;0),(((J19-G19)/G19)),"Enter Budget Data")</f>
        <v>-1.1154657823334338E-2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1"/>
      <c r="D26" s="2351"/>
      <c r="E26" s="1049"/>
      <c r="F26" s="2350"/>
      <c r="G26" s="2350"/>
    </row>
    <row r="27" spans="1:10" x14ac:dyDescent="0.2">
      <c r="B27" s="1046"/>
      <c r="C27" s="1050" t="s">
        <v>1093</v>
      </c>
      <c r="D27" s="1051"/>
      <c r="E27" s="1052"/>
      <c r="F27" s="2347" t="s">
        <v>1589</v>
      </c>
      <c r="G27" s="2347"/>
    </row>
    <row r="28" spans="1:10" ht="28.5" customHeight="1" x14ac:dyDescent="0.2">
      <c r="B28" s="1046"/>
      <c r="C28" s="2349"/>
      <c r="D28" s="2349"/>
      <c r="E28" s="1053"/>
      <c r="F28" s="2349"/>
      <c r="G28" s="2349"/>
    </row>
    <row r="29" spans="1:10" x14ac:dyDescent="0.2">
      <c r="B29" s="1046"/>
      <c r="C29" s="1054" t="s">
        <v>1642</v>
      </c>
      <c r="E29" s="1055"/>
      <c r="F29" s="2348" t="s">
        <v>1590</v>
      </c>
      <c r="G29" s="2348"/>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1"/>
    </row>
    <row r="36" spans="1:10" ht="13.5" customHeight="1" x14ac:dyDescent="0.2">
      <c r="B36" s="1060"/>
      <c r="C36" s="2332" t="s">
        <v>1943</v>
      </c>
      <c r="D36" s="2331"/>
      <c r="E36" s="2331"/>
      <c r="F36" s="2331"/>
      <c r="G36" s="2331"/>
      <c r="H36" s="2331"/>
      <c r="I36" s="2331"/>
      <c r="J36" s="1062"/>
    </row>
    <row r="37" spans="1:10" ht="22.5" customHeight="1" x14ac:dyDescent="0.2">
      <c r="C37" s="2331"/>
      <c r="D37" s="2331"/>
      <c r="E37" s="2331"/>
      <c r="F37" s="2331"/>
      <c r="G37" s="2331"/>
      <c r="H37" s="2331"/>
      <c r="I37" s="2331"/>
      <c r="J37" s="1062"/>
    </row>
    <row r="38" spans="1:10" ht="7.5" customHeight="1" x14ac:dyDescent="0.2">
      <c r="C38" s="1061"/>
      <c r="D38" s="1063"/>
      <c r="E38" s="1064"/>
      <c r="F38" s="1065"/>
      <c r="G38" s="1064"/>
    </row>
    <row r="39" spans="1:10" ht="13.5" customHeight="1" x14ac:dyDescent="0.2">
      <c r="B39" s="1060"/>
      <c r="C39" s="2328" t="s">
        <v>937</v>
      </c>
      <c r="D39" s="2329"/>
      <c r="E39" s="2329"/>
      <c r="F39" s="2329"/>
      <c r="G39" s="2329"/>
      <c r="H39" s="2329"/>
      <c r="I39" s="2329"/>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heetViews>
  <sheetFormatPr defaultColWidth="9.140625" defaultRowHeight="12.75" x14ac:dyDescent="0.2"/>
  <cols>
    <col min="1" max="1" width="3" style="329" customWidth="1"/>
    <col min="2" max="2" width="122.710937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2114</v>
      </c>
    </row>
    <row r="6" spans="1:2" x14ac:dyDescent="0.2">
      <c r="A6" s="1067">
        <v>2</v>
      </c>
      <c r="B6" s="329" t="s">
        <v>2115</v>
      </c>
    </row>
    <row r="7" spans="1:2" x14ac:dyDescent="0.2">
      <c r="A7" s="1067">
        <v>3</v>
      </c>
      <c r="B7" s="329" t="s">
        <v>2116</v>
      </c>
    </row>
    <row r="8" spans="1:2" x14ac:dyDescent="0.2">
      <c r="A8" s="1067"/>
      <c r="B8" s="329" t="s">
        <v>2117</v>
      </c>
    </row>
    <row r="9" spans="1:2" x14ac:dyDescent="0.2">
      <c r="A9" s="1068"/>
      <c r="B9" s="329" t="s">
        <v>2118</v>
      </c>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hidden="1" x14ac:dyDescent="0.2">
      <c r="A49" s="1068"/>
    </row>
    <row r="50" spans="1:2" hidden="1" x14ac:dyDescent="0.2">
      <c r="A50" s="1068"/>
    </row>
    <row r="51" spans="1:2" hidden="1" x14ac:dyDescent="0.2">
      <c r="A51" s="1068"/>
    </row>
    <row r="52" spans="1:2" hidden="1" x14ac:dyDescent="0.2">
      <c r="A52" s="1068"/>
    </row>
    <row r="53" spans="1:2" hidden="1" x14ac:dyDescent="0.2">
      <c r="A53" s="1068"/>
    </row>
    <row r="54" spans="1:2" hidden="1" x14ac:dyDescent="0.2">
      <c r="A54" s="1068"/>
    </row>
    <row r="55" spans="1:2" x14ac:dyDescent="0.2">
      <c r="A55" s="1068"/>
    </row>
    <row r="56" spans="1:2" x14ac:dyDescent="0.2">
      <c r="A56" s="1068"/>
    </row>
    <row r="57" spans="1:2" x14ac:dyDescent="0.2">
      <c r="A57" s="1068"/>
    </row>
    <row r="58" spans="1:2" hidden="1" x14ac:dyDescent="0.2">
      <c r="A58" s="1068"/>
    </row>
    <row r="59" spans="1:2" hidden="1" x14ac:dyDescent="0.2">
      <c r="A59" s="1068"/>
    </row>
    <row r="60" spans="1:2" hidden="1" x14ac:dyDescent="0.2">
      <c r="A60" s="1068"/>
    </row>
    <row r="61" spans="1:2" x14ac:dyDescent="0.2">
      <c r="A61" s="1068"/>
    </row>
    <row r="62" spans="1:2" hidden="1" x14ac:dyDescent="0.2">
      <c r="A62" s="1068"/>
    </row>
    <row r="63" spans="1:2" hidden="1" x14ac:dyDescent="0.2">
      <c r="A63" s="1068"/>
    </row>
    <row r="64" spans="1:2" x14ac:dyDescent="0.2">
      <c r="A64" s="1068"/>
      <c r="B64" s="258" t="str">
        <f>COVER!A17</f>
        <v>Spring Lake CCSD 606</v>
      </c>
    </row>
    <row r="65" spans="2:2" x14ac:dyDescent="0.2">
      <c r="B65" s="1069">
        <f>COVER!A13</f>
        <v>53090606004</v>
      </c>
    </row>
  </sheetData>
  <phoneticPr fontId="13" type="noConversion"/>
  <pageMargins left="0.2" right="0.2" top="1.17" bottom="0.75" header="0.19" footer="0.16"/>
  <pageSetup scale="96" firstPageNumber="32" fitToHeight="0"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3"/>
      <c r="H2" s="1073"/>
    </row>
    <row r="3" spans="1:8" ht="57" customHeight="1" x14ac:dyDescent="0.2">
      <c r="A3" s="2366" t="s">
        <v>1786</v>
      </c>
      <c r="B3" s="2367"/>
      <c r="C3" s="2367"/>
      <c r="D3" s="2367"/>
      <c r="E3" s="2367"/>
      <c r="F3" s="2368"/>
      <c r="G3" s="1073"/>
      <c r="H3" s="1073"/>
    </row>
    <row r="4" spans="1:8" ht="14.25" customHeight="1" x14ac:dyDescent="0.2">
      <c r="A4" s="2372" t="s">
        <v>2055</v>
      </c>
      <c r="B4" s="2373"/>
      <c r="C4" s="2373"/>
      <c r="D4" s="2373"/>
      <c r="E4" s="2373"/>
      <c r="F4" s="2374"/>
      <c r="G4" s="1073"/>
      <c r="H4" s="1073"/>
    </row>
    <row r="5" spans="1:8" ht="14.25" customHeight="1" x14ac:dyDescent="0.2">
      <c r="A5" s="2375" t="s">
        <v>2056</v>
      </c>
      <c r="B5" s="2376"/>
      <c r="C5" s="2376"/>
      <c r="D5" s="2376"/>
      <c r="E5" s="2376"/>
      <c r="F5" s="2377"/>
      <c r="G5" s="1073"/>
      <c r="H5" s="1073"/>
    </row>
    <row r="6" spans="1:8" s="1074" customFormat="1" ht="41.25" customHeight="1" x14ac:dyDescent="0.2">
      <c r="A6" s="2369" t="s">
        <v>1792</v>
      </c>
      <c r="B6" s="2370"/>
      <c r="C6" s="2370"/>
      <c r="D6" s="2370"/>
      <c r="E6" s="2370"/>
      <c r="F6" s="2371"/>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739260</v>
      </c>
      <c r="C8" s="1836">
        <f>'Acct Summary 7-8'!D8</f>
        <v>34744</v>
      </c>
      <c r="D8" s="1836">
        <f>'Acct Summary 7-8'!F8</f>
        <v>96052</v>
      </c>
      <c r="E8" s="1836">
        <f>'Acct Summary 7-8'!I8</f>
        <v>4953</v>
      </c>
      <c r="F8" s="1836">
        <f>SUM(B8:E8)</f>
        <v>875009</v>
      </c>
    </row>
    <row r="9" spans="1:8" s="1078" customFormat="1" ht="14.25" customHeight="1" thickBot="1" x14ac:dyDescent="0.25">
      <c r="A9" s="1077" t="s">
        <v>1436</v>
      </c>
      <c r="B9" s="1837">
        <f>'Acct Summary 7-8'!C17</f>
        <v>684061</v>
      </c>
      <c r="C9" s="1837">
        <f>'Acct Summary 7-8'!D17</f>
        <v>27990</v>
      </c>
      <c r="D9" s="1837">
        <f>'Acct Summary 7-8'!F17</f>
        <v>76171</v>
      </c>
      <c r="E9" s="1836"/>
      <c r="F9" s="1836">
        <f>SUM(B9:E9)</f>
        <v>788222</v>
      </c>
    </row>
    <row r="10" spans="1:8" s="1078" customFormat="1" ht="14.25" thickTop="1" thickBot="1" x14ac:dyDescent="0.25">
      <c r="A10" s="1079" t="s">
        <v>1437</v>
      </c>
      <c r="B10" s="1838">
        <f>(B8-B9)</f>
        <v>55199</v>
      </c>
      <c r="C10" s="1838">
        <f>(C8-C9)</f>
        <v>6754</v>
      </c>
      <c r="D10" s="1838">
        <f>(D8-D9)</f>
        <v>19881</v>
      </c>
      <c r="E10" s="1837">
        <f>(E8-E9)</f>
        <v>4953</v>
      </c>
      <c r="F10" s="1839">
        <f>SUM(F8-F9)</f>
        <v>86787</v>
      </c>
    </row>
    <row r="11" spans="1:8" s="1078" customFormat="1" ht="14.25" thickTop="1" thickBot="1" x14ac:dyDescent="0.25">
      <c r="A11" s="1080" t="s">
        <v>1785</v>
      </c>
      <c r="B11" s="1840">
        <f>'Acct Summary 7-8'!C81</f>
        <v>133315</v>
      </c>
      <c r="C11" s="1840">
        <f>'Acct Summary 7-8'!D81</f>
        <v>15596</v>
      </c>
      <c r="D11" s="1840">
        <f>'Acct Summary 7-8'!F81</f>
        <v>22408</v>
      </c>
      <c r="E11" s="1840">
        <f>'Acct Summary 7-8'!I81</f>
        <v>5513</v>
      </c>
      <c r="F11" s="1841">
        <f>SUM(B11:E11)</f>
        <v>176832</v>
      </c>
    </row>
    <row r="12" spans="1:8" ht="16.5" customHeight="1" thickTop="1" x14ac:dyDescent="0.2">
      <c r="A12" s="1081"/>
      <c r="B12" s="1082"/>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3"/>
      <c r="B13" s="1084"/>
      <c r="C13" s="2357"/>
      <c r="D13" s="2358"/>
      <c r="E13" s="2358"/>
      <c r="F13" s="2359"/>
      <c r="H13" s="1073"/>
    </row>
    <row r="14" spans="1:8" ht="19.5" customHeight="1" x14ac:dyDescent="0.2">
      <c r="A14" s="1083"/>
      <c r="B14" s="1084"/>
      <c r="C14" s="2357"/>
      <c r="D14" s="2358"/>
      <c r="E14" s="2358"/>
      <c r="F14" s="2359"/>
      <c r="H14" s="1073"/>
    </row>
    <row r="15" spans="1:8" ht="17.25" customHeight="1" x14ac:dyDescent="0.2">
      <c r="A15" s="1083"/>
      <c r="B15" s="1084"/>
      <c r="C15" s="2360"/>
      <c r="D15" s="2361"/>
      <c r="E15" s="2361"/>
      <c r="F15" s="2362"/>
      <c r="H15" s="1073"/>
    </row>
    <row r="16" spans="1:8" s="310" customFormat="1" ht="51.75" hidden="1" customHeight="1" x14ac:dyDescent="0.2">
      <c r="A16" s="2356" t="s">
        <v>1787</v>
      </c>
      <c r="B16" s="2356"/>
      <c r="C16" s="2356"/>
      <c r="D16" s="2356"/>
      <c r="E16" s="2356"/>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8" t="s">
        <v>686</v>
      </c>
      <c r="B3" s="2379"/>
      <c r="C3" s="2379"/>
      <c r="D3" s="2380"/>
    </row>
    <row r="4" spans="1:4" x14ac:dyDescent="0.2">
      <c r="A4" s="1151" t="s">
        <v>1793</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9" t="s">
        <v>1584</v>
      </c>
      <c r="D7" s="2390"/>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1" t="s">
        <v>1065</v>
      </c>
      <c r="B15" s="2382"/>
      <c r="C15" s="2382"/>
      <c r="D15" s="2383"/>
    </row>
    <row r="16" spans="1:4" s="667" customFormat="1" ht="24" customHeight="1" x14ac:dyDescent="0.2">
      <c r="A16" s="2384" t="s">
        <v>684</v>
      </c>
      <c r="B16" s="2385"/>
      <c r="C16" s="2385"/>
      <c r="D16" s="2386"/>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3" t="s">
        <v>332</v>
      </c>
      <c r="D21" s="2394"/>
    </row>
    <row r="22" spans="1:10" ht="12.75" x14ac:dyDescent="0.2">
      <c r="A22" s="1138"/>
      <c r="B22" s="1139">
        <v>2</v>
      </c>
      <c r="C22" s="2391" t="s">
        <v>1605</v>
      </c>
      <c r="D22" s="2392"/>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str">
        <f>IF('Aud Quest 2'!B53="X",IF('Aud Quest 2'!F53&gt;"00/00/00 ","Enter Effective Date","ok"))</f>
        <v>ok</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5" t="s">
        <v>557</v>
      </c>
      <c r="D43" s="2396"/>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7" t="s">
        <v>817</v>
      </c>
      <c r="D56" s="2388"/>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87" t="s">
        <v>1797</v>
      </c>
      <c r="D70" s="2388"/>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53090606004</v>
      </c>
    </row>
    <row r="3" spans="1:2" x14ac:dyDescent="0.2">
      <c r="A3" t="s">
        <v>1013</v>
      </c>
      <c r="B3" s="138" t="str">
        <f>COVER!A15</f>
        <v>Tazewell</v>
      </c>
    </row>
    <row r="4" spans="1:2" x14ac:dyDescent="0.2">
      <c r="A4" t="s">
        <v>1064</v>
      </c>
      <c r="B4" s="138" t="str">
        <f>COVER!A17</f>
        <v>Spring Lake CCSD 606</v>
      </c>
    </row>
    <row r="5" spans="1:2" x14ac:dyDescent="0.2">
      <c r="A5" t="s">
        <v>728</v>
      </c>
      <c r="B5" s="138" t="str">
        <f>COVER!A38</f>
        <v>Charles Nagel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A.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133315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133315</v>
      </c>
      <c r="D92" s="2" t="str">
        <f t="shared" si="0"/>
        <v>Error?</v>
      </c>
    </row>
    <row r="93" spans="1:4" x14ac:dyDescent="0.2">
      <c r="A93" s="5">
        <v>32</v>
      </c>
      <c r="B93" s="138">
        <f>'Assets-Liab 5-6'!C41</f>
        <v>133315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15596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15596</v>
      </c>
      <c r="D123" s="2" t="str">
        <f t="shared" si="0"/>
        <v>Error?</v>
      </c>
    </row>
    <row r="124" spans="1:4" x14ac:dyDescent="0.2">
      <c r="A124" s="5">
        <v>63</v>
      </c>
      <c r="B124" s="138">
        <f>'Assets-Liab 5-6'!D41</f>
        <v>15596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22408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22408</v>
      </c>
      <c r="D170" s="2" t="str">
        <f t="shared" si="1"/>
        <v>Error?</v>
      </c>
    </row>
    <row r="171" spans="1:4" x14ac:dyDescent="0.2">
      <c r="A171" s="5">
        <v>110</v>
      </c>
      <c r="B171" s="138">
        <f>'Assets-Liab 5-6'!F41</f>
        <v>22408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9992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4381</v>
      </c>
      <c r="D189" s="2" t="str">
        <f t="shared" si="1"/>
        <v>Error?</v>
      </c>
    </row>
    <row r="190" spans="1:4" x14ac:dyDescent="0.2">
      <c r="A190" s="5">
        <v>129</v>
      </c>
      <c r="B190" s="138">
        <f>'Assets-Liab 5-6'!G41</f>
        <v>9992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1284</v>
      </c>
      <c r="D273" s="2" t="str">
        <f t="shared" si="3"/>
        <v>Error?</v>
      </c>
    </row>
    <row r="274" spans="1:4" x14ac:dyDescent="0.2">
      <c r="A274" s="5">
        <v>213</v>
      </c>
      <c r="B274" s="138">
        <f>'Assets-Liab 5-6'!M17</f>
        <v>453536</v>
      </c>
      <c r="D274" s="2" t="str">
        <f t="shared" si="3"/>
        <v>Error?</v>
      </c>
    </row>
    <row r="275" spans="1:4" x14ac:dyDescent="0.2">
      <c r="A275" s="5">
        <v>214</v>
      </c>
      <c r="B275" s="138">
        <f>'Assets-Liab 5-6'!M18</f>
        <v>1439</v>
      </c>
      <c r="D275" s="2" t="str">
        <f t="shared" si="3"/>
        <v>Error?</v>
      </c>
    </row>
    <row r="276" spans="1:4" x14ac:dyDescent="0.2">
      <c r="A276" s="5">
        <v>215</v>
      </c>
      <c r="B276" s="138">
        <f>'Assets-Liab 5-6'!M19</f>
        <v>77259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533518</v>
      </c>
      <c r="C279" s="2" t="s">
        <v>594</v>
      </c>
      <c r="D279" s="2" t="str">
        <f t="shared" si="3"/>
        <v>Error?</v>
      </c>
    </row>
    <row r="280" spans="1:4" x14ac:dyDescent="0.2">
      <c r="A280" s="5">
        <v>219</v>
      </c>
      <c r="B280" s="138">
        <f>'Assets-Liab 5-6'!M40</f>
        <v>533518</v>
      </c>
      <c r="D280" s="2" t="str">
        <f t="shared" si="3"/>
        <v>Error?</v>
      </c>
    </row>
    <row r="281" spans="1:4" x14ac:dyDescent="0.2">
      <c r="A281" s="5">
        <v>220</v>
      </c>
      <c r="B281" s="138">
        <f>'Assets-Liab 5-6'!M41</f>
        <v>533518</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275724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275724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18573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18573</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42500</v>
      </c>
      <c r="D733" s="2" t="str">
        <f t="shared" si="10"/>
        <v>Error?</v>
      </c>
    </row>
    <row r="734" spans="1:4" x14ac:dyDescent="0.2">
      <c r="A734" s="5">
        <v>673</v>
      </c>
      <c r="B734" s="138">
        <f>'Expenditures 15-22'!C53</f>
        <v>42500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43925</v>
      </c>
      <c r="D739" s="2" t="str">
        <f t="shared" si="10"/>
        <v>Error?</v>
      </c>
    </row>
    <row r="740" spans="1:4" x14ac:dyDescent="0.2">
      <c r="A740" s="5">
        <v>679</v>
      </c>
      <c r="B740" s="138">
        <f>'Expenditures 15-22'!C61</f>
        <v>36322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22251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102498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163571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439295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2823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2823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1760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1760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1760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4583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8422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8422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1215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1704</v>
      </c>
      <c r="D846" s="2" t="str">
        <f t="shared" si="12"/>
        <v>Error?</v>
      </c>
    </row>
    <row r="847" spans="1:4" x14ac:dyDescent="0.2">
      <c r="A847" s="5">
        <v>786</v>
      </c>
      <c r="B847" s="138">
        <f>'Expenditures 15-22'!E47</f>
        <v>2919</v>
      </c>
      <c r="C847" s="2" t="s">
        <v>594</v>
      </c>
      <c r="D847" s="2" t="str">
        <f t="shared" si="12"/>
        <v>Error?</v>
      </c>
    </row>
    <row r="848" spans="1:4" x14ac:dyDescent="0.2">
      <c r="A848" s="5">
        <v>787</v>
      </c>
      <c r="B848" s="138">
        <f>'Expenditures 15-22'!E49</f>
        <v>6459</v>
      </c>
      <c r="D848" s="2" t="str">
        <f t="shared" si="12"/>
        <v>Error?</v>
      </c>
    </row>
    <row r="849" spans="1:4" x14ac:dyDescent="0.2">
      <c r="A849" s="5">
        <v>788</v>
      </c>
      <c r="B849" s="138">
        <f>'Expenditures 15-22'!E50</f>
        <v>621</v>
      </c>
      <c r="D849" s="2" t="str">
        <f t="shared" si="12"/>
        <v>Error?</v>
      </c>
    </row>
    <row r="850" spans="1:4" x14ac:dyDescent="0.2">
      <c r="A850" s="5">
        <v>789</v>
      </c>
      <c r="B850" s="138">
        <f>'Expenditures 15-22'!E53</f>
        <v>25466</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380</v>
      </c>
      <c r="D855" s="2" t="str">
        <f t="shared" si="12"/>
        <v>Error?</v>
      </c>
    </row>
    <row r="856" spans="1:4" x14ac:dyDescent="0.2">
      <c r="A856" s="5">
        <v>795</v>
      </c>
      <c r="B856" s="138">
        <f>'Expenditures 15-22'!E61</f>
        <v>639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649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1668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30053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63398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34303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34303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107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107</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299</v>
      </c>
      <c r="D903" s="2" t="str">
        <f t="shared" si="13"/>
        <v>Error?</v>
      </c>
    </row>
    <row r="904" spans="1:4" x14ac:dyDescent="0.2">
      <c r="A904" s="5">
        <v>843</v>
      </c>
      <c r="B904" s="138">
        <f>'Expenditures 15-22'!F46</f>
        <v>3209</v>
      </c>
      <c r="D904" s="2" t="str">
        <f t="shared" si="13"/>
        <v>Error?</v>
      </c>
    </row>
    <row r="905" spans="1:4" x14ac:dyDescent="0.2">
      <c r="A905" s="5">
        <v>844</v>
      </c>
      <c r="B905" s="138">
        <f>'Expenditures 15-22'!F47</f>
        <v>3508</v>
      </c>
      <c r="C905" s="2" t="s">
        <v>594</v>
      </c>
      <c r="D905" s="2" t="str">
        <f t="shared" si="13"/>
        <v>Error?</v>
      </c>
    </row>
    <row r="906" spans="1:4" x14ac:dyDescent="0.2">
      <c r="A906" s="5">
        <v>845</v>
      </c>
      <c r="B906" s="138">
        <f>'Expenditures 15-22'!F49</f>
        <v>169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169</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495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17574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18069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21853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56156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11822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11822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11822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1963</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1963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1963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106844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108807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333094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333094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18680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18680</v>
      </c>
      <c r="C1115" s="2" t="s">
        <v>594</v>
      </c>
      <c r="D1115" s="2" t="str">
        <f t="shared" si="16"/>
        <v>Error?</v>
      </c>
    </row>
    <row r="1116" spans="1:4" x14ac:dyDescent="0.2">
      <c r="A1116" s="5">
        <v>1055</v>
      </c>
      <c r="B1116" s="138">
        <f>'Expenditures 15-22'!K44</f>
        <v>2975</v>
      </c>
      <c r="C1116" s="2" t="s">
        <v>594</v>
      </c>
      <c r="D1116" s="2" t="str">
        <f t="shared" si="16"/>
        <v>Error?</v>
      </c>
    </row>
    <row r="1117" spans="1:4" x14ac:dyDescent="0.2">
      <c r="A1117" s="5">
        <v>1056</v>
      </c>
      <c r="B1117" s="138">
        <f>'Expenditures 15-22'!K45</f>
        <v>299</v>
      </c>
      <c r="C1117" s="2" t="s">
        <v>594</v>
      </c>
      <c r="D1117" s="2" t="str">
        <f t="shared" si="16"/>
        <v>Error?</v>
      </c>
    </row>
    <row r="1118" spans="1:4" x14ac:dyDescent="0.2">
      <c r="A1118" s="5">
        <v>1057</v>
      </c>
      <c r="B1118" s="138">
        <f>'Expenditures 15-22'!K46</f>
        <v>4913</v>
      </c>
      <c r="C1118" s="2" t="s">
        <v>594</v>
      </c>
      <c r="D1118" s="2" t="str">
        <f t="shared" si="16"/>
        <v>Error?</v>
      </c>
    </row>
    <row r="1119" spans="1:4" x14ac:dyDescent="0.2">
      <c r="A1119" s="5">
        <v>1058</v>
      </c>
      <c r="B1119" s="138">
        <f>'Expenditures 15-22'!K47</f>
        <v>8187</v>
      </c>
      <c r="C1119" s="2" t="s">
        <v>594</v>
      </c>
      <c r="D1119" s="2" t="str">
        <f t="shared" si="16"/>
        <v>Error?</v>
      </c>
    </row>
    <row r="1120" spans="1:4" x14ac:dyDescent="0.2">
      <c r="A1120" s="5">
        <v>1059</v>
      </c>
      <c r="B1120" s="138">
        <f>'Expenditures 15-22'!K49</f>
        <v>8591</v>
      </c>
      <c r="C1120" s="2" t="s">
        <v>594</v>
      </c>
      <c r="D1120" s="2" t="str">
        <f t="shared" si="16"/>
        <v>Error?</v>
      </c>
    </row>
    <row r="1121" spans="1:4" x14ac:dyDescent="0.2">
      <c r="A1121" s="5">
        <v>1060</v>
      </c>
      <c r="B1121" s="138">
        <f>'Expenditures 15-22'!K50</f>
        <v>43121</v>
      </c>
      <c r="C1121" s="2" t="s">
        <v>594</v>
      </c>
      <c r="D1121" s="2" t="str">
        <f t="shared" si="16"/>
        <v>Error?</v>
      </c>
    </row>
    <row r="1122" spans="1:4" x14ac:dyDescent="0.2">
      <c r="A1122" s="5">
        <v>1061</v>
      </c>
      <c r="B1122" s="138">
        <f>'Expenditures 15-22'!K53</f>
        <v>70098</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44800</v>
      </c>
      <c r="C1127" s="2" t="s">
        <v>594</v>
      </c>
      <c r="D1127" s="2" t="str">
        <f t="shared" si="16"/>
        <v>Error?</v>
      </c>
    </row>
    <row r="1128" spans="1:4" x14ac:dyDescent="0.2">
      <c r="A1128" s="5">
        <v>1067</v>
      </c>
      <c r="B1128" s="138">
        <f>'Expenditures 15-22'!K61</f>
        <v>36961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40474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122235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219200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131767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684061</v>
      </c>
      <c r="C1152" s="2" t="s">
        <v>594</v>
      </c>
      <c r="D1152" s="2" t="str">
        <f t="shared" si="17"/>
        <v>Error?</v>
      </c>
    </row>
    <row r="1153" spans="1:4" x14ac:dyDescent="0.2">
      <c r="A1153" s="5">
        <v>1092</v>
      </c>
      <c r="B1153" s="138">
        <f>'Expenditures 15-22'!K115</f>
        <v>55199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4353</v>
      </c>
      <c r="D1237" s="2" t="str">
        <f t="shared" si="18"/>
        <v>Error?</v>
      </c>
    </row>
    <row r="1238" spans="1:4" x14ac:dyDescent="0.2">
      <c r="A1238" s="10">
        <v>1177</v>
      </c>
      <c r="D1238" s="2" t="str">
        <f t="shared" si="18"/>
        <v>OK</v>
      </c>
    </row>
    <row r="1239" spans="1:4" x14ac:dyDescent="0.2">
      <c r="A1239" s="5">
        <v>1178</v>
      </c>
      <c r="B1239" s="138">
        <f>'Expenditures 15-22'!E127</f>
        <v>4353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4353</v>
      </c>
      <c r="C1241" s="2" t="s">
        <v>594</v>
      </c>
      <c r="D1241" s="2" t="str">
        <f t="shared" si="18"/>
        <v>Error?</v>
      </c>
    </row>
    <row r="1242" spans="1:4" x14ac:dyDescent="0.2">
      <c r="A1242" s="5">
        <v>1181</v>
      </c>
      <c r="B1242" s="138">
        <f>'Expenditures 15-22'!E151</f>
        <v>4353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23637</v>
      </c>
      <c r="D1245" s="2" t="str">
        <f t="shared" si="18"/>
        <v>Error?</v>
      </c>
    </row>
    <row r="1246" spans="1:4" x14ac:dyDescent="0.2">
      <c r="A1246" s="10">
        <v>1185</v>
      </c>
      <c r="D1246" s="2" t="str">
        <f t="shared" si="18"/>
        <v>OK</v>
      </c>
    </row>
    <row r="1247" spans="1:4" x14ac:dyDescent="0.2">
      <c r="A1247" s="5">
        <v>1186</v>
      </c>
      <c r="B1247" s="138">
        <f>'Expenditures 15-22'!F127</f>
        <v>23637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23637</v>
      </c>
      <c r="C1249" s="2" t="s">
        <v>594</v>
      </c>
      <c r="D1249" s="2" t="str">
        <f t="shared" si="18"/>
        <v>Error?</v>
      </c>
    </row>
    <row r="1250" spans="1:4" x14ac:dyDescent="0.2">
      <c r="A1250" s="5">
        <v>1189</v>
      </c>
      <c r="B1250" s="138">
        <f>'Expenditures 15-22'!F151</f>
        <v>23637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27990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27990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27990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27990</v>
      </c>
      <c r="C1288" s="2" t="s">
        <v>594</v>
      </c>
      <c r="D1288" s="2" t="str">
        <f t="shared" si="19"/>
        <v>Error?</v>
      </c>
    </row>
    <row r="1289" spans="1:4" x14ac:dyDescent="0.2">
      <c r="A1289" s="5">
        <v>1228</v>
      </c>
      <c r="B1289" s="138">
        <f>'Expenditures 15-22'!K152</f>
        <v>6754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64280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64280</v>
      </c>
      <c r="C1351" s="2" t="s">
        <v>594</v>
      </c>
      <c r="D1351" s="2" t="str">
        <f t="shared" si="20"/>
        <v>Error?</v>
      </c>
    </row>
    <row r="1352" spans="1:4" x14ac:dyDescent="0.2">
      <c r="A1352" s="5">
        <v>1291</v>
      </c>
      <c r="B1352" s="138">
        <f>'Expenditures 15-22'!E196</f>
        <v>11891</v>
      </c>
      <c r="C1352" s="2" t="s">
        <v>594</v>
      </c>
      <c r="D1352" s="2" t="str">
        <f t="shared" si="20"/>
        <v>Error?</v>
      </c>
    </row>
    <row r="1353" spans="1:4" x14ac:dyDescent="0.2">
      <c r="A1353" s="5">
        <v>1292</v>
      </c>
      <c r="B1353" s="138">
        <f>'Expenditures 15-22'!E210</f>
        <v>76171</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64280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64280</v>
      </c>
      <c r="C1381" s="2" t="s">
        <v>594</v>
      </c>
      <c r="D1381" s="2" t="str">
        <f t="shared" si="20"/>
        <v>Error?</v>
      </c>
    </row>
    <row r="1382" spans="1:4" x14ac:dyDescent="0.2">
      <c r="A1382" s="5">
        <v>1321</v>
      </c>
      <c r="B1382" s="138">
        <f>'Expenditures 15-22'!K196</f>
        <v>11891</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76171</v>
      </c>
      <c r="C1388" s="2" t="s">
        <v>594</v>
      </c>
      <c r="D1388" s="2" t="str">
        <f t="shared" si="20"/>
        <v>Error?</v>
      </c>
    </row>
    <row r="1389" spans="1:4" x14ac:dyDescent="0.2">
      <c r="A1389" s="5">
        <v>1328</v>
      </c>
      <c r="B1389" s="138">
        <f>'Expenditures 15-22'!K211</f>
        <v>19881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7165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269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269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616</v>
      </c>
      <c r="D1423" s="2" t="str">
        <f t="shared" si="21"/>
        <v>Error?</v>
      </c>
    </row>
    <row r="1424" spans="1:4" x14ac:dyDescent="0.2">
      <c r="A1424" s="5">
        <v>1363</v>
      </c>
      <c r="B1424" s="138">
        <f>'Expenditures 15-22'!D257</f>
        <v>616</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6817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5631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3381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15829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16714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23879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7165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269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269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616</v>
      </c>
      <c r="C1487" s="2" t="s">
        <v>594</v>
      </c>
      <c r="D1487" s="2" t="str">
        <f t="shared" si="22"/>
        <v>Error?</v>
      </c>
    </row>
    <row r="1488" spans="1:4" x14ac:dyDescent="0.2">
      <c r="A1488" s="5">
        <v>1427</v>
      </c>
      <c r="B1488" s="138">
        <f>'Expenditures 15-22'!K257</f>
        <v>616</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6817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5631</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3381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15829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16714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23879</v>
      </c>
      <c r="C1517" s="2" t="s">
        <v>594</v>
      </c>
      <c r="D1517" s="2" t="str">
        <f t="shared" si="22"/>
        <v>Error?</v>
      </c>
    </row>
    <row r="1518" spans="1:4" x14ac:dyDescent="0.2">
      <c r="A1518" s="5">
        <v>1457</v>
      </c>
      <c r="B1518" s="138">
        <f>'Expenditures 15-22'!K296</f>
        <v>572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78116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133315</v>
      </c>
      <c r="C1630" s="2" t="s">
        <v>594</v>
      </c>
      <c r="D1630" s="2" t="str">
        <f t="shared" si="24"/>
        <v>Error?</v>
      </c>
    </row>
    <row r="1631" spans="1:4" x14ac:dyDescent="0.2">
      <c r="A1631" s="5">
        <v>1570</v>
      </c>
      <c r="B1631" s="138">
        <f>'Acct Summary 7-8'!D79</f>
        <v>8842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15596</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2527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22408</v>
      </c>
      <c r="C1672" s="2" t="s">
        <v>594</v>
      </c>
      <c r="D1672" s="2" t="str">
        <f t="shared" si="25"/>
        <v>Error?</v>
      </c>
    </row>
    <row r="1673" spans="1:4" x14ac:dyDescent="0.2">
      <c r="A1673" s="5">
        <v>1612</v>
      </c>
      <c r="B1673" s="138">
        <f>'Acct Summary 7-8'!G79</f>
        <v>9420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9992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368184</v>
      </c>
      <c r="C1744" s="2" t="s">
        <v>594</v>
      </c>
      <c r="D1744" s="2" t="str">
        <f t="shared" si="26"/>
        <v>Error?</v>
      </c>
    </row>
    <row r="1745" spans="1:5" x14ac:dyDescent="0.2">
      <c r="A1745" s="5">
        <v>1684</v>
      </c>
      <c r="B1745" s="138">
        <f>'Tax Sched 23'!B5</f>
        <v>34643</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21281</v>
      </c>
      <c r="C1747" s="2" t="s">
        <v>594</v>
      </c>
      <c r="D1747" s="2" t="str">
        <f t="shared" si="26"/>
        <v>Error?</v>
      </c>
    </row>
    <row r="1748" spans="1:5" x14ac:dyDescent="0.2">
      <c r="A1748" s="5">
        <v>1687</v>
      </c>
      <c r="B1748" s="138">
        <f>'Tax Sched 23'!B8</f>
        <v>4950</v>
      </c>
      <c r="C1748" s="2" t="s">
        <v>594</v>
      </c>
      <c r="D1748" s="2" t="str">
        <f t="shared" si="26"/>
        <v>Error?</v>
      </c>
    </row>
    <row r="1749" spans="1:5" x14ac:dyDescent="0.2">
      <c r="A1749" s="5">
        <v>1688</v>
      </c>
      <c r="B1749" s="138">
        <f>'Tax Sched 23'!B10</f>
        <v>4950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2475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454993</v>
      </c>
      <c r="C1759" s="2" t="s">
        <v>594</v>
      </c>
      <c r="D1759" s="2" t="str">
        <f t="shared" si="26"/>
        <v>Error?</v>
      </c>
    </row>
    <row r="1760" spans="1:5" x14ac:dyDescent="0.2">
      <c r="A1760" s="5">
        <v>1699</v>
      </c>
      <c r="B1760" s="138">
        <f>'Tax Sched 23'!D4</f>
        <v>368184</v>
      </c>
      <c r="C1760" s="2" t="s">
        <v>594</v>
      </c>
      <c r="D1760" s="2" t="str">
        <f t="shared" si="26"/>
        <v>Error?</v>
      </c>
    </row>
    <row r="1761" spans="1:5" x14ac:dyDescent="0.2">
      <c r="A1761" s="5">
        <v>1700</v>
      </c>
      <c r="B1761" s="138">
        <f>'Tax Sched 23'!D5</f>
        <v>34643</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21281</v>
      </c>
      <c r="C1763" s="2" t="s">
        <v>594</v>
      </c>
      <c r="D1763" s="2" t="str">
        <f t="shared" si="26"/>
        <v>Error?</v>
      </c>
    </row>
    <row r="1764" spans="1:5" x14ac:dyDescent="0.2">
      <c r="A1764" s="5">
        <v>1703</v>
      </c>
      <c r="B1764" s="138">
        <f>'Tax Sched 23'!D8</f>
        <v>4950</v>
      </c>
      <c r="C1764" s="2" t="s">
        <v>594</v>
      </c>
      <c r="D1764" s="2" t="str">
        <f t="shared" si="26"/>
        <v>Error?</v>
      </c>
    </row>
    <row r="1765" spans="1:5" x14ac:dyDescent="0.2">
      <c r="A1765" s="5">
        <v>1704</v>
      </c>
      <c r="B1765" s="138">
        <f>'Tax Sched 23'!D10</f>
        <v>4950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2475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454993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377210</v>
      </c>
      <c r="C1792" s="2" t="s">
        <v>594</v>
      </c>
      <c r="D1792" s="2" t="str">
        <f t="shared" si="27"/>
        <v>Error?</v>
      </c>
    </row>
    <row r="1793" spans="1:4" x14ac:dyDescent="0.2">
      <c r="A1793" s="5">
        <v>1732</v>
      </c>
      <c r="B1793" s="138">
        <f>'Tax Sched 23'!F5</f>
        <v>35425</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21761</v>
      </c>
      <c r="C1795" s="2" t="s">
        <v>594</v>
      </c>
      <c r="D1795" s="2" t="str">
        <f t="shared" si="27"/>
        <v>Error?</v>
      </c>
    </row>
    <row r="1796" spans="1:4" x14ac:dyDescent="0.2">
      <c r="A1796" s="5">
        <v>1735</v>
      </c>
      <c r="B1796" s="138">
        <f>'Tax Sched 23'!F8</f>
        <v>9557</v>
      </c>
      <c r="C1796" s="2" t="s">
        <v>594</v>
      </c>
      <c r="D1796" s="2" t="str">
        <f t="shared" si="27"/>
        <v>Error?</v>
      </c>
    </row>
    <row r="1797" spans="1:4" x14ac:dyDescent="0.2">
      <c r="A1797" s="5">
        <v>1736</v>
      </c>
      <c r="B1797" s="138">
        <f>'Tax Sched 23'!F10</f>
        <v>5063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2533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465884</v>
      </c>
      <c r="C1807" s="2" t="s">
        <v>594</v>
      </c>
      <c r="D1807" s="2" t="str">
        <f t="shared" si="27"/>
        <v>Error?</v>
      </c>
    </row>
    <row r="1808" spans="1:4" x14ac:dyDescent="0.2">
      <c r="A1808" s="5">
        <v>1747</v>
      </c>
      <c r="B1808" s="138">
        <f>'Tax Sched 23'!E4</f>
        <v>377210</v>
      </c>
      <c r="D1808" s="2" t="str">
        <f t="shared" si="27"/>
        <v>Error?</v>
      </c>
    </row>
    <row r="1809" spans="1:4" x14ac:dyDescent="0.2">
      <c r="A1809" s="5">
        <v>1748</v>
      </c>
      <c r="B1809" s="138">
        <f>'Tax Sched 23'!E5</f>
        <v>35425</v>
      </c>
      <c r="D1809" s="2" t="str">
        <f t="shared" si="27"/>
        <v>Error?</v>
      </c>
    </row>
    <row r="1810" spans="1:4" x14ac:dyDescent="0.2">
      <c r="A1810" s="5">
        <v>1749</v>
      </c>
      <c r="B1810" s="138">
        <f>'Tax Sched 23'!E6</f>
        <v>0</v>
      </c>
      <c r="D1810" s="2" t="str">
        <f t="shared" si="27"/>
        <v>Error?</v>
      </c>
    </row>
    <row r="1811" spans="1:4" x14ac:dyDescent="0.2">
      <c r="A1811" s="5">
        <v>1750</v>
      </c>
      <c r="B1811" s="138">
        <f>'Tax Sched 23'!E7</f>
        <v>21761</v>
      </c>
      <c r="D1811" s="2" t="str">
        <f t="shared" si="27"/>
        <v>Error?</v>
      </c>
    </row>
    <row r="1812" spans="1:4" x14ac:dyDescent="0.2">
      <c r="A1812" s="5">
        <v>1751</v>
      </c>
      <c r="B1812" s="138">
        <f>'Tax Sched 23'!E8</f>
        <v>9557</v>
      </c>
      <c r="D1812" s="2" t="str">
        <f t="shared" si="27"/>
        <v>Error?</v>
      </c>
    </row>
    <row r="1813" spans="1:4" x14ac:dyDescent="0.2">
      <c r="A1813" s="5">
        <v>1752</v>
      </c>
      <c r="B1813" s="138">
        <f>'Tax Sched 23'!E10</f>
        <v>5063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2533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465884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2475</v>
      </c>
      <c r="D1972" s="2" t="str">
        <f t="shared" si="29"/>
        <v>Error?</v>
      </c>
    </row>
    <row r="1973" spans="1:5" x14ac:dyDescent="0.2">
      <c r="A1973" s="5">
        <v>1912</v>
      </c>
      <c r="B1973" s="138">
        <f>'Rest Tax Levies-Tort Im 25'!H6</f>
        <v>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2477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2477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1284</v>
      </c>
      <c r="D2008" s="2" t="str">
        <f t="shared" si="30"/>
        <v>Error?</v>
      </c>
    </row>
    <row r="2009" spans="1:4" x14ac:dyDescent="0.2">
      <c r="A2009" s="5">
        <v>1948</v>
      </c>
      <c r="B2009" s="138">
        <f>'Cap Outlay Deprec 26'!C8</f>
        <v>453536</v>
      </c>
      <c r="D2009" s="2" t="str">
        <f t="shared" si="30"/>
        <v>Error?</v>
      </c>
    </row>
    <row r="2010" spans="1:4" x14ac:dyDescent="0.2">
      <c r="A2010" s="5">
        <v>1949</v>
      </c>
      <c r="B2010" s="138">
        <f>'Cap Outlay Deprec 26'!C10</f>
        <v>1439</v>
      </c>
      <c r="D2010" s="2" t="str">
        <f t="shared" si="30"/>
        <v>Error?</v>
      </c>
    </row>
    <row r="2011" spans="1:4" x14ac:dyDescent="0.2">
      <c r="A2011" s="5">
        <v>1950</v>
      </c>
      <c r="B2011" s="138">
        <f>'Cap Outlay Deprec 26'!C12</f>
        <v>60179</v>
      </c>
      <c r="D2011" s="2" t="str">
        <f t="shared" si="30"/>
        <v>Error?</v>
      </c>
    </row>
    <row r="2012" spans="1:4" x14ac:dyDescent="0.2">
      <c r="A2012" s="5">
        <v>1951</v>
      </c>
      <c r="B2012" s="138">
        <f>'Cap Outlay Deprec 26'!C13</f>
        <v>10568</v>
      </c>
      <c r="D2012" s="2" t="str">
        <f t="shared" si="30"/>
        <v>Error?</v>
      </c>
    </row>
    <row r="2013" spans="1:4" x14ac:dyDescent="0.2">
      <c r="A2013" s="5">
        <v>1952</v>
      </c>
      <c r="B2013" s="138">
        <f>'Cap Outlay Deprec 26'!C16</f>
        <v>527006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11822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11822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5310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5310</v>
      </c>
      <c r="C2025" s="2" t="s">
        <v>594</v>
      </c>
      <c r="D2025" s="2" t="str">
        <f t="shared" si="30"/>
        <v>Error?</v>
      </c>
    </row>
    <row r="2026" spans="1:4" x14ac:dyDescent="0.2">
      <c r="A2026" s="5">
        <v>1965</v>
      </c>
      <c r="B2026" s="138">
        <f>'Cap Outlay Deprec 26'!F5</f>
        <v>1284</v>
      </c>
      <c r="C2026" s="2" t="s">
        <v>594</v>
      </c>
      <c r="D2026" s="2" t="str">
        <f t="shared" si="30"/>
        <v>Error?</v>
      </c>
    </row>
    <row r="2027" spans="1:4" x14ac:dyDescent="0.2">
      <c r="A2027" s="5">
        <v>1966</v>
      </c>
      <c r="B2027" s="138">
        <f>'Cap Outlay Deprec 26'!F8</f>
        <v>453536</v>
      </c>
      <c r="C2027" s="2" t="s">
        <v>594</v>
      </c>
      <c r="D2027" s="2" t="str">
        <f t="shared" si="30"/>
        <v>Error?</v>
      </c>
    </row>
    <row r="2028" spans="1:4" x14ac:dyDescent="0.2">
      <c r="A2028" s="5">
        <v>1967</v>
      </c>
      <c r="B2028" s="138">
        <f>'Cap Outlay Deprec 26'!F10</f>
        <v>1439</v>
      </c>
      <c r="C2028" s="2" t="s">
        <v>594</v>
      </c>
      <c r="D2028" s="2" t="str">
        <f t="shared" si="30"/>
        <v>Error?</v>
      </c>
    </row>
    <row r="2029" spans="1:4" x14ac:dyDescent="0.2">
      <c r="A2029" s="5">
        <v>1968</v>
      </c>
      <c r="B2029" s="138">
        <f>'Cap Outlay Deprec 26'!F12</f>
        <v>66691</v>
      </c>
      <c r="C2029" s="2" t="s">
        <v>594</v>
      </c>
      <c r="D2029" s="2" t="str">
        <f t="shared" si="30"/>
        <v>Error?</v>
      </c>
    </row>
    <row r="2030" spans="1:4" x14ac:dyDescent="0.2">
      <c r="A2030" s="5">
        <v>1969</v>
      </c>
      <c r="B2030" s="138">
        <f>'Cap Outlay Deprec 26'!F13</f>
        <v>10568</v>
      </c>
      <c r="C2030" s="2" t="s">
        <v>594</v>
      </c>
      <c r="D2030" s="2" t="str">
        <f t="shared" si="30"/>
        <v>Error?</v>
      </c>
    </row>
    <row r="2031" spans="1:4" x14ac:dyDescent="0.2">
      <c r="A2031" s="5">
        <v>1970</v>
      </c>
      <c r="B2031" s="138">
        <f>'Cap Outlay Deprec 26'!F16</f>
        <v>533518</v>
      </c>
      <c r="C2031" s="2" t="s">
        <v>594</v>
      </c>
      <c r="D2031" s="2" t="str">
        <f t="shared" si="30"/>
        <v>Error?</v>
      </c>
    </row>
    <row r="2032" spans="1:4" x14ac:dyDescent="0.2">
      <c r="A2032" s="10">
        <v>1971</v>
      </c>
      <c r="D2032" s="2" t="str">
        <f t="shared" si="30"/>
        <v>OK</v>
      </c>
    </row>
    <row r="2033" spans="1:4" x14ac:dyDescent="0.2">
      <c r="A2033" s="5">
        <v>1972</v>
      </c>
      <c r="B2033" s="138">
        <f>'Cap Outlay Deprec 26'!H8</f>
        <v>347189</v>
      </c>
      <c r="D2033" s="2" t="str">
        <f t="shared" si="30"/>
        <v>Error?</v>
      </c>
    </row>
    <row r="2034" spans="1:4" x14ac:dyDescent="0.2">
      <c r="A2034" s="5">
        <v>1973</v>
      </c>
      <c r="B2034" s="138">
        <f>'Cap Outlay Deprec 26'!H10</f>
        <v>144</v>
      </c>
      <c r="D2034" s="2" t="str">
        <f t="shared" si="30"/>
        <v>Error?</v>
      </c>
    </row>
    <row r="2035" spans="1:4" x14ac:dyDescent="0.2">
      <c r="A2035" s="5">
        <v>1974</v>
      </c>
      <c r="B2035" s="138">
        <f>'Cap Outlay Deprec 26'!H12</f>
        <v>31982</v>
      </c>
      <c r="D2035" s="2" t="str">
        <f t="shared" si="30"/>
        <v>Error?</v>
      </c>
    </row>
    <row r="2036" spans="1:4" x14ac:dyDescent="0.2">
      <c r="A2036" s="5">
        <v>1975</v>
      </c>
      <c r="B2036" s="138">
        <f>'Cap Outlay Deprec 26'!H13</f>
        <v>10568</v>
      </c>
      <c r="D2036" s="2" t="str">
        <f t="shared" si="30"/>
        <v>Error?</v>
      </c>
    </row>
    <row r="2037" spans="1:4" x14ac:dyDescent="0.2">
      <c r="A2037" s="5">
        <v>1976</v>
      </c>
      <c r="B2037" s="138">
        <f>'Cap Outlay Deprec 26'!H16</f>
        <v>389883</v>
      </c>
      <c r="C2037" s="2" t="s">
        <v>594</v>
      </c>
      <c r="D2037" s="2" t="str">
        <f t="shared" si="30"/>
        <v>Error?</v>
      </c>
    </row>
    <row r="2038" spans="1:4" x14ac:dyDescent="0.2">
      <c r="A2038" s="10">
        <v>1977</v>
      </c>
      <c r="D2038" s="2" t="str">
        <f t="shared" si="30"/>
        <v>OK</v>
      </c>
    </row>
    <row r="2039" spans="1:4" x14ac:dyDescent="0.2">
      <c r="A2039" s="5">
        <v>1978</v>
      </c>
      <c r="B2039" s="138">
        <f>'Cap Outlay Deprec 26'!I8</f>
        <v>7517</v>
      </c>
      <c r="D2039" s="2" t="str">
        <f t="shared" si="30"/>
        <v>Error?</v>
      </c>
    </row>
    <row r="2040" spans="1:4" x14ac:dyDescent="0.2">
      <c r="A2040" s="5">
        <v>1979</v>
      </c>
      <c r="B2040" s="138">
        <f>'Cap Outlay Deprec 26'!I10</f>
        <v>72</v>
      </c>
      <c r="D2040" s="2" t="str">
        <f t="shared" si="30"/>
        <v>Error?</v>
      </c>
    </row>
    <row r="2041" spans="1:4" x14ac:dyDescent="0.2">
      <c r="A2041" s="5">
        <v>1980</v>
      </c>
      <c r="B2041" s="138">
        <f>'Cap Outlay Deprec 26'!I12</f>
        <v>6666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14255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5310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5310</v>
      </c>
      <c r="C2049" s="2" t="s">
        <v>594</v>
      </c>
      <c r="D2049" s="2" t="str">
        <f t="shared" si="31"/>
        <v>Error?</v>
      </c>
    </row>
    <row r="2050" spans="1:4" x14ac:dyDescent="0.2">
      <c r="A2050" s="10">
        <v>1989</v>
      </c>
      <c r="D2050" s="2" t="str">
        <f t="shared" si="31"/>
        <v>OK</v>
      </c>
    </row>
    <row r="2051" spans="1:4" x14ac:dyDescent="0.2">
      <c r="A2051" s="5">
        <v>1990</v>
      </c>
      <c r="B2051" s="138">
        <f>'Cap Outlay Deprec 26'!K8</f>
        <v>354706</v>
      </c>
      <c r="C2051" s="2" t="s">
        <v>594</v>
      </c>
      <c r="D2051" s="2" t="str">
        <f t="shared" si="31"/>
        <v>Error?</v>
      </c>
    </row>
    <row r="2052" spans="1:4" x14ac:dyDescent="0.2">
      <c r="A2052" s="5">
        <v>1991</v>
      </c>
      <c r="B2052" s="138">
        <f>'Cap Outlay Deprec 26'!K10</f>
        <v>216</v>
      </c>
      <c r="C2052" s="2" t="s">
        <v>594</v>
      </c>
      <c r="D2052" s="2" t="str">
        <f t="shared" si="31"/>
        <v>Error?</v>
      </c>
    </row>
    <row r="2053" spans="1:4" x14ac:dyDescent="0.2">
      <c r="A2053" s="5">
        <v>1992</v>
      </c>
      <c r="B2053" s="138">
        <f>'Cap Outlay Deprec 26'!K12</f>
        <v>33338</v>
      </c>
      <c r="C2053" s="2" t="s">
        <v>594</v>
      </c>
      <c r="D2053" s="2" t="str">
        <f t="shared" si="31"/>
        <v>Error?</v>
      </c>
    </row>
    <row r="2054" spans="1:4" x14ac:dyDescent="0.2">
      <c r="A2054" s="5">
        <v>1993</v>
      </c>
      <c r="B2054" s="138">
        <f>'Cap Outlay Deprec 26'!K13</f>
        <v>10568</v>
      </c>
      <c r="C2054" s="2" t="s">
        <v>594</v>
      </c>
      <c r="D2054" s="2" t="str">
        <f t="shared" si="31"/>
        <v>Error?</v>
      </c>
    </row>
    <row r="2055" spans="1:4" x14ac:dyDescent="0.2">
      <c r="A2055" s="5">
        <v>1994</v>
      </c>
      <c r="B2055" s="138">
        <f>'Cap Outlay Deprec 26'!K16</f>
        <v>398828</v>
      </c>
      <c r="C2055" s="2" t="s">
        <v>594</v>
      </c>
      <c r="D2055" s="2" t="str">
        <f t="shared" si="31"/>
        <v>Error?</v>
      </c>
    </row>
    <row r="2056" spans="1:4" x14ac:dyDescent="0.2">
      <c r="A2056" s="5">
        <v>1995</v>
      </c>
      <c r="B2056" s="138">
        <f>'Cap Outlay Deprec 26'!L5</f>
        <v>1284</v>
      </c>
      <c r="C2056" s="2" t="s">
        <v>594</v>
      </c>
      <c r="D2056" s="2" t="str">
        <f t="shared" si="31"/>
        <v>Error?</v>
      </c>
    </row>
    <row r="2057" spans="1:4" x14ac:dyDescent="0.2">
      <c r="A2057" s="5">
        <v>1996</v>
      </c>
      <c r="B2057" s="138">
        <f>'Cap Outlay Deprec 26'!L8</f>
        <v>98830</v>
      </c>
      <c r="C2057" s="2" t="s">
        <v>594</v>
      </c>
      <c r="D2057" s="2" t="str">
        <f t="shared" si="31"/>
        <v>Error?</v>
      </c>
    </row>
    <row r="2058" spans="1:4" x14ac:dyDescent="0.2">
      <c r="A2058" s="5">
        <v>1997</v>
      </c>
      <c r="B2058" s="138">
        <f>'Cap Outlay Deprec 26'!L10</f>
        <v>1223</v>
      </c>
      <c r="C2058" s="2" t="s">
        <v>594</v>
      </c>
      <c r="D2058" s="2" t="str">
        <f t="shared" si="31"/>
        <v>Error?</v>
      </c>
    </row>
    <row r="2059" spans="1:4" x14ac:dyDescent="0.2">
      <c r="A2059" s="5">
        <v>1998</v>
      </c>
      <c r="B2059" s="138">
        <f>'Cap Outlay Deprec 26'!L12</f>
        <v>33353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134690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24923</v>
      </c>
      <c r="C2088" s="2" t="s">
        <v>594</v>
      </c>
      <c r="D2088" s="2" t="str">
        <f t="shared" si="31"/>
        <v>Error?</v>
      </c>
    </row>
    <row r="2089" spans="1:4" x14ac:dyDescent="0.2">
      <c r="A2089" s="5">
        <v>2028</v>
      </c>
      <c r="B2089" s="138">
        <f>'Expenditures 15-22'!K92</f>
        <v>106844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5611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384438</v>
      </c>
      <c r="C2551" s="2" t="s">
        <v>594</v>
      </c>
      <c r="D2551" s="2" t="str">
        <f t="shared" si="38"/>
        <v>Error?</v>
      </c>
    </row>
    <row r="2552" spans="1:4" x14ac:dyDescent="0.2">
      <c r="A2552" s="10">
        <v>2491</v>
      </c>
      <c r="D2552" s="2" t="str">
        <f t="shared" si="38"/>
        <v>OK</v>
      </c>
    </row>
    <row r="2553" spans="1:4" x14ac:dyDescent="0.2">
      <c r="A2553" s="5">
        <v>2492</v>
      </c>
      <c r="B2553" s="138">
        <f>'Acct Summary 7-8'!C6</f>
        <v>232905</v>
      </c>
      <c r="C2553" s="2" t="s">
        <v>594</v>
      </c>
      <c r="D2553" s="2" t="str">
        <f t="shared" si="38"/>
        <v>Error?</v>
      </c>
    </row>
    <row r="2554" spans="1:4" x14ac:dyDescent="0.2">
      <c r="A2554" s="5">
        <v>2493</v>
      </c>
      <c r="B2554" s="138">
        <f>'Acct Summary 7-8'!C7</f>
        <v>121917</v>
      </c>
      <c r="C2554" s="2" t="s">
        <v>594</v>
      </c>
      <c r="D2554" s="2" t="str">
        <f t="shared" si="38"/>
        <v>Error?</v>
      </c>
    </row>
    <row r="2555" spans="1:4" x14ac:dyDescent="0.2">
      <c r="A2555" s="5">
        <v>2494</v>
      </c>
      <c r="B2555" s="138">
        <f>'Acct Summary 7-8'!C8</f>
        <v>739260</v>
      </c>
      <c r="C2555" s="2" t="s">
        <v>594</v>
      </c>
      <c r="D2555" s="2" t="str">
        <f t="shared" si="38"/>
        <v>Error?</v>
      </c>
    </row>
    <row r="2556" spans="1:4" x14ac:dyDescent="0.2">
      <c r="A2556" s="5">
        <v>2495</v>
      </c>
      <c r="B2556" s="138">
        <f>'Acct Summary 7-8'!C12</f>
        <v>333094</v>
      </c>
      <c r="C2556" s="2" t="s">
        <v>594</v>
      </c>
      <c r="D2556" s="2" t="str">
        <f t="shared" si="38"/>
        <v>Error?</v>
      </c>
    </row>
    <row r="2557" spans="1:4" x14ac:dyDescent="0.2">
      <c r="A2557" s="5">
        <v>2496</v>
      </c>
      <c r="B2557" s="138">
        <f>'Acct Summary 7-8'!C13</f>
        <v>219200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131767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684061</v>
      </c>
      <c r="C2561" s="2" t="s">
        <v>594</v>
      </c>
      <c r="D2561" s="2" t="str">
        <f t="shared" si="39"/>
        <v>Error?</v>
      </c>
    </row>
    <row r="2562" spans="1:4" x14ac:dyDescent="0.2">
      <c r="A2562" s="5">
        <v>2501</v>
      </c>
      <c r="B2562" s="138">
        <f>'Acct Summary 7-8'!C20</f>
        <v>55199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34744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34744</v>
      </c>
      <c r="C2568" s="2" t="s">
        <v>594</v>
      </c>
      <c r="D2568" s="2" t="str">
        <f t="shared" si="39"/>
        <v>Error?</v>
      </c>
    </row>
    <row r="2569" spans="1:4" x14ac:dyDescent="0.2">
      <c r="A2569" s="5">
        <v>2508</v>
      </c>
      <c r="B2569" s="138">
        <f>'Acct Summary 7-8'!D13</f>
        <v>27990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27990</v>
      </c>
      <c r="C2573" s="2" t="s">
        <v>594</v>
      </c>
      <c r="D2573" s="2" t="str">
        <f t="shared" si="39"/>
        <v>Error?</v>
      </c>
    </row>
    <row r="2574" spans="1:4" x14ac:dyDescent="0.2">
      <c r="A2574" s="5">
        <v>2513</v>
      </c>
      <c r="B2574" s="138">
        <f>'Acct Summary 7-8'!D20</f>
        <v>6754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25510</v>
      </c>
      <c r="C2591" s="2" t="s">
        <v>594</v>
      </c>
      <c r="D2591" s="2" t="str">
        <f t="shared" si="39"/>
        <v>Error?</v>
      </c>
    </row>
    <row r="2592" spans="1:4" x14ac:dyDescent="0.2">
      <c r="A2592" s="10">
        <v>2531</v>
      </c>
      <c r="D2592" s="2" t="str">
        <f t="shared" si="39"/>
        <v>OK</v>
      </c>
    </row>
    <row r="2593" spans="1:4" x14ac:dyDescent="0.2">
      <c r="A2593" s="5">
        <v>2532</v>
      </c>
      <c r="B2593" s="138">
        <f>'Acct Summary 7-8'!F6</f>
        <v>70542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96052</v>
      </c>
      <c r="C2595" s="2" t="s">
        <v>594</v>
      </c>
      <c r="D2595" s="2" t="str">
        <f t="shared" si="39"/>
        <v>Error?</v>
      </c>
    </row>
    <row r="2596" spans="1:4" x14ac:dyDescent="0.2">
      <c r="A2596" s="5">
        <v>2535</v>
      </c>
      <c r="B2596" s="138">
        <f>'Acct Summary 7-8'!F13</f>
        <v>64280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11891</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76171</v>
      </c>
      <c r="C2600" s="2" t="s">
        <v>594</v>
      </c>
      <c r="D2600" s="2" t="str">
        <f t="shared" si="39"/>
        <v>Error?</v>
      </c>
    </row>
    <row r="2601" spans="1:4" x14ac:dyDescent="0.2">
      <c r="A2601" s="5">
        <v>2540</v>
      </c>
      <c r="B2601" s="138">
        <f>'Acct Summary 7-8'!F20</f>
        <v>19881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24451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24451</v>
      </c>
      <c r="C2606" s="2" t="s">
        <v>594</v>
      </c>
      <c r="D2606" s="2" t="str">
        <f t="shared" si="39"/>
        <v>Error?</v>
      </c>
    </row>
    <row r="2607" spans="1:4" x14ac:dyDescent="0.2">
      <c r="A2607" s="5">
        <v>2546</v>
      </c>
      <c r="B2607" s="138">
        <f>'Acct Summary 7-8'!G12</f>
        <v>7165</v>
      </c>
      <c r="C2607" s="2" t="s">
        <v>594</v>
      </c>
      <c r="D2607" s="2" t="str">
        <f t="shared" si="39"/>
        <v>Error?</v>
      </c>
    </row>
    <row r="2608" spans="1:4" x14ac:dyDescent="0.2">
      <c r="A2608" s="5">
        <v>2547</v>
      </c>
      <c r="B2608" s="138">
        <f>'Acct Summary 7-8'!G13</f>
        <v>16714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23879</v>
      </c>
      <c r="C2612" s="2" t="s">
        <v>594</v>
      </c>
      <c r="D2612" s="2" t="str">
        <f t="shared" si="39"/>
        <v>Error?</v>
      </c>
    </row>
    <row r="2613" spans="1:4" x14ac:dyDescent="0.2">
      <c r="A2613" s="5">
        <v>2552</v>
      </c>
      <c r="B2613" s="138">
        <f>'Acct Summary 7-8'!G20</f>
        <v>572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24923</v>
      </c>
      <c r="C2789" s="2" t="s">
        <v>594</v>
      </c>
      <c r="D2789" s="2" t="str">
        <f t="shared" si="42"/>
        <v>Error?</v>
      </c>
    </row>
    <row r="2790" spans="1:4" x14ac:dyDescent="0.2">
      <c r="A2790" s="5">
        <v>2729</v>
      </c>
      <c r="B2790" s="138">
        <f>'Expenditures 15-22'!E102</f>
        <v>24923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11891</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11891</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5513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3018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5513</v>
      </c>
      <c r="D2912" s="2" t="str">
        <f t="shared" si="44"/>
        <v>Error?</v>
      </c>
    </row>
    <row r="2913" spans="1:4" x14ac:dyDescent="0.2">
      <c r="A2913" s="5">
        <v>2852</v>
      </c>
      <c r="B2913" s="138">
        <f>'Assets-Liab 5-6'!I41</f>
        <v>5513</v>
      </c>
      <c r="C2913" s="2" t="s">
        <v>594</v>
      </c>
      <c r="D2913" s="2" t="str">
        <f t="shared" si="44"/>
        <v>Error?</v>
      </c>
    </row>
    <row r="2914" spans="1:4" x14ac:dyDescent="0.2">
      <c r="A2914" s="5">
        <v>2853</v>
      </c>
      <c r="B2914" s="138">
        <f>'Assets-Liab 5-6'!L33</f>
        <v>3018</v>
      </c>
      <c r="D2914" s="2" t="str">
        <f t="shared" si="44"/>
        <v>Error?</v>
      </c>
    </row>
    <row r="2915" spans="1:4" x14ac:dyDescent="0.2">
      <c r="A2915" s="10">
        <v>2854</v>
      </c>
      <c r="D2915" s="2" t="str">
        <f t="shared" si="44"/>
        <v>OK</v>
      </c>
    </row>
    <row r="2916" spans="1:4" x14ac:dyDescent="0.2">
      <c r="A2916" s="5">
        <v>2855</v>
      </c>
      <c r="B2916" s="138">
        <f>'Assets-Liab 5-6'!L34</f>
        <v>3018</v>
      </c>
      <c r="C2916" s="2" t="s">
        <v>594</v>
      </c>
      <c r="D2916" s="2" t="str">
        <f t="shared" si="44"/>
        <v>Error?</v>
      </c>
    </row>
    <row r="2917" spans="1:4" x14ac:dyDescent="0.2">
      <c r="A2917" s="5">
        <v>2856</v>
      </c>
      <c r="B2917" s="138">
        <f>'Assets-Liab 5-6'!L41</f>
        <v>3018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24923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24923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11891</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11891</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4953</v>
      </c>
      <c r="C3225" s="2" t="s">
        <v>594</v>
      </c>
      <c r="D3225" s="2" t="str">
        <f t="shared" si="49"/>
        <v>Error?</v>
      </c>
    </row>
    <row r="3226" spans="1:4" x14ac:dyDescent="0.2">
      <c r="A3226" s="5">
        <v>3165</v>
      </c>
      <c r="B3226" s="138">
        <f>'Acct Summary 7-8'!I8</f>
        <v>4953</v>
      </c>
      <c r="C3226" s="2" t="s">
        <v>594</v>
      </c>
      <c r="D3226" s="2" t="str">
        <f t="shared" si="49"/>
        <v>Error?</v>
      </c>
    </row>
    <row r="3227" spans="1:4" x14ac:dyDescent="0.2">
      <c r="A3227" s="5">
        <v>3166</v>
      </c>
      <c r="B3227" s="138">
        <f>'Acct Summary 7-8'!I20</f>
        <v>4953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55199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6754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19881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572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4953</v>
      </c>
      <c r="C3320" s="2" t="s">
        <v>594</v>
      </c>
      <c r="D3320" s="2" t="str">
        <f t="shared" si="50"/>
        <v>Error?</v>
      </c>
    </row>
    <row r="3321" spans="1:4" x14ac:dyDescent="0.2">
      <c r="A3321" s="5">
        <v>3260</v>
      </c>
      <c r="B3321" s="138">
        <f>'Acct Summary 7-8'!I79</f>
        <v>560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5513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7165</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7165</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133315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15596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22408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9992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5513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3018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18510</v>
      </c>
      <c r="C3446" s="2" t="s">
        <v>594</v>
      </c>
      <c r="D3446" s="2" t="str">
        <f t="shared" si="52"/>
        <v>Error?</v>
      </c>
    </row>
    <row r="3447" spans="1:4" x14ac:dyDescent="0.2">
      <c r="A3447" s="5">
        <v>3386</v>
      </c>
      <c r="B3447" s="138">
        <f>'Tax Sched 23'!D16</f>
        <v>18510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14335</v>
      </c>
      <c r="C3449" s="2" t="s">
        <v>594</v>
      </c>
      <c r="D3449" s="2" t="str">
        <f t="shared" si="52"/>
        <v>Error?</v>
      </c>
    </row>
    <row r="3450" spans="1:4" x14ac:dyDescent="0.2">
      <c r="A3450" s="5">
        <v>3389</v>
      </c>
      <c r="B3450" s="138">
        <f>'Tax Sched 23'!E16</f>
        <v>14335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17574.439999999999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182878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922138</v>
      </c>
      <c r="C4122" s="2" t="s">
        <v>594</v>
      </c>
      <c r="D4122" s="2" t="str">
        <f t="shared" si="63"/>
        <v>Error?</v>
      </c>
    </row>
    <row r="4123" spans="1:4" x14ac:dyDescent="0.2">
      <c r="A4123" s="5">
        <v>4062</v>
      </c>
      <c r="B4123" s="138">
        <f>'Acct Summary 7-8'!D10</f>
        <v>34744</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96052</v>
      </c>
      <c r="C4125" s="2" t="s">
        <v>594</v>
      </c>
      <c r="D4125" s="2" t="str">
        <f t="shared" si="63"/>
        <v>Error?</v>
      </c>
    </row>
    <row r="4126" spans="1:4" x14ac:dyDescent="0.2">
      <c r="A4126" s="5">
        <v>4065</v>
      </c>
      <c r="B4126" s="138">
        <f>'Acct Summary 7-8'!G10</f>
        <v>24451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4953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182878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866939</v>
      </c>
      <c r="C4136" s="2" t="s">
        <v>594</v>
      </c>
      <c r="D4136" s="2" t="str">
        <f t="shared" si="63"/>
        <v>Error?</v>
      </c>
    </row>
    <row r="4137" spans="1:4" x14ac:dyDescent="0.2">
      <c r="A4137" s="5">
        <v>4076</v>
      </c>
      <c r="B4137" s="138">
        <f>'Acct Summary 7-8'!D19</f>
        <v>27990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76171</v>
      </c>
      <c r="C4139" s="2" t="s">
        <v>594</v>
      </c>
      <c r="D4139" s="2" t="str">
        <f t="shared" si="63"/>
        <v>Error?</v>
      </c>
    </row>
    <row r="4140" spans="1:4" x14ac:dyDescent="0.2">
      <c r="A4140" s="5">
        <v>4079</v>
      </c>
      <c r="B4140" s="138">
        <f>'Acct Summary 7-8'!G19</f>
        <v>23879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2997.23</v>
      </c>
      <c r="C4265" s="2" t="s">
        <v>594</v>
      </c>
      <c r="D4265" s="2" t="str">
        <f t="shared" si="65"/>
        <v>Error?</v>
      </c>
      <c r="E4265" s="128"/>
    </row>
    <row r="4266" spans="1:5" x14ac:dyDescent="0.2">
      <c r="A4266" s="12">
        <v>4205</v>
      </c>
      <c r="B4266" s="138">
        <f>('FP Info 3'!F10)*100000</f>
        <v>281.48</v>
      </c>
      <c r="C4266" s="2" t="s">
        <v>594</v>
      </c>
      <c r="D4266" s="2" t="str">
        <f t="shared" si="65"/>
        <v>Error?</v>
      </c>
      <c r="E4266" s="128"/>
    </row>
    <row r="4267" spans="1:5" x14ac:dyDescent="0.2">
      <c r="A4267" s="12">
        <v>4206</v>
      </c>
      <c r="B4267" s="138">
        <f>('FP Info 3'!H10)*100000</f>
        <v>172.91</v>
      </c>
      <c r="C4267" s="2" t="s">
        <v>594</v>
      </c>
      <c r="D4267" s="2" t="str">
        <f t="shared" si="65"/>
        <v>Error?</v>
      </c>
      <c r="E4267" s="128"/>
    </row>
    <row r="4268" spans="1:5" x14ac:dyDescent="0.2">
      <c r="A4268" s="12">
        <v>4207</v>
      </c>
      <c r="B4268" s="138">
        <f>('FP Info 3'!J10)*100000</f>
        <v>3452</v>
      </c>
      <c r="C4268" s="2" t="s">
        <v>594</v>
      </c>
      <c r="D4268" s="2" t="str">
        <f t="shared" si="65"/>
        <v>Error?</v>
      </c>
    </row>
    <row r="4269" spans="1:5" x14ac:dyDescent="0.2">
      <c r="A4269" s="12">
        <v>4208</v>
      </c>
      <c r="B4269" s="138">
        <f>'FP Info 3'!J16</f>
        <v>176832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863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11185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2453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40.230000000000004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31715</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12585276</v>
      </c>
      <c r="D4995" s="2" t="str">
        <f t="shared" si="77"/>
        <v>Error?</v>
      </c>
    </row>
    <row r="4996" spans="1:4" x14ac:dyDescent="0.2">
      <c r="A4996" s="12">
        <v>4935</v>
      </c>
      <c r="B4996" s="138">
        <f>'FP Info 3'!H31</f>
        <v>868384.04400000011</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368184</v>
      </c>
      <c r="D5061" s="2" t="str">
        <f t="shared" si="78"/>
        <v>Error?</v>
      </c>
    </row>
    <row r="5062" spans="1:4" x14ac:dyDescent="0.2">
      <c r="A5062" s="10">
        <v>5001</v>
      </c>
      <c r="D5062" s="2" t="str">
        <f t="shared" si="78"/>
        <v>OK</v>
      </c>
    </row>
    <row r="5063" spans="1:4" x14ac:dyDescent="0.2">
      <c r="A5063" s="5">
        <v>5002</v>
      </c>
      <c r="B5063" s="138">
        <f>'Revenues 9-14'!C7</f>
        <v>2475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370659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3395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3395</v>
      </c>
      <c r="C5087" s="2" t="s">
        <v>594</v>
      </c>
      <c r="D5087" s="2" t="str">
        <f t="shared" si="78"/>
        <v>Error?</v>
      </c>
    </row>
    <row r="5088" spans="1:4" x14ac:dyDescent="0.2">
      <c r="A5088" s="5">
        <v>5027</v>
      </c>
      <c r="B5088" s="138">
        <f>'Revenues 9-14'!C65</f>
        <v>262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589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1800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2389</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1784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129</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1913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5611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209</v>
      </c>
      <c r="D5119" s="2" t="str">
        <f t="shared" ref="D5119:D5182" si="79">IF(ISBLANK(B5119),"OK",IF(A5119-B5119=0,"OK","Error?"))</f>
        <v>Error?</v>
      </c>
    </row>
    <row r="5120" spans="1:4" x14ac:dyDescent="0.2">
      <c r="A5120" s="5">
        <v>5059</v>
      </c>
      <c r="B5120" s="138">
        <f>'Revenues 9-14'!C108</f>
        <v>5820</v>
      </c>
      <c r="C5120" s="2" t="s">
        <v>594</v>
      </c>
      <c r="D5120" s="2" t="str">
        <f t="shared" si="79"/>
        <v>Error?</v>
      </c>
    </row>
    <row r="5121" spans="1:4" x14ac:dyDescent="0.2">
      <c r="A5121" s="5">
        <v>5060</v>
      </c>
      <c r="B5121" s="138">
        <f>'Revenues 9-14'!C109</f>
        <v>384438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223099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223099</v>
      </c>
      <c r="C5132" s="2" t="s">
        <v>594</v>
      </c>
      <c r="D5132" s="2" t="str">
        <f t="shared" si="79"/>
        <v>Error?</v>
      </c>
    </row>
    <row r="5133" spans="1:4" x14ac:dyDescent="0.2">
      <c r="A5133" s="5">
        <v>5072</v>
      </c>
      <c r="B5133" s="138">
        <f>'Revenues 9-14'!C124</f>
        <v>907</v>
      </c>
      <c r="D5133" s="2" t="str">
        <f t="shared" si="79"/>
        <v>Error?</v>
      </c>
    </row>
    <row r="5134" spans="1:4" x14ac:dyDescent="0.2">
      <c r="A5134" s="5">
        <v>5073</v>
      </c>
      <c r="B5134" s="138">
        <f>'Revenues 9-14'!C125</f>
        <v>5109</v>
      </c>
      <c r="D5134" s="2" t="str">
        <f t="shared" si="79"/>
        <v>Error?</v>
      </c>
    </row>
    <row r="5135" spans="1:4" x14ac:dyDescent="0.2">
      <c r="A5135" s="5">
        <v>5074</v>
      </c>
      <c r="B5135" s="138">
        <f>'Revenues 9-14'!C126</f>
        <v>2778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296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9090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716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9806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232905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31715</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22842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16392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39234</v>
      </c>
      <c r="C5246" s="2" t="s">
        <v>594</v>
      </c>
      <c r="D5246" s="2" t="str">
        <f t="shared" si="80"/>
        <v>Error?</v>
      </c>
    </row>
    <row r="5247" spans="1:4" x14ac:dyDescent="0.2">
      <c r="A5247" s="5">
        <v>5186</v>
      </c>
      <c r="B5247" s="138">
        <f>'Revenues 9-14'!C203</f>
        <v>25540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25540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10927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10927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90202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121917</v>
      </c>
      <c r="C5326" s="2" t="s">
        <v>594</v>
      </c>
      <c r="D5326" s="2" t="str">
        <f t="shared" si="82"/>
        <v>Error?</v>
      </c>
    </row>
    <row r="5327" spans="1:4" x14ac:dyDescent="0.2">
      <c r="A5327" s="5">
        <v>5266</v>
      </c>
      <c r="B5327" s="138">
        <f>'Revenues 9-14'!C275</f>
        <v>739260</v>
      </c>
      <c r="C5327" s="2" t="s">
        <v>594</v>
      </c>
      <c r="D5327" s="2" t="str">
        <f t="shared" si="82"/>
        <v>Error?</v>
      </c>
    </row>
    <row r="5328" spans="1:4" x14ac:dyDescent="0.2">
      <c r="A5328" s="5">
        <v>5267</v>
      </c>
      <c r="B5328" s="138">
        <f>'Revenues 9-14'!D5</f>
        <v>34643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34643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75</v>
      </c>
      <c r="C5355" s="2" t="s">
        <v>594</v>
      </c>
      <c r="D5355" s="2" t="str">
        <f t="shared" si="82"/>
        <v>Error?</v>
      </c>
    </row>
    <row r="5356" spans="1:4" x14ac:dyDescent="0.2">
      <c r="A5356" s="5">
        <v>5295</v>
      </c>
      <c r="B5356" s="138">
        <f>'Revenues 9-14'!D109</f>
        <v>34744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34744</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21281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21281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4214</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4214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25510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21898</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21898</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29802</v>
      </c>
      <c r="D5615" s="2" t="str">
        <f t="shared" si="86"/>
        <v>Error?</v>
      </c>
    </row>
    <row r="5616" spans="1:4" x14ac:dyDescent="0.2">
      <c r="A5616" s="10">
        <v>5555</v>
      </c>
      <c r="D5616" s="2" t="str">
        <f t="shared" si="86"/>
        <v>OK</v>
      </c>
    </row>
    <row r="5617" spans="1:4" x14ac:dyDescent="0.2">
      <c r="A5617" s="5">
        <v>5556</v>
      </c>
      <c r="B5617" s="138">
        <f>'Revenues 9-14'!F152</f>
        <v>18842</v>
      </c>
      <c r="D5617" s="2" t="str">
        <f t="shared" si="86"/>
        <v>Error?</v>
      </c>
    </row>
    <row r="5618" spans="1:4" x14ac:dyDescent="0.2">
      <c r="A5618" s="5">
        <v>5557</v>
      </c>
      <c r="B5618" s="138">
        <f>'Revenues 9-14'!F154</f>
        <v>48644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48644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70542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96052</v>
      </c>
      <c r="C5720" s="2" t="s">
        <v>594</v>
      </c>
      <c r="D5720" s="2" t="str">
        <f t="shared" si="88"/>
        <v>Error?</v>
      </c>
    </row>
    <row r="5721" spans="1:4" x14ac:dyDescent="0.2">
      <c r="A5721" s="5">
        <v>5660</v>
      </c>
      <c r="B5721" s="138">
        <f>'Revenues 9-14'!G5</f>
        <v>4950</v>
      </c>
      <c r="D5721" s="2" t="str">
        <f t="shared" si="88"/>
        <v>Error?</v>
      </c>
    </row>
    <row r="5722" spans="1:4" x14ac:dyDescent="0.2">
      <c r="A5722" s="5">
        <v>5661</v>
      </c>
      <c r="B5722" s="138">
        <f>'Revenues 9-14'!G7</f>
        <v>0</v>
      </c>
      <c r="D5722" s="2" t="str">
        <f t="shared" si="88"/>
        <v>Error?</v>
      </c>
    </row>
    <row r="5723" spans="1:4" x14ac:dyDescent="0.2">
      <c r="A5723" s="5">
        <v>5662</v>
      </c>
      <c r="B5723" s="138">
        <f>'Revenues 9-14'!G8</f>
        <v>18510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23460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975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975</v>
      </c>
      <c r="C5730" s="2" t="s">
        <v>594</v>
      </c>
      <c r="D5730" s="2" t="str">
        <f t="shared" si="88"/>
        <v>Error?</v>
      </c>
    </row>
    <row r="5731" spans="1:4" x14ac:dyDescent="0.2">
      <c r="A5731" s="5">
        <v>5670</v>
      </c>
      <c r="B5731" s="138">
        <f>'Revenues 9-14'!G65</f>
        <v>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24451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4950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4950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4953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24451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4953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2909.58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48.63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55199</v>
      </c>
      <c r="D6267" s="2" t="str">
        <f t="shared" si="96"/>
        <v>Error?</v>
      </c>
      <c r="E6267" s="2" t="s">
        <v>199</v>
      </c>
    </row>
    <row r="6268" spans="1:5" x14ac:dyDescent="0.2">
      <c r="A6268">
        <v>6207</v>
      </c>
      <c r="B6268" s="138">
        <f>'Acct Summary 7-8'!D82</f>
        <v>6754</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19881</v>
      </c>
      <c r="D6270" s="2" t="str">
        <f t="shared" si="96"/>
        <v>Error?</v>
      </c>
      <c r="E6270" s="2" t="s">
        <v>199</v>
      </c>
    </row>
    <row r="6271" spans="1:5" x14ac:dyDescent="0.2">
      <c r="A6271">
        <v>6210</v>
      </c>
      <c r="B6271" s="138">
        <f>'Acct Summary 7-8'!G82</f>
        <v>572</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4953</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0.41404943179687209</v>
      </c>
      <c r="D6276" s="2" t="str">
        <f t="shared" si="97"/>
        <v>Error?</v>
      </c>
      <c r="E6276" s="2" t="s">
        <v>199</v>
      </c>
    </row>
    <row r="6277" spans="1:5" x14ac:dyDescent="0.2">
      <c r="A6277">
        <v>6216</v>
      </c>
      <c r="B6277" s="138">
        <f>'Acct Summary 7-8'!D83</f>
        <v>0.43305975891254167</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0.88722777579435919</v>
      </c>
      <c r="D6279" s="2" t="str">
        <f t="shared" si="97"/>
        <v>Error?</v>
      </c>
      <c r="E6279" s="2" t="s">
        <v>199</v>
      </c>
    </row>
    <row r="6280" spans="1:5" x14ac:dyDescent="0.2">
      <c r="A6280">
        <v>6219</v>
      </c>
      <c r="B6280" s="138">
        <f>'Acct Summary 7-8'!G83</f>
        <v>5.7245796637309845E-2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0.89842191184473064</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18386</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18386</v>
      </c>
      <c r="D6940" s="2" t="str">
        <f t="shared" si="107"/>
        <v>Error?</v>
      </c>
    </row>
    <row r="6941" spans="1:4" x14ac:dyDescent="0.2">
      <c r="A6941">
        <v>6880</v>
      </c>
      <c r="B6941" s="138">
        <f>'Expenditures 15-22'!L52</f>
        <v>18386</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56017</v>
      </c>
      <c r="D6981" s="2" t="str">
        <f t="shared" si="108"/>
        <v>Error?</v>
      </c>
    </row>
    <row r="6982" spans="1:4" x14ac:dyDescent="0.2">
      <c r="A6982">
        <v>6921</v>
      </c>
      <c r="B6982" s="138">
        <f>'Expenditures 15-22'!K85</f>
        <v>56017</v>
      </c>
      <c r="D6982" s="2" t="str">
        <f t="shared" si="108"/>
        <v>Error?</v>
      </c>
    </row>
    <row r="6983" spans="1:4" x14ac:dyDescent="0.2">
      <c r="A6983">
        <v>6922</v>
      </c>
      <c r="B6983" s="138">
        <f>'Expenditures 15-22'!H86</f>
        <v>50827</v>
      </c>
      <c r="D6983" s="2" t="str">
        <f t="shared" si="108"/>
        <v>Error?</v>
      </c>
    </row>
    <row r="6984" spans="1:4" x14ac:dyDescent="0.2">
      <c r="A6984">
        <v>6923</v>
      </c>
      <c r="B6984" s="138">
        <f>'Expenditures 15-22'!K86</f>
        <v>50827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106844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14255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2477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9" t="str">
        <f>COVER!A17</f>
        <v>Spring Lake CCSD 606</v>
      </c>
      <c r="B7" s="2420"/>
      <c r="C7" s="2420"/>
      <c r="D7" s="2421"/>
      <c r="E7" s="2422">
        <f>COVER!A13</f>
        <v>53090606004</v>
      </c>
      <c r="F7" s="2423"/>
      <c r="G7" s="2429" t="str">
        <f>COVER!T23</f>
        <v>066-005027</v>
      </c>
      <c r="H7" s="2430"/>
      <c r="I7" s="2430"/>
      <c r="J7" s="2430"/>
      <c r="K7" s="2430"/>
      <c r="L7" s="2431"/>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2"/>
      <c r="B9" s="2433"/>
      <c r="C9" s="2433"/>
      <c r="D9" s="2433"/>
      <c r="E9" s="2433"/>
      <c r="F9" s="2434"/>
      <c r="G9" s="2403" t="str">
        <f>COVER!T13</f>
        <v>Gorenz and Associates, Ltd.</v>
      </c>
      <c r="H9" s="2435"/>
      <c r="I9" s="2435"/>
      <c r="J9" s="2435"/>
      <c r="K9" s="2435"/>
      <c r="L9" s="2436"/>
    </row>
    <row r="10" spans="1:29" ht="13.5" customHeight="1" x14ac:dyDescent="0.2">
      <c r="A10" s="2409" t="str">
        <f>COVER!A38</f>
        <v>Charles Nagel</v>
      </c>
      <c r="B10" s="2410"/>
      <c r="C10" s="2410"/>
      <c r="D10" s="2410"/>
      <c r="E10" s="2410"/>
      <c r="F10" s="2411"/>
      <c r="G10" s="2403" t="str">
        <f>COVER!T17</f>
        <v>4200 N Knoxville Ave</v>
      </c>
      <c r="H10" s="2404"/>
      <c r="I10" s="2404"/>
      <c r="J10" s="2404"/>
      <c r="K10" s="2404"/>
      <c r="L10" s="2405"/>
    </row>
    <row r="11" spans="1:29" ht="13.5" customHeight="1" x14ac:dyDescent="0.2">
      <c r="A11" s="1183" t="s">
        <v>1599</v>
      </c>
      <c r="B11" s="1184"/>
      <c r="C11" s="1185"/>
      <c r="D11" s="1190"/>
      <c r="E11" s="1185"/>
      <c r="F11" s="1189"/>
      <c r="G11" s="2403" t="str">
        <f>COVER!T19</f>
        <v>Peoria</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jhohulin@gorenzcpa.com</v>
      </c>
      <c r="J13" s="2416"/>
      <c r="K13" s="2416"/>
      <c r="L13" s="2417"/>
    </row>
    <row r="14" spans="1:29" ht="13.5" customHeight="1" x14ac:dyDescent="0.2">
      <c r="A14" s="2403" t="str">
        <f>COVER!A19</f>
        <v>13650 N. Manito Road</v>
      </c>
      <c r="B14" s="2404"/>
      <c r="C14" s="2404"/>
      <c r="D14" s="2404"/>
      <c r="E14" s="2404"/>
      <c r="F14" s="2405"/>
      <c r="G14" s="1194" t="s">
        <v>1247</v>
      </c>
      <c r="H14" s="1192"/>
      <c r="I14" s="1192"/>
      <c r="J14" s="1192"/>
      <c r="K14" s="1192"/>
      <c r="L14" s="1193"/>
    </row>
    <row r="15" spans="1:29" ht="13.5" customHeight="1" x14ac:dyDescent="0.2">
      <c r="A15" s="2403" t="str">
        <f>COVER!A21</f>
        <v>Manito</v>
      </c>
      <c r="B15" s="2404"/>
      <c r="C15" s="2404"/>
      <c r="D15" s="2404"/>
      <c r="E15" s="2404"/>
      <c r="F15" s="2405"/>
      <c r="G15" s="2400" t="str">
        <f>COVER!T15</f>
        <v>Jason A. Hohulin, CPA</v>
      </c>
      <c r="H15" s="2401"/>
      <c r="I15" s="2401"/>
      <c r="J15" s="2401"/>
      <c r="K15" s="2401"/>
      <c r="L15" s="2402"/>
    </row>
    <row r="16" spans="1:29" ht="12.2" customHeight="1" x14ac:dyDescent="0.2">
      <c r="A16" s="2425">
        <f>COVER!A25</f>
        <v>61546</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4" t="s">
        <v>1246</v>
      </c>
      <c r="H17" s="1192"/>
      <c r="I17" s="1192"/>
      <c r="J17" s="1192"/>
      <c r="K17" s="1196" t="s">
        <v>1245</v>
      </c>
      <c r="L17" s="1189"/>
      <c r="M17" s="1182"/>
    </row>
    <row r="18" spans="1:13" ht="12.2" customHeight="1" x14ac:dyDescent="0.2">
      <c r="A18" s="2409"/>
      <c r="B18" s="2410"/>
      <c r="C18" s="2410"/>
      <c r="D18" s="2410"/>
      <c r="E18" s="2410"/>
      <c r="F18" s="2411"/>
      <c r="G18" s="2419" t="str">
        <f>COVER!T21</f>
        <v>309-685-7621</v>
      </c>
      <c r="H18" s="2420"/>
      <c r="I18" s="2420"/>
      <c r="J18" s="2420"/>
      <c r="K18" s="2419" t="str">
        <f>COVER!X21</f>
        <v>309-685-4758</v>
      </c>
      <c r="L18" s="242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1" t="str">
        <f>'Single Audit Cover'!A7</f>
        <v>Spring Lake CCSD 606</v>
      </c>
      <c r="B1" s="2418"/>
      <c r="C1" s="2418"/>
      <c r="D1" s="2418"/>
    </row>
    <row r="2" spans="1:11" s="1213" customFormat="1" ht="12.75" x14ac:dyDescent="0.2">
      <c r="A2" s="2442">
        <f>'Single Audit Cover'!E7</f>
        <v>53090606004</v>
      </c>
      <c r="B2" s="2443"/>
      <c r="C2" s="2443"/>
      <c r="D2" s="2443"/>
    </row>
    <row r="3" spans="1:11" s="1213" customFormat="1" ht="12.75" x14ac:dyDescent="0.2">
      <c r="A3" s="2441" t="s">
        <v>1593</v>
      </c>
      <c r="B3" s="2418"/>
      <c r="C3" s="2418"/>
      <c r="D3" s="2418"/>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5" t="str">
        <f>'Single Audit Cover'!A7</f>
        <v>Spring Lake CCSD 606</v>
      </c>
      <c r="B1" s="2445"/>
      <c r="C1" s="2445"/>
      <c r="D1" s="2445"/>
      <c r="E1" s="2445"/>
    </row>
    <row r="2" spans="1:5" x14ac:dyDescent="0.2">
      <c r="A2" s="2446">
        <f>'Single Audit Cover'!E7</f>
        <v>53090606004</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58" t="s">
        <v>1305</v>
      </c>
    </row>
    <row r="10" spans="1:5" x14ac:dyDescent="0.2">
      <c r="A10" s="1259" t="s">
        <v>1304</v>
      </c>
      <c r="B10" s="1260" t="s">
        <v>1303</v>
      </c>
      <c r="C10" s="1260"/>
      <c r="D10" s="1261">
        <f>SUM('Acct Summary 7-8'!C7:K7)</f>
        <v>121917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2909.58</v>
      </c>
    </row>
    <row r="15" spans="1:5" x14ac:dyDescent="0.2">
      <c r="A15" s="1259"/>
      <c r="B15" s="1260"/>
      <c r="C15" s="1260"/>
    </row>
    <row r="16" spans="1:5" x14ac:dyDescent="0.2">
      <c r="A16" s="1259" t="s">
        <v>1955</v>
      </c>
      <c r="B16" s="1260"/>
      <c r="C16" s="1260"/>
    </row>
    <row r="17" spans="1:4" x14ac:dyDescent="0.2">
      <c r="A17" s="1259" t="s">
        <v>1601</v>
      </c>
      <c r="B17" s="1260" t="s">
        <v>1298</v>
      </c>
      <c r="C17" s="1260"/>
      <c r="D17" s="1262">
        <f>-SUM('Revenues 9-14'!C271:D271,'Revenues 9-14'!F271:G271)</f>
        <v>-11185</v>
      </c>
    </row>
    <row r="19" spans="1:4" ht="13.5" thickBot="1" x14ac:dyDescent="0.25">
      <c r="A19" s="1263" t="s">
        <v>1297</v>
      </c>
      <c r="D19" s="1264">
        <f>SUM(D10:D17)</f>
        <v>113641.58</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7"/>
      <c r="B24" s="2447"/>
      <c r="D24" s="1266"/>
    </row>
    <row r="25" spans="1:4" x14ac:dyDescent="0.2">
      <c r="A25" s="2444"/>
      <c r="B25" s="2444"/>
      <c r="D25" s="1266"/>
    </row>
    <row r="26" spans="1:4" x14ac:dyDescent="0.2">
      <c r="A26" s="2444"/>
      <c r="B26" s="2444"/>
      <c r="D26" s="1266"/>
    </row>
    <row r="27" spans="1:4" x14ac:dyDescent="0.2">
      <c r="A27" s="2444"/>
      <c r="B27" s="2444"/>
      <c r="D27" s="1266"/>
    </row>
    <row r="28" spans="1:4" x14ac:dyDescent="0.2">
      <c r="A28" s="2444"/>
      <c r="B28" s="2444"/>
      <c r="D28" s="1266"/>
    </row>
    <row r="29" spans="1:4" x14ac:dyDescent="0.2">
      <c r="A29" s="2444"/>
      <c r="B29" s="2444"/>
      <c r="D29" s="1266"/>
    </row>
    <row r="30" spans="1:4" x14ac:dyDescent="0.2">
      <c r="A30" s="2444"/>
      <c r="B30" s="2444"/>
      <c r="D30" s="1266"/>
    </row>
    <row r="32" spans="1:4" x14ac:dyDescent="0.2">
      <c r="A32" s="1258" t="s">
        <v>1295</v>
      </c>
      <c r="D32" s="1261">
        <f>SUM(D19:D30)</f>
        <v>113641.58</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4"/>
      <c r="B40" s="2444"/>
      <c r="D40" s="1266"/>
    </row>
    <row r="41" spans="1:4" x14ac:dyDescent="0.2">
      <c r="A41" s="2444"/>
      <c r="B41" s="2444"/>
      <c r="D41" s="1269"/>
    </row>
    <row r="42" spans="1:4" x14ac:dyDescent="0.2">
      <c r="A42" s="2444"/>
      <c r="B42" s="2444"/>
      <c r="D42" s="1269"/>
    </row>
    <row r="43" spans="1:4" x14ac:dyDescent="0.2">
      <c r="A43" s="2444"/>
      <c r="B43" s="2444"/>
      <c r="D43" s="1269"/>
    </row>
    <row r="44" spans="1:4" x14ac:dyDescent="0.2">
      <c r="A44" s="2444"/>
      <c r="B44" s="2444"/>
      <c r="D44" s="1269"/>
    </row>
    <row r="45" spans="1:4" x14ac:dyDescent="0.2">
      <c r="A45" s="2444"/>
      <c r="B45" s="2444"/>
      <c r="D45" s="1269"/>
    </row>
    <row r="47" spans="1:4" x14ac:dyDescent="0.2">
      <c r="B47" s="1270" t="s">
        <v>1289</v>
      </c>
      <c r="C47" s="1270"/>
      <c r="D47" s="1271">
        <f>SUM(D35:D45)</f>
        <v>0</v>
      </c>
    </row>
    <row r="49" spans="2:4" x14ac:dyDescent="0.2">
      <c r="B49" s="1270" t="s">
        <v>1288</v>
      </c>
      <c r="C49" s="1270"/>
      <c r="D49" s="1271">
        <f>D32-D47</f>
        <v>113641.58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Spring Lake CCSD 606</v>
      </c>
      <c r="B1" s="2458"/>
      <c r="C1" s="2458"/>
      <c r="D1" s="2458"/>
      <c r="E1" s="2458"/>
      <c r="F1" s="2458"/>
    </row>
    <row r="2" spans="1:7" ht="13.5" customHeight="1" x14ac:dyDescent="0.2">
      <c r="A2" s="2459">
        <f>'Single Audit Cover'!E7</f>
        <v>53090606004</v>
      </c>
      <c r="B2" s="2459"/>
      <c r="C2" s="2459"/>
      <c r="D2" s="2459"/>
      <c r="E2" s="2459"/>
      <c r="F2" s="2459"/>
      <c r="G2" s="1273"/>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4" t="s">
        <v>1831</v>
      </c>
      <c r="C6" s="317"/>
      <c r="D6" s="317"/>
    </row>
    <row r="7" spans="1:7" ht="60.95" customHeight="1" x14ac:dyDescent="0.2">
      <c r="A7" s="2457" t="s">
        <v>1832</v>
      </c>
      <c r="B7" s="2457"/>
      <c r="C7" s="2457"/>
      <c r="D7" s="2457"/>
      <c r="E7" s="2457"/>
      <c r="F7" s="2457"/>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7" t="s">
        <v>1834</v>
      </c>
      <c r="B13" s="2457"/>
      <c r="C13" s="2457"/>
      <c r="D13" s="2457"/>
      <c r="E13" s="2457"/>
      <c r="F13" s="2457"/>
    </row>
    <row r="14" spans="1:7" ht="9.75" customHeight="1" x14ac:dyDescent="0.2">
      <c r="C14" s="1258"/>
      <c r="D14" s="1258"/>
    </row>
    <row r="15" spans="1:7" ht="13.5" customHeight="1" x14ac:dyDescent="0.2">
      <c r="C15" s="1869" t="s">
        <v>1332</v>
      </c>
      <c r="D15" s="2455" t="s">
        <v>1331</v>
      </c>
      <c r="E15" s="2455"/>
      <c r="F15" s="2455"/>
    </row>
    <row r="16" spans="1:7" ht="13.5" customHeight="1" x14ac:dyDescent="0.2">
      <c r="A16" s="1280"/>
      <c r="B16" s="1274" t="s">
        <v>1330</v>
      </c>
      <c r="C16" s="1869" t="s">
        <v>1329</v>
      </c>
      <c r="D16" s="2456" t="s">
        <v>1670</v>
      </c>
      <c r="E16" s="2456"/>
      <c r="F16" s="2456"/>
    </row>
    <row r="17" spans="1:6" ht="20.45" customHeight="1" x14ac:dyDescent="0.2">
      <c r="A17" s="1281"/>
      <c r="B17" s="1282"/>
      <c r="C17" s="1283"/>
      <c r="D17" s="2450"/>
      <c r="E17" s="2450"/>
      <c r="F17" s="2450"/>
    </row>
    <row r="18" spans="1:6" ht="20.65" customHeight="1" x14ac:dyDescent="0.2">
      <c r="A18" s="1281"/>
      <c r="B18" s="1282"/>
      <c r="C18" s="1283"/>
      <c r="D18" s="2450"/>
      <c r="E18" s="2450"/>
      <c r="F18" s="2450"/>
    </row>
    <row r="19" spans="1:6" ht="20.65" customHeight="1" x14ac:dyDescent="0.2">
      <c r="A19" s="1281"/>
      <c r="B19" s="1282"/>
      <c r="C19" s="1283"/>
      <c r="D19" s="2450"/>
      <c r="E19" s="2450"/>
      <c r="F19" s="2450"/>
    </row>
    <row r="20" spans="1:6" ht="20.65" customHeight="1" x14ac:dyDescent="0.2">
      <c r="A20" s="1281"/>
      <c r="B20" s="1282"/>
      <c r="C20" s="1283"/>
      <c r="D20" s="2450"/>
      <c r="E20" s="2450"/>
      <c r="F20" s="2450"/>
    </row>
    <row r="21" spans="1:6" ht="20.65" customHeight="1" x14ac:dyDescent="0.2">
      <c r="A21" s="1281"/>
      <c r="B21" s="1282"/>
      <c r="C21" s="1283"/>
      <c r="D21" s="2450"/>
      <c r="E21" s="2450"/>
      <c r="F21" s="2450"/>
    </row>
    <row r="22" spans="1:6" ht="20.65" customHeight="1" x14ac:dyDescent="0.2">
      <c r="A22" s="1281"/>
      <c r="B22" s="1282"/>
      <c r="C22" s="1283"/>
      <c r="D22" s="2450"/>
      <c r="E22" s="2450"/>
      <c r="F22" s="2450"/>
    </row>
    <row r="23" spans="1:6" ht="20.65" customHeight="1" x14ac:dyDescent="0.2">
      <c r="A23" s="1281"/>
      <c r="B23" s="1282"/>
      <c r="C23" s="1283"/>
      <c r="D23" s="2450"/>
      <c r="E23" s="2450"/>
      <c r="F23" s="2450"/>
    </row>
    <row r="24" spans="1:6" ht="20.65" customHeight="1" x14ac:dyDescent="0.2">
      <c r="A24" s="1281"/>
      <c r="B24" s="1282"/>
      <c r="C24" s="1283"/>
      <c r="D24" s="2450"/>
      <c r="E24" s="2450"/>
      <c r="F24" s="2450"/>
    </row>
    <row r="25" spans="1:6" ht="20.65" customHeight="1" x14ac:dyDescent="0.2">
      <c r="A25" s="1281"/>
      <c r="B25" s="1282"/>
      <c r="C25" s="1283"/>
      <c r="D25" s="2450"/>
      <c r="E25" s="2450"/>
      <c r="F25" s="2450"/>
    </row>
    <row r="26" spans="1:6" ht="20.65" customHeight="1" x14ac:dyDescent="0.2">
      <c r="A26" s="1281"/>
      <c r="B26" s="1282"/>
      <c r="C26" s="1283"/>
      <c r="D26" s="2450"/>
      <c r="E26" s="2450"/>
      <c r="F26" s="2450"/>
    </row>
    <row r="27" spans="1:6" ht="20.65" customHeight="1" x14ac:dyDescent="0.2">
      <c r="A27" s="1281"/>
      <c r="B27" s="1282"/>
      <c r="C27" s="1283"/>
      <c r="D27" s="2450"/>
      <c r="E27" s="2450"/>
      <c r="F27" s="2450"/>
    </row>
    <row r="28" spans="1:6" ht="20.65" customHeight="1" x14ac:dyDescent="0.2">
      <c r="A28" s="1281"/>
      <c r="B28" s="1282"/>
      <c r="C28" s="1283"/>
      <c r="D28" s="2450"/>
      <c r="E28" s="2450"/>
      <c r="F28" s="2450"/>
    </row>
    <row r="29" spans="1:6" ht="20.65" customHeight="1" x14ac:dyDescent="0.2">
      <c r="A29" s="1281"/>
      <c r="B29" s="1282"/>
      <c r="C29" s="1283"/>
      <c r="D29" s="2450"/>
      <c r="E29" s="2450"/>
      <c r="F29" s="2450"/>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1" t="s">
        <v>1835</v>
      </c>
      <c r="B32" s="2451"/>
      <c r="C32" s="2451"/>
      <c r="D32" s="2451"/>
      <c r="E32" s="2451"/>
      <c r="F32" s="2451"/>
    </row>
    <row r="33" spans="1:6" ht="13.5" customHeight="1" x14ac:dyDescent="0.2">
      <c r="A33" s="328" t="s">
        <v>1509</v>
      </c>
      <c r="B33" s="328"/>
      <c r="C33" s="1286">
        <v>0</v>
      </c>
      <c r="D33" s="1926"/>
      <c r="E33" s="1284"/>
    </row>
    <row r="34" spans="1:6" ht="13.5" customHeight="1" x14ac:dyDescent="0.2">
      <c r="A34" s="328" t="s">
        <v>1948</v>
      </c>
      <c r="B34" s="328"/>
      <c r="C34" s="1287">
        <v>0</v>
      </c>
      <c r="D34" s="1926" t="s">
        <v>1671</v>
      </c>
      <c r="E34" s="2452">
        <f>+C33+C34</f>
        <v>0</v>
      </c>
      <c r="F34" s="2453"/>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4" t="s">
        <v>1672</v>
      </c>
      <c r="C49" s="2454"/>
      <c r="D49" s="2454"/>
      <c r="E49" s="1397"/>
    </row>
    <row r="50" spans="1:5" s="1298" customFormat="1" ht="3.75" customHeight="1" x14ac:dyDescent="0.2">
      <c r="A50" s="1297"/>
      <c r="B50" s="1868"/>
      <c r="C50" s="1868"/>
      <c r="D50" s="1868"/>
      <c r="E50" s="1397"/>
    </row>
    <row r="51" spans="1:5" s="1298" customFormat="1" ht="20.25" customHeight="1" x14ac:dyDescent="0.2">
      <c r="A51" s="1299">
        <v>6</v>
      </c>
      <c r="B51" s="2449" t="s">
        <v>1632</v>
      </c>
      <c r="C51" s="2449"/>
      <c r="D51" s="2449"/>
    </row>
    <row r="52" spans="1:5" ht="14.25" customHeight="1" x14ac:dyDescent="0.2">
      <c r="A52" s="1299"/>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8" t="str">
        <f>'Single Audit Cover'!A7</f>
        <v>Spring Lake CCSD 606</v>
      </c>
      <c r="C1" s="2462"/>
      <c r="D1" s="2462"/>
      <c r="E1" s="2462"/>
      <c r="F1" s="2462"/>
      <c r="G1" s="2462"/>
      <c r="H1" s="2462"/>
      <c r="I1" s="2462"/>
      <c r="J1" s="2462"/>
      <c r="K1" s="2462"/>
      <c r="L1" s="2462"/>
      <c r="M1" s="2462"/>
    </row>
    <row r="2" spans="2:14" ht="15" x14ac:dyDescent="0.2">
      <c r="B2" s="2459">
        <f>'Single Audit Cover'!E7</f>
        <v>53090606004</v>
      </c>
      <c r="C2" s="2459"/>
      <c r="D2" s="2459"/>
      <c r="E2" s="2459"/>
      <c r="F2" s="2459"/>
      <c r="G2" s="2459"/>
      <c r="H2" s="2459"/>
      <c r="I2" s="2459"/>
      <c r="J2" s="2459"/>
      <c r="K2" s="2459"/>
      <c r="L2" s="2459"/>
      <c r="M2" s="2459"/>
      <c r="N2" s="1300"/>
    </row>
    <row r="3" spans="2:14" ht="15" x14ac:dyDescent="0.2">
      <c r="B3" s="2463" t="s">
        <v>1281</v>
      </c>
      <c r="C3" s="2463"/>
      <c r="D3" s="2463"/>
      <c r="E3" s="2463"/>
      <c r="F3" s="2463"/>
      <c r="G3" s="2463"/>
      <c r="H3" s="2463"/>
      <c r="I3" s="2463"/>
      <c r="J3" s="2463"/>
      <c r="K3" s="2463"/>
      <c r="L3" s="2463"/>
      <c r="M3" s="2463"/>
      <c r="N3" s="1300"/>
    </row>
    <row r="4" spans="2:14" ht="15" x14ac:dyDescent="0.2">
      <c r="B4" s="2464" t="str">
        <f>'Single Audit Cover'!A4</f>
        <v>Year Ending June 30, 2018</v>
      </c>
      <c r="C4" s="2464"/>
      <c r="D4" s="2464"/>
      <c r="E4" s="2464"/>
      <c r="F4" s="2464"/>
      <c r="G4" s="2464"/>
      <c r="H4" s="2464"/>
      <c r="I4" s="2464"/>
      <c r="J4" s="2464"/>
      <c r="K4" s="2464"/>
      <c r="L4" s="2464"/>
      <c r="M4" s="2464"/>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1949</v>
      </c>
      <c r="K8" s="1317" t="s">
        <v>1323</v>
      </c>
      <c r="L8" s="1318" t="s">
        <v>1319</v>
      </c>
      <c r="M8" s="1319" t="s">
        <v>30</v>
      </c>
    </row>
    <row r="9" spans="2:14" ht="14.25" x14ac:dyDescent="0.2">
      <c r="B9" s="1323" t="s">
        <v>1321</v>
      </c>
      <c r="C9" s="1311" t="s">
        <v>1838</v>
      </c>
      <c r="D9" s="1312" t="s">
        <v>1839</v>
      </c>
      <c r="E9" s="1320" t="s">
        <v>1663</v>
      </c>
      <c r="F9" s="1321" t="s">
        <v>1949</v>
      </c>
      <c r="G9" s="1322" t="s">
        <v>1663</v>
      </c>
      <c r="H9" s="1315" t="s">
        <v>1664</v>
      </c>
      <c r="I9" s="1317" t="s">
        <v>1949</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2084</v>
      </c>
      <c r="C12" s="1339"/>
      <c r="D12" s="1340"/>
      <c r="E12" s="1341"/>
      <c r="F12" s="1341"/>
      <c r="G12" s="1341"/>
      <c r="H12" s="1341"/>
      <c r="I12" s="1341"/>
      <c r="J12" s="1341"/>
      <c r="K12" s="1341"/>
      <c r="L12" s="1338">
        <f t="shared" ref="L12:L27" si="0">+G12+I12+K12</f>
        <v>0</v>
      </c>
      <c r="M12" s="1341"/>
    </row>
    <row r="13" spans="2:14" ht="20.100000000000001" customHeight="1" x14ac:dyDescent="0.2">
      <c r="B13" s="1335" t="s">
        <v>1231</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Spring Lake CCSD 606</v>
      </c>
      <c r="C1" s="2477"/>
      <c r="D1" s="2477"/>
      <c r="E1" s="2477"/>
      <c r="F1" s="2477"/>
      <c r="G1" s="2477"/>
      <c r="H1" s="2477"/>
      <c r="I1" s="2477"/>
      <c r="J1" s="1420"/>
    </row>
    <row r="2" spans="2:10" s="317" customFormat="1" ht="12.75" customHeight="1" x14ac:dyDescent="0.2">
      <c r="B2" s="2478">
        <f>'Single Audit Cover'!E7</f>
        <v>53090606004</v>
      </c>
      <c r="C2" s="2479"/>
      <c r="D2" s="2479"/>
      <c r="E2" s="2479"/>
      <c r="F2" s="2479"/>
      <c r="G2" s="2479"/>
      <c r="H2" s="2479"/>
      <c r="I2" s="2479"/>
      <c r="J2" s="1420"/>
    </row>
    <row r="3" spans="2:10" s="317" customFormat="1" ht="12.75" customHeight="1" x14ac:dyDescent="0.2">
      <c r="B3" s="2480" t="s">
        <v>1347</v>
      </c>
      <c r="C3" s="2481"/>
      <c r="D3" s="2481"/>
      <c r="E3" s="2481"/>
      <c r="F3" s="2481"/>
      <c r="G3" s="2481"/>
      <c r="H3" s="2481"/>
      <c r="I3" s="2481"/>
      <c r="J3" s="1421"/>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0" t="s">
        <v>1346</v>
      </c>
      <c r="C7" s="2481"/>
      <c r="D7" s="2481"/>
      <c r="E7" s="2481"/>
      <c r="F7" s="2481"/>
      <c r="G7" s="2481"/>
      <c r="H7" s="2481"/>
      <c r="I7" s="2481"/>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2"/>
      <c r="D11" s="2482"/>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3"/>
      <c r="E29" s="2483"/>
      <c r="F29" s="2483"/>
      <c r="G29" s="2483"/>
      <c r="H29" s="2483"/>
      <c r="I29" s="2483"/>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4" t="s">
        <v>1854</v>
      </c>
      <c r="D37" s="2485"/>
      <c r="E37" s="2485"/>
      <c r="F37" s="2486"/>
      <c r="G37" s="2484" t="s">
        <v>1674</v>
      </c>
      <c r="H37" s="2485"/>
      <c r="I37" s="2486"/>
    </row>
    <row r="38" spans="2:9" ht="16.5" customHeight="1" x14ac:dyDescent="0.2">
      <c r="B38" s="1442"/>
      <c r="C38" s="2472"/>
      <c r="D38" s="2473"/>
      <c r="E38" s="2473"/>
      <c r="F38" s="2474"/>
      <c r="G38" s="2487"/>
      <c r="H38" s="2488"/>
      <c r="I38" s="2489"/>
    </row>
    <row r="39" spans="2:9" ht="16.5" customHeight="1" x14ac:dyDescent="0.2">
      <c r="B39" s="1442"/>
      <c r="C39" s="2472"/>
      <c r="D39" s="2473"/>
      <c r="E39" s="2473"/>
      <c r="F39" s="2474"/>
      <c r="G39" s="2475"/>
      <c r="H39" s="2475"/>
      <c r="I39" s="2475"/>
    </row>
    <row r="40" spans="2:9" ht="16.5" customHeight="1" x14ac:dyDescent="0.2">
      <c r="B40" s="1442"/>
      <c r="C40" s="2472"/>
      <c r="D40" s="2473"/>
      <c r="E40" s="2473"/>
      <c r="F40" s="2474"/>
      <c r="G40" s="2475"/>
      <c r="H40" s="2475"/>
      <c r="I40" s="2475"/>
    </row>
    <row r="41" spans="2:9" ht="16.5" customHeight="1" x14ac:dyDescent="0.2">
      <c r="B41" s="1442"/>
      <c r="C41" s="2472"/>
      <c r="D41" s="2473"/>
      <c r="E41" s="2473"/>
      <c r="F41" s="2474"/>
      <c r="G41" s="2475"/>
      <c r="H41" s="2475"/>
      <c r="I41" s="2475"/>
    </row>
    <row r="42" spans="2:9" ht="16.5" customHeight="1" x14ac:dyDescent="0.2">
      <c r="B42" s="1442"/>
      <c r="C42" s="2472"/>
      <c r="D42" s="2473"/>
      <c r="E42" s="2473"/>
      <c r="F42" s="2474"/>
      <c r="G42" s="2475"/>
      <c r="H42" s="2475"/>
      <c r="I42" s="2475"/>
    </row>
    <row r="43" spans="2:9" ht="16.5" customHeight="1" x14ac:dyDescent="0.2">
      <c r="B43" s="1442"/>
      <c r="C43" s="2465" t="s">
        <v>1675</v>
      </c>
      <c r="D43" s="2466"/>
      <c r="E43" s="2466"/>
      <c r="F43" s="2467"/>
      <c r="G43" s="2468">
        <f>SUM(G38:I42)</f>
        <v>0</v>
      </c>
      <c r="H43" s="2468"/>
      <c r="I43" s="2468"/>
    </row>
    <row r="44" spans="2:9" ht="12.75" customHeight="1" x14ac:dyDescent="0.2"/>
    <row r="45" spans="2:9" ht="12.75" customHeight="1" x14ac:dyDescent="0.2">
      <c r="B45" s="1433" t="s">
        <v>1951</v>
      </c>
      <c r="D45" s="2469">
        <v>0</v>
      </c>
      <c r="E45" s="2470"/>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1"/>
      <c r="F49" s="2471"/>
      <c r="G49" s="2471"/>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Spring Lake CCSD 606</v>
      </c>
      <c r="C1" s="2476"/>
      <c r="D1" s="2476"/>
      <c r="E1" s="2476"/>
      <c r="F1" s="2476"/>
      <c r="G1" s="2476"/>
      <c r="H1" s="2476"/>
      <c r="I1" s="2476"/>
      <c r="J1" s="2476"/>
      <c r="K1" s="2476"/>
      <c r="L1" s="1372"/>
      <c r="M1" s="1372"/>
    </row>
    <row r="2" spans="1:13" ht="12" customHeight="1" x14ac:dyDescent="0.2">
      <c r="B2" s="2478">
        <f>'Single Audit Cover'!E7</f>
        <v>53090606004</v>
      </c>
      <c r="C2" s="2478"/>
      <c r="D2" s="2478"/>
      <c r="E2" s="2478"/>
      <c r="F2" s="2478"/>
      <c r="G2" s="2478"/>
      <c r="H2" s="2478"/>
      <c r="I2" s="2478"/>
      <c r="J2" s="2478"/>
      <c r="K2" s="2478"/>
      <c r="L2" s="1373"/>
      <c r="M2" s="1374"/>
    </row>
    <row r="3" spans="1:13" ht="10.35" customHeight="1" x14ac:dyDescent="0.2">
      <c r="B3" s="2492" t="s">
        <v>1347</v>
      </c>
      <c r="C3" s="2492"/>
      <c r="D3" s="2492"/>
      <c r="E3" s="2492"/>
      <c r="F3" s="2492"/>
      <c r="G3" s="2492"/>
      <c r="H3" s="2492"/>
      <c r="I3" s="2492"/>
      <c r="J3" s="2492"/>
      <c r="K3" s="2492"/>
      <c r="L3" s="1375"/>
      <c r="M3" s="1375"/>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v>1</v>
      </c>
      <c r="E10" s="322"/>
      <c r="F10" s="1385" t="s">
        <v>1362</v>
      </c>
      <c r="G10" s="1386"/>
      <c r="H10" s="1387" t="s">
        <v>1361</v>
      </c>
      <c r="I10" s="1386" t="s">
        <v>2076</v>
      </c>
      <c r="J10" s="1388" t="s">
        <v>1360</v>
      </c>
      <c r="K10" s="322"/>
      <c r="L10" s="1379"/>
    </row>
    <row r="11" spans="1:13" ht="13.5" customHeight="1" x14ac:dyDescent="0.2">
      <c r="B11" s="322"/>
      <c r="C11" s="322"/>
      <c r="D11" s="322"/>
      <c r="E11" s="322"/>
      <c r="F11" s="322"/>
      <c r="G11" s="1381"/>
      <c r="H11" s="322"/>
      <c r="I11" s="1389" t="s">
        <v>1359</v>
      </c>
      <c r="J11" s="322"/>
      <c r="K11" s="1390">
        <v>1990</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54" customHeight="1" x14ac:dyDescent="0.2">
      <c r="B14" s="2491" t="s">
        <v>2105</v>
      </c>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t="s">
        <v>2106</v>
      </c>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5" t="s">
        <v>2107</v>
      </c>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t="s">
        <v>2108</v>
      </c>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1" t="s">
        <v>2109</v>
      </c>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0" t="s">
        <v>2110</v>
      </c>
      <c r="C29" s="2490"/>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t="s">
        <v>2111</v>
      </c>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Spring Lake CCSD 606</v>
      </c>
      <c r="C1" s="2499"/>
      <c r="D1" s="2499"/>
      <c r="E1" s="2499"/>
      <c r="F1" s="2499"/>
      <c r="G1" s="2499"/>
      <c r="H1" s="2499"/>
      <c r="I1" s="2499"/>
      <c r="J1" s="2499"/>
      <c r="K1" s="2499"/>
      <c r="L1" s="1463"/>
    </row>
    <row r="2" spans="1:12" ht="12.75" customHeight="1" x14ac:dyDescent="0.2">
      <c r="B2" s="2500">
        <f>'Single Audit Cover'!E7</f>
        <v>53090606004</v>
      </c>
      <c r="C2" s="2500"/>
      <c r="D2" s="2500"/>
      <c r="E2" s="2500"/>
      <c r="F2" s="2500"/>
      <c r="G2" s="2500"/>
      <c r="H2" s="2500"/>
      <c r="I2" s="2500"/>
      <c r="J2" s="2500"/>
      <c r="K2" s="2500"/>
      <c r="L2" s="1464"/>
    </row>
    <row r="3" spans="1:12" ht="12.75" customHeight="1" x14ac:dyDescent="0.2">
      <c r="B3" s="2492" t="s">
        <v>1347</v>
      </c>
      <c r="C3" s="2492"/>
      <c r="D3" s="2492"/>
      <c r="E3" s="2492"/>
      <c r="F3" s="2492"/>
      <c r="G3" s="2492"/>
      <c r="H3" s="2492"/>
      <c r="I3" s="2492"/>
      <c r="J3" s="2492"/>
      <c r="K3" s="2492"/>
      <c r="L3" s="1375"/>
    </row>
    <row r="4" spans="1:12" ht="12.75" customHeight="1" x14ac:dyDescent="0.2">
      <c r="B4" s="2492" t="str">
        <f>'Single Audit Cover'!A4</f>
        <v>Year Ending June 30, 2018</v>
      </c>
      <c r="C4" s="2492"/>
      <c r="D4" s="2492"/>
      <c r="E4" s="2492"/>
      <c r="F4" s="2492"/>
      <c r="G4" s="2492"/>
      <c r="H4" s="2492"/>
      <c r="I4" s="2492"/>
      <c r="J4" s="2492"/>
      <c r="K4" s="2492"/>
      <c r="L4" s="1375"/>
    </row>
    <row r="5" spans="1:12" ht="5.25" customHeight="1" x14ac:dyDescent="0.2">
      <c r="B5" s="1258" t="s">
        <v>1231</v>
      </c>
      <c r="C5" s="1258"/>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1952</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3"/>
      <c r="G12" s="2483"/>
      <c r="H12" s="2483"/>
      <c r="I12" s="2483"/>
      <c r="J12" s="2483"/>
      <c r="K12" s="2483"/>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6"/>
      <c r="E14" s="2496"/>
      <c r="F14" s="2496"/>
      <c r="H14" s="1473" t="s">
        <v>1370</v>
      </c>
      <c r="I14" s="2497"/>
      <c r="J14" s="2497"/>
      <c r="K14" s="2497"/>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7"/>
      <c r="E16" s="2497"/>
      <c r="F16" s="2497"/>
      <c r="G16" s="2497"/>
      <c r="H16" s="2497"/>
      <c r="I16" s="2497"/>
      <c r="J16" s="2497"/>
      <c r="K16" s="2497"/>
      <c r="L16" s="322"/>
    </row>
    <row r="17" spans="2:12" ht="13.5" customHeight="1" x14ac:dyDescent="0.2">
      <c r="B17" s="1385" t="s">
        <v>1368</v>
      </c>
      <c r="C17" s="1385"/>
      <c r="D17" s="2498"/>
      <c r="E17" s="2498"/>
      <c r="F17" s="2498"/>
      <c r="G17" s="2498"/>
      <c r="H17" s="2498"/>
      <c r="I17" s="2498"/>
      <c r="J17" s="2498"/>
      <c r="K17" s="2498"/>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1"/>
      <c r="C20" s="2491"/>
      <c r="D20" s="2491"/>
      <c r="E20" s="2491"/>
      <c r="F20" s="2491"/>
      <c r="G20" s="2491"/>
      <c r="H20" s="2491"/>
      <c r="I20" s="2491"/>
      <c r="J20" s="2491"/>
      <c r="K20" s="249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6" t="str">
        <f>'Single Audit Cover'!A7</f>
        <v>Spring Lake CCSD 606</v>
      </c>
      <c r="C1" s="2476"/>
      <c r="D1" s="2476"/>
      <c r="E1" s="1489"/>
    </row>
    <row r="2" spans="2:5" s="1280" customFormat="1" ht="12.75" customHeight="1" x14ac:dyDescent="0.2">
      <c r="B2" s="2478">
        <f>'Single Audit Cover'!E7</f>
        <v>53090606004</v>
      </c>
      <c r="C2" s="2478"/>
      <c r="D2" s="2478"/>
      <c r="E2" s="1490"/>
    </row>
    <row r="3" spans="2:5" ht="12.75" customHeight="1" x14ac:dyDescent="0.2">
      <c r="B3" s="2492" t="s">
        <v>1869</v>
      </c>
      <c r="C3" s="2492"/>
      <c r="D3" s="2492"/>
      <c r="E3" s="1272"/>
    </row>
    <row r="4" spans="2:5" s="1280" customFormat="1" ht="12.75" customHeight="1" x14ac:dyDescent="0.2">
      <c r="B4" s="2502" t="str">
        <f>'Single Audit Cover'!A4</f>
        <v>Year Ending June 30, 2018</v>
      </c>
      <c r="C4" s="2502"/>
      <c r="D4" s="2502"/>
      <c r="E4" s="1491"/>
    </row>
    <row r="5" spans="2:5" s="1280" customFormat="1" ht="40.15" customHeight="1" x14ac:dyDescent="0.2">
      <c r="B5" s="1492"/>
      <c r="C5" s="328"/>
      <c r="D5" s="328"/>
      <c r="E5" s="328"/>
    </row>
    <row r="6" spans="2:5" s="1280" customFormat="1" ht="13.5" customHeight="1" x14ac:dyDescent="0.2">
      <c r="B6" s="1493" t="s">
        <v>1382</v>
      </c>
      <c r="C6" s="1493" t="s">
        <v>1381</v>
      </c>
      <c r="D6" s="1493" t="s">
        <v>1870</v>
      </c>
    </row>
    <row r="7" spans="2:5" ht="13.5" customHeight="1" x14ac:dyDescent="0.2">
      <c r="B7" s="1954" t="s">
        <v>2100</v>
      </c>
      <c r="C7" s="1955" t="s">
        <v>2101</v>
      </c>
      <c r="D7" s="1955" t="s">
        <v>2102</v>
      </c>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1871</v>
      </c>
    </row>
    <row r="46" spans="2:5" ht="12.2" customHeight="1" x14ac:dyDescent="0.2">
      <c r="B46" s="1503" t="s">
        <v>1872</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d21dc803-237d-4c68-8692-8d731fd29118"/>
    <ds:schemaRef ds:uri="http://purl.org/dc/dcmitype/"/>
    <ds:schemaRef ds:uri="http://schemas.microsoft.com/sharepoint/v3"/>
    <ds:schemaRef ds:uri="http://schemas.microsoft.com/office/infopath/2007/PartnerControls"/>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4d435f69-8686-490b-bd6d-b153bf22ab50"/>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2018-10-08T14:15:20Z</cp:lastPrinted>
  <dcterms:created xsi:type="dcterms:W3CDTF">2003-10-29T19:06:34Z</dcterms:created>
  <dcterms:modified xsi:type="dcterms:W3CDTF">2018-10-24T20:05:55Z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