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B8" i="127" l="1"/>
  <c r="B52" i="127"/>
  <c r="B44" i="127"/>
  <c r="B38" i="127"/>
  <c r="B32" i="127"/>
  <c r="B27" i="127"/>
  <c r="B14" i="127"/>
  <c r="I12" i="11" l="1"/>
  <c r="L10" i="37" l="1"/>
  <c r="H10" i="37"/>
  <c r="F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s="1"/>
  <c r="B5113" i="106"/>
  <c r="D5113" i="106"/>
  <c r="B5114" i="106"/>
  <c r="D5114" i="106"/>
  <c r="B5115" i="106"/>
  <c r="D5115" i="106" s="1"/>
  <c r="B5116" i="106"/>
  <c r="D5116" i="106" s="1"/>
  <c r="B5117" i="106"/>
  <c r="D5117" i="106"/>
  <c r="B5118" i="106"/>
  <c r="D5118" i="106" s="1"/>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E26" i="108"/>
  <c r="G26"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7" i="29" s="1"/>
  <c r="L362" i="29"/>
  <c r="L365"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13" i="7"/>
  <c r="B3726" i="106" s="1"/>
  <c r="D3726" i="106" s="1"/>
  <c r="D9" i="7"/>
  <c r="B1767" i="106" s="1"/>
  <c r="D1767" i="106" s="1"/>
  <c r="B5770" i="106"/>
  <c r="D5770" i="106" s="1"/>
  <c r="F136" i="34"/>
  <c r="F131" i="34"/>
  <c r="F130" i="34"/>
  <c r="F128" i="34"/>
  <c r="F127" i="34"/>
  <c r="B5847" i="106"/>
  <c r="D5847" i="106" s="1"/>
  <c r="B5752" i="106"/>
  <c r="D5752" i="106" s="1"/>
  <c r="B5599" i="106"/>
  <c r="D5599" i="106" s="1"/>
  <c r="K274" i="5"/>
  <c r="H173" i="5"/>
  <c r="B5906" i="106" s="1"/>
  <c r="D5906" i="106" s="1"/>
  <c r="H109" i="5"/>
  <c r="B6025" i="106" s="1"/>
  <c r="D6025" i="106" s="1"/>
  <c r="D109" i="5"/>
  <c r="B5356" i="106" s="1"/>
  <c r="D5356"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L13" i="11" l="1"/>
  <c r="B2060" i="106" s="1"/>
  <c r="D2060" i="106" s="1"/>
  <c r="K26" i="12"/>
  <c r="B7743" i="106" s="1"/>
  <c r="D7743" i="106" s="1"/>
  <c r="N22" i="3"/>
  <c r="B283" i="106" s="1"/>
  <c r="D283" i="106" s="1"/>
  <c r="F19" i="7"/>
  <c r="B1807" i="106" s="1"/>
  <c r="D1807" i="106" s="1"/>
  <c r="B1410" i="106"/>
  <c r="D1410" i="106" s="1"/>
  <c r="G29" i="108"/>
  <c r="E29" i="108"/>
  <c r="K184" i="29"/>
  <c r="F13" i="4" s="1"/>
  <c r="B2596" i="106" s="1"/>
  <c r="D2596" i="106" s="1"/>
  <c r="B1329" i="106"/>
  <c r="D1329" i="106" s="1"/>
  <c r="F61" i="34"/>
  <c r="F28" i="108"/>
  <c r="E28" i="108"/>
  <c r="B6995" i="106"/>
  <c r="D6995" i="106" s="1"/>
  <c r="F27" i="108"/>
  <c r="F26" i="108"/>
  <c r="F41" i="108" s="1"/>
  <c r="G43" i="108" s="1"/>
  <c r="D26" i="108"/>
  <c r="D41" i="108" s="1"/>
  <c r="E43" i="108" s="1"/>
  <c r="B1126" i="106"/>
  <c r="D1126" i="106" s="1"/>
  <c r="G109" i="5"/>
  <c r="B6024" i="106" s="1"/>
  <c r="D6024" i="106" s="1"/>
  <c r="F111" i="34"/>
  <c r="E109" i="5"/>
  <c r="E4" i="4" s="1"/>
  <c r="B2630" i="106" s="1"/>
  <c r="D2630" i="106" s="1"/>
  <c r="D4" i="4"/>
  <c r="B2564" i="106" s="1"/>
  <c r="D2564" i="106" s="1"/>
  <c r="D5" i="7"/>
  <c r="B1761" i="106" s="1"/>
  <c r="D1761" i="106" s="1"/>
  <c r="C172" i="5"/>
  <c r="B5214" i="106" s="1"/>
  <c r="D5214" i="106" s="1"/>
  <c r="C109" i="5"/>
  <c r="B5121" i="106" s="1"/>
  <c r="D5121" i="106" s="1"/>
  <c r="D4" i="7"/>
  <c r="B1760" i="106" s="1"/>
  <c r="D1760" i="106" s="1"/>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L16" i="11" l="1"/>
  <c r="B2061" i="106" s="1"/>
  <c r="D2061" i="106" s="1"/>
  <c r="L114" i="29"/>
  <c r="G4" i="4"/>
  <c r="B2603" i="106" s="1"/>
  <c r="D2603" i="106" s="1"/>
  <c r="B1381" i="106"/>
  <c r="D1381" i="106" s="1"/>
  <c r="K342" i="29"/>
  <c r="F13" i="34" s="1"/>
  <c r="C114" i="29"/>
  <c r="B757" i="106" s="1"/>
  <c r="D757" i="106" s="1"/>
  <c r="D19" i="7"/>
  <c r="B1775" i="106" s="1"/>
  <c r="D1775" i="106" s="1"/>
  <c r="B5527" i="106"/>
  <c r="D5527" i="106" s="1"/>
  <c r="C4" i="4"/>
  <c r="B2551" i="106" s="1"/>
  <c r="D2551" i="106" s="1"/>
  <c r="C173" i="5"/>
  <c r="B5223" i="106" s="1"/>
  <c r="D522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<sst xmlns="http://schemas.openxmlformats.org/spreadsheetml/2006/main" count="5100" uniqueCount="2160">
  <si>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</si>
  <si>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</si>
  <si>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</si>
  <si>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</si>
  <si>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</si>
  <si>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</si>
  <si>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</si>
  <si>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</si>
  <si>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</si>
  <si>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</si>
  <si>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</si>
  <si>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</si>
  <si>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</si>
  <si>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</si>
  <si>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</si>
  <si>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</si>
  <si>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</si>
  <si>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</si>
  <si>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</si>
  <si>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</si>
  <si>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</si>
  <si>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</si>
  <si>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</si>
  <si>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</si>
  <si>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</si>
  <si>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</si>
  <si>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</si>
  <si>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</si>
  <si>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</si>
  <si>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</si>
  <si>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</si>
  <si>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</si>
  <si>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</si>
  <si>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</si>
  <si>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</si>
  <si>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</si>
  <si>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</si>
  <si>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</si>
  <si>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</si>
  <si>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</si>
  <si>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</si>
  <si>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</si>
  <si>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</si>
  <si>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</si>
  <si>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</si>
  <si>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</si>
  <si>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</si>
  <si>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</si>
  <si>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</si>
  <si>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</si>
  <si>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</si>
  <si>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</si>
  <si>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</si>
  <si>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</si>
  <si>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</si>
  <si>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</si>
  <si>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</si>
  <si>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</si>
  <si>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</si>
  <si>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</si>
  <si>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</si>
  <si>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</si>
  <si>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</si>
  <si>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</si>
  <si>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</si>
  <si>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</si>
  <si>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</si>
  <si>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</si>
  <si>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</si>
  <si>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</si>
  <si>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</si>
  <si>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</si>
  <si>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</si>
  <si>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</si>
  <si>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</si>
  <si>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</si>
  <si>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</si>
  <si>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</si>
  <si>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</si>
  <si>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</si>
  <si>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</si>
  <si>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</si>
  <si>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</si>
  <si>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</si>
  <si>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</si>
  <si>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</si>
  <si>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</si>
  <si>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</si>
  <si>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</si>
  <si>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</si>
  <si>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</si>
  <si>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</si>
  <si>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</si>
  <si>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</si>
  <si>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</si>
  <si>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</si>
  <si>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</si>
  <si>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</si>
  <si>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</si>
  <si>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</si>
  <si>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</si>
  <si>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</si>
  <si>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</si>
  <si>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</si>
  <si>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</si>
  <si>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</si>
  <si>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</si>
  <si>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</si>
  <si>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</si>
  <si>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</si>
  <si>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</si>
  <si>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</si>
  <si>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</si>
  <si>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</si>
  <si>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</si>
  <si>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</si>
  <si>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</si>
  <si>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</si>
  <si>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</si>
  <si>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</si>
  <si>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</si>
  <si>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</si>
  <si>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</si>
  <si>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</si>
  <si>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</si>
  <si>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</si>
  <si>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</si>
  <si>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</si>
  <si>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</si>
  <si>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</si>
  <si>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</si>
  <si>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</si>
  <si>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</si>
  <si>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</si>
  <si>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</si>
  <si>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</si>
  <si>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</si>
  <si>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</si>
  <si>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</si>
  <si>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</si>
  <si>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</si>
  <si>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</si>
  <si>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</si>
  <si>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</si>
  <si>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</si>
  <si>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</si>
  <si>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</si>
  <si>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</si>
  <si>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</si>
  <si>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</si>
  <si>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</si>
  <si>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</si>
  <si>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</si>
  <si>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</si>
  <si>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</si>
  <si>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</si>
  <si>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</si>
  <si>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</si>
  <si>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</si>
  <si>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</si>
  <si>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</si>
  <si>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</si>
  <si>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</si>
  <si>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</si>
  <si>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</si>
  <si>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</si>
  <si>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</si>
  <si>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</si>
  <si>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</si>
  <si>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</si>
  <si>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</si>
  <si>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</si>
  <si>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</si>
  <si>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</si>
  <si>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</si>
  <si>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</si>
  <si>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</si>
  <si>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</si>
  <si>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</si>
  <si>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</si>
  <si>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</si>
  <si>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</si>
  <si>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</si>
  <si>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</si>
  <si>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</si>
  <si>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</si>
  <si>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</si>
  <si>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</si>
  <si>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</si>
  <si>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</si>
  <si>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</si>
  <si>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</si>
  <si>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</si>
  <si>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</si>
  <si>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</si>
  <si>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</si>
  <si>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</si>
  <si>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</si>
  <si>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</si>
  <si>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</si>
  <si>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</si>
  <si>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</si>
  <si>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</si>
  <si>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</si>
  <si>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</si>
  <si>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</si>
  <si>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</si>
  <si>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</si>
  <si>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</si>
  <si>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</si>
  <si>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</si>
  <si>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</si>
  <si>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</si>
  <si>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</si>
  <si>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</si>
  <si>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</si>
  <si>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</si>
  <si>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</si>
  <si>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</si>
  <si>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</si>
  <si>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</si>
  <si>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</si>
  <si>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</si>
  <si>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</si>
  <si>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</si>
  <si>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</si>
  <si>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</si>
  <si>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</si>
  <si>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</si>
  <si>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</si>
  <si>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</si>
  <si>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</si>
  <si>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</si>
  <si>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</si>
  <si>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</si>
  <si>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</si>
  <si>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</si>
  <si>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</si>
  <si>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</si>
  <si>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</si>
  <si>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</si>
  <si>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</si>
  <si>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</si>
  <si>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</si>
  <si>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</si>
  <si>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</si>
  <si>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</si>
  <si>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</si>
  <si>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</si>
  <si>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</si>
  <si>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</si>
  <si>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</si>
  <si>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</si>
  <si>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</si>
  <si>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</si>
  <si>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</si>
  <si>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</si>
  <si>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</si>
  <si>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</si>
  <si>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</si>
  <si>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</si>
  <si>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</si>
  <si>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</si>
  <si>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</si>
  <si>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</si>
  <si>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</si>
  <si>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</si>
  <si>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</si>
  <si>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</si>
  <si>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</si>
  <si>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</si>
  <si>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</si>
  <si>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</si>
  <si>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</si>
  <si>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</si>
  <si>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</si>
  <si>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</si>
  <si>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</si>
  <si>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</si>
  <si>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</si>
  <si>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</si>
  <si>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</si>
  <si>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</si>
  <si>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</si>
  <si>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</si>
  <si>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</si>
  <si>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</si>
  <si>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</si>
  <si>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</si>
  <si>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</si>
  <si>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</si>
  <si>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</si>
  <si>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</si>
  <si>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</si>
  <si>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</si>
  <si>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</si>
  <si>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</si>
  <si>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</si>
  <si>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</si>
  <si>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</si>
  <si>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</si>
  <si>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</si>
  <si>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</si>
  <si>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</si>
  <si>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</si>
  <si>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</si>
  <si>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</si>
  <si>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</si>
  <si>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</si>
  <si>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</si>
  <si>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</si>
  <si>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</si>
  <si>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</si>
  <si>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</si>
  <si>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</si>
  <si>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</si>
  <si>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</si>
  <si>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</si>
  <si>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</si>
  <si>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</si>
  <si>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</si>
  <si>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</si>
  <si>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</si>
  <si>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</si>
  <si>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</si>
  <si>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</si>
  <si>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</si>
  <si>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</si>
  <si>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</si>
  <si>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</si>
  <si>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</si>
  <si>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</si>
  <si>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</si>
  <si>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</si>
  <si>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</si>
  <si>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</si>
  <si>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</si>
  <si>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</si>
  <si>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</si>
  <si>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</si>
  <si>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</si>
  <si>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</si>
  <si>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</si>
  <si>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</si>
  <si>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</si>
  <si>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</si>
  <si>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</si>
  <si>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</si>
  <si>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</si>
  <si>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</si>
  <si>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</si>
  <si>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</si>
  <si>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</si>
  <si>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</si>
  <si>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</si>
  <si>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</si>
  <si>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</si>
  <si>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</si>
  <si>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</si>
  <si>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</si>
  <si>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</si>
  <si>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</si>
  <si>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</si>
  <si>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</si>
  <si>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</si>
  <si>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</si>
  <si>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</si>
  <si>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</si>
  <si>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</si>
  <si>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</si>
  <si>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</si>
  <si>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</si>
  <si>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</si>
  <si>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</si>
  <si>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</si>
  <si>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</si>
  <si>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</si>
  <si>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</si>
  <si>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</si>
  <si>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</si>
  <si>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</si>
  <si>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</si>
  <si>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</si>
  <si>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</si>
  <si>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</si>
  <si>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</si>
  <si>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</si>
  <si>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</si>
  <si>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</si>
  <si>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</si>
  <si>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</si>
  <si>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</si>
  <si>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</si>
  <si>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</si>
  <si>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</si>
  <si>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</si>
  <si>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</si>
  <si>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</si>
  <si>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</si>
  <si>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</si>
  <si>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</si>
  <si>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</si>
  <si>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</si>
  <si>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</si>
  <si>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</si>
  <si>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</si>
  <si>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</si>
  <si>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</si>
  <si>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</si>
  <si>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</si>
  <si>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</si>
  <si>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</si>
  <si>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</si>
  <si>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</si>
  <si>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</si>
  <si>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</si>
  <si>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</si>
  <si>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</si>
  <si>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</si>
  <si>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</si>
  <si>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</si>
  <si>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</si>
  <si>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</si>
  <si>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</si>
  <si>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</si>
  <si>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</si>
  <si>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</si>
  <si>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</si>
  <si>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</si>
  <si>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</si>
  <si>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</si>
  <si>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</si>
  <si>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</si>
  <si>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</si>
  <si>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</si>
  <si>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</si>
  <si>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</si>
  <si>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</si>
  <si>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</si>
  <si>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</si>
  <si>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</si>
  <si>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</si>
  <si>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</si>
  <si>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</si>
  <si>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</si>
  <si>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</si>
  <si>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</si>
  <si>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</si>
  <si>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</si>
  <si>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</si>
  <si>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</si>
  <si>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</si>
  <si>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</si>
  <si>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</si>
  <si>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</si>
  <si>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</si>
  <si>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</si>
  <si>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</si>
  <si>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</si>
  <si>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</si>
  <si>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</si>
  <si>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</si>
  <si>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</si>
  <si>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</si>
  <si>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</si>
  <si>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</si>
  <si>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</si>
  <si>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</si>
  <si>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</si>
  <si>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</si>
  <si>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</si>
  <si>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</si>
  <si>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</si>
  <si>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</si>
  <si>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</si>
  <si>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</si>
  <si>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</si>
  <si>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</si>
  <si>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</si>
  <si>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</si>
  <si>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</si>
  <si>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</si>
  <si>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</si>
  <si>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</si>
  <si>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</si>
  <si>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</si>
  <si>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</si>
  <si>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</si>
  <si>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</si>
  <si>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</si>
  <si>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</si>
  <si>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</si>
  <si>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</si>
  <si>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</si>
  <si>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</si>
  <si>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</si>
  <si>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</si>
  <si>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</si>
  <si>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</si>
  <si>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</si>
  <si>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</si>
  <si>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</si>
  <si>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</si>
  <si>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</si>
  <si>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</si>
  <si>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</si>
  <si>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</si>
  <si>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</si>
  <si>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</si>
  <si>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</si>
  <si>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</si>
  <si>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</si>
  <si>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</si>
  <si>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</si>
  <si>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</si>
  <si>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</si>
  <si>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</si>
  <si>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</si>
  <si>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</si>
  <si>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</si>
  <si>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</si>
  <si>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</si>
  <si>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</si>
  <si>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</si>
  <si>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</si>
  <si>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</si>
  <si>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</si>
  <si>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</si>
  <si>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</si>
  <si>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</si>
  <si>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</si>
  <si>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</si>
  <si>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</si>
  <si>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</si>
  <si>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</si>
  <si>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</si>
  <si>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</si>
  <si>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</si>
  <si>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</si>
  <si>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</si>
  <si>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</si>
  <si>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</si>
  <si>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</si>
  <si>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</si>
  <si>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</si>
  <si>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</si>
  <si>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</si>
  <si>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</si>
  <si>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</si>
  <si>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</si>
  <si>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</si>
  <si>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</si>
  <si>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</si>
  <si>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</si>
  <si>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</si>
  <si>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</si>
  <si>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</si>
  <si>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</si>
  <si>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</si>
  <si>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</si>
  <si>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</si>
  <si>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</si>
  <si>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</si>
  <si>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</si>
  <si>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</si>
  <si>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</si>
  <si>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</si>
  <si>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</si>
  <si>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</si>
  <si>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</si>
  <si>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</si>
  <si>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</si>
  <si>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</si>
  <si>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</si>
  <si>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</si>
  <si>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</si>
  <si>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</si>
  <si>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</si>
  <si>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</si>
  <si>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</si>
  <si>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</si>
  <si>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</si>
  <si>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</si>
  <si>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</si>
  <si>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</si>
  <si>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</si>
  <si>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</si>
  <si>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</si>
  <si>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</si>
  <si>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</si>
  <si>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</si>
  <si>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</si>
  <si>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</si>
  <si>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</si>
  <si>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</si>
  <si>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</si>
  <si>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</si>
  <si>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</si>
  <si>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</si>
  <si>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</si>
  <si>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</si>
  <si>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</si>
  <si>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</si>
  <si>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</si>
  <si>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</si>
  <si>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</si>
  <si>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</si>
  <si>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</si>
  <si>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</si>
  <si>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</si>
  <si>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</si>
  <si>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</si>
  <si>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</si>
  <si>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</si>
  <si>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</si>
  <si>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</si>
  <si>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</si>
  <si>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</si>
  <si>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</si>
  <si>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</si>
  <si>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</si>
  <si>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</si>
  <si>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</si>
  <si>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</si>
  <si>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</si>
  <si>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</si>
  <si>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</si>
  <si>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</si>
  <si>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</si>
  <si>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</si>
  <si>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</si>
  <si>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</si>
  <si>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</si>
  <si>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</si>
  <si>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</si>
  <si>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</si>
  <si>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</si>
  <si>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</si>
  <si>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</si>
  <si>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</si>
  <si>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</si>
  <si>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</si>
  <si>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</si>
  <si>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</si>
  <si>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</si>
  <si>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</si>
  <si>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</si>
  <si>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</si>
  <si>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</si>
  <si>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</si>
  <si>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</si>
  <si>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</si>
  <si>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</si>
  <si>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</si>
  <si>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</si>
  <si>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</si>
  <si>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</si>
  <si>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</si>
  <si>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</si>
  <si>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</si>
  <si>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</si>
  <si>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</si>
  <si>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</si>
  <si>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</si>
  <si>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</si>
  <si>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</si>
  <si>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</si>
  <si>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</si>
  <si>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</si>
  <si>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</si>
  <si>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</si>
  <si>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</si>
  <si>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</si>
  <si>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</si>
  <si>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</si>
  <si>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</si>
  <si>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</si>
  <si>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</si>
  <si>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</si>
  <si>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</si>
  <si>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</si>
  <si>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</si>
  <si>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</si>
  <si>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</si>
  <si>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</si>
  <si>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</si>
  <si>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</si>
  <si>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</si>
  <si>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</si>
  <si>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</si>
  <si>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</si>
  <si>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</si>
  <si>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</si>
  <si>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</si>
  <si>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</si>
  <si>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</si>
  <si>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</si>
  <si>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</si>
  <si>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</si>
  <si>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</si>
  <si>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</si>
  <si>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</si>
  <si>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</si>
  <si>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</si>
  <si>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</si>
  <si>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</si>
  <si>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</si>
  <si>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</si>
  <si>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</si>
  <si>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</si>
  <si>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</si>
  <si>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</si>
  <si>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</si>
  <si>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</si>
  <si>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</si>
  <si>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</si>
  <si>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</si>
  <si>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</si>
  <si>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</si>
  <si>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</si>
  <si>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</si>
  <si>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</si>
  <si>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</si>
  <si>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</si>
  <si>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</si>
  <si>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</si>
  <si>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</si>
  <si>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</si>
  <si>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</si>
  <si>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</si>
  <si>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</si>
  <si>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</si>
  <si>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</si>
  <si>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</si>
  <si>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</si>
  <si>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</si>
  <si>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</si>
  <si>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</si>
  <si>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</si>
  <si>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</si>
  <si>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</si>
  <si>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</si>
  <si>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</si>
  <si>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</si>
  <si>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</si>
  <si>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</si>
  <si>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</si>
  <si>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</si>
  <si>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</si>
  <si>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</si>
  <si>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</si>
  <si>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</si>
  <si>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</si>
  <si>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</si>
  <si>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</si>
  <si>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</si>
  <si>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</si>
  <si>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</si>
  <si>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</si>
  <si>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</si>
  <si>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</si>
  <si>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</si>
  <si>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</si>
  <si>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</si>
  <si>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</si>
  <si>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</si>
  <si>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</si>
  <si>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</si>
  <si>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</si>
  <si>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</si>
  <si>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</si>
  <si>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</si>
  <si>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</si>
  <si>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</si>
  <si>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</si>
  <si>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</si>
  <si>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</si>
  <si>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</si>
  <si>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</si>
  <si>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</si>
  <si>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</si>
  <si>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</si>
  <si>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</si>
  <si>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</si>
  <si>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</si>
  <si>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</si>
  <si>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</si>
  <si>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</si>
  <si>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</si>
  <si>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</si>
  <si>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</si>
  <si>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</si>
  <si>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</si>
  <si>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</si>
  <si>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</si>
  <si>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</si>
  <si>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</si>
  <si>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</si>
  <si>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</si>
  <si>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</si>
  <si>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</si>
  <si>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</si>
  <si>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</si>
  <si>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</si>
  <si>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</si>
  <si>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</si>
  <si>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</si>
  <si>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</si>
  <si>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</si>
  <si>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</si>
  <si>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</si>
  <si>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</si>
  <si>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</si>
  <si>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</si>
  <si>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</si>
  <si>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</si>
  <si>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</si>
  <si>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</si>
  <si>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</si>
  <si>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</si>
  <si>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</si>
  <si>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</si>
  <si>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</si>
  <si>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</si>
  <si>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</si>
  <si>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</si>
  <si>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</si>
  <si>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</si>
  <si>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</si>
  <si>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</si>
  <si>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</si>
  <si>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</si>
  <si>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</si>
  <si>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</si>
  <si>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</si>
  <si>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</si>
  <si>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</si>
  <si>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</si>
  <si>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</si>
  <si>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</si>
  <si>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</si>
  <si>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</si>
  <si>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</si>
  <si>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</si>
  <si>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</si>
  <si>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</si>
  <si>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</si>
  <si>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</si>
  <si>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</si>
  <si>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</si>
  <si>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</si>
  <si>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</si>
  <si>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</si>
  <si>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</si>
  <si>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</si>
  <si>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</si>
  <si>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</si>
  <si>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</si>
  <si>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</si>
  <si>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</si>
  <si>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</si>
  <si>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</si>
  <si>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</si>
  <si>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</si>
  <si>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</si>
  <si>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</si>
  <si>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</si>
  <si>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</si>
  <si>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</si>
  <si>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</si>
  <si>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</si>
  <si>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</si>
  <si>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</si>
  <si>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</si>
  <si>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</si>
  <si>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</si>
  <si>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</si>
  <si>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</si>
  <si>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</si>
  <si>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</si>
  <si>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</si>
  <si>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</si>
  <si>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</si>
  <si>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</si>
  <si>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</si>
  <si>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</si>
  <si>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</si>
  <si>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</si>
  <si>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</si>
  <si>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</si>
  <si>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</si>
  <si>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</si>
  <si>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</si>
  <si>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</si>
  <si>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</si>
  <si>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</si>
  <si>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</si>
  <si>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</si>
  <si>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</si>
  <si>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</si>
  <si>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</si>
  <si>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</si>
  <si>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</si>
  <si>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</si>
  <si>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</si>
  <si>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</si>
  <si>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</si>
  <si>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</si>
  <si>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</si>
  <si>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</si>
  <si>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</si>
  <si>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</si>
  <si>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</si>
  <si>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</si>
  <si>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</si>
  <si>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</si>
  <si>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</si>
  <si>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</si>
  <si>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</si>
  <si>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</si>
  <si>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</si>
  <si>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</si>
  <si>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</si>
  <si>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</si>
  <si>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</si>
  <si>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</si>
  <si>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</si>
  <si>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</si>
  <si>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</si>
  <si>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</si>
  <si>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</si>
  <si>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</si>
  <si>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</si>
  <si>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</si>
  <si>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</si>
  <si>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</si>
  <si>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</si>
  <si>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</si>
  <si>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</si>
  <si>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</si>
  <si>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</si>
  <si>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</si>
  <si>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</si>
  <si>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</si>
  <si>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</si>
  <si>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</si>
  <si>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</si>
  <si>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</si>
  <si>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</si>
  <si>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</si>
  <si>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</si>
  <si>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</si>
  <si>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</si>
  <si>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</si>
  <si>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</si>
  <si>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</si>
  <si>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</si>
  <si>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</si>
  <si>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</si>
  <si>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</si>
  <si>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</si>
  <si>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</si>
  <si>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</si>
  <si>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</si>
  <si>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</si>
  <si>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</si>
  <si>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</si>
  <si>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</si>
  <si>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</si>
  <si>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</si>
  <si>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</si>
  <si>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</si>
  <si>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</si>
  <si>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</si>
  <si>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</si>
  <si>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</si>
  <si>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</si>
  <si>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</si>
  <si>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</si>
  <si>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</si>
  <si>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</si>
  <si>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</si>
  <si>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</si>
  <si>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</si>
  <si>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</si>
  <si>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</si>
  <si>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</si>
  <si>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</si>
  <si>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</si>
  <si>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</si>
  <si>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</si>
  <si>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</si>
  <si>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</si>
  <si>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</si>
  <si>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</si>
  <si>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</si>
  <si>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</si>
  <si>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</si>
  <si>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</si>
  <si>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</si>
  <si>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</si>
  <si>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</si>
  <si>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</si>
  <si>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</si>
  <si>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</si>
  <si>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</si>
  <si>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</si>
  <si>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</si>
  <si>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</si>
  <si>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</si>
  <si>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</si>
  <si>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</si>
  <si>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</si>
  <si>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</si>
  <si>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</si>
  <si>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</si>
  <si>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</si>
  <si>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</si>
  <si>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</si>
  <si>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</si>
  <si>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</si>
  <si>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</si>
  <si>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</si>
  <si>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</si>
  <si>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</si>
  <si>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</si>
  <si>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</si>
  <si>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</si>
  <si>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</si>
  <si>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</si>
  <si>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</si>
  <si>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</si>
  <si>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</si>
  <si>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</si>
  <si>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</si>
  <si>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</si>
  <si>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</si>
  <si>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</si>
  <si>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</si>
  <si>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</si>
  <si>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</si>
  <si>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</si>
  <si>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</si>
  <si>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</si>
  <si>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</si>
  <si>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</si>
  <si>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</si>
  <si>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</si>
  <si>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</si>
  <si>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</si>
  <si>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</si>
  <si>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</si>
  <si>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</si>
  <si>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</si>
  <si>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</si>
  <si>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</si>
  <si>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</si>
  <si>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</si>
  <si>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</si>
  <si>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</si>
  <si>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</si>
  <si>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</si>
  <si>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</si>
  <si>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</si>
  <si>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</si>
  <si>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</si>
  <si>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</si>
  <si>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</si>
  <si>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</si>
  <si>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</si>
  <si>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</si>
  <si>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</si>
  <si>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</si>
  <si>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</si>
  <si>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</si>
  <si>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</si>
  <si>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</si>
  <si>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</si>
  <si>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</si>
  <si>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</si>
  <si>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</si>
  <si>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</si>
  <si>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</si>
  <si>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</si>
  <si>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</si>
  <si>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</si>
  <si>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</si>
  <si>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</si>
  <si>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</si>
  <si>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</si>
  <si>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</si>
  <si>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</si>
  <si>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</si>
  <si>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</si>
  <si>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</si>
  <si>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</si>
  <si>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</si>
  <si>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</si>
  <si>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</si>
  <si>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</si>
  <si>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</si>
  <si>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</si>
  <si>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</si>
  <si>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</si>
  <si>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</si>
  <si>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</si>
  <si>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</si>
  <si>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</si>
  <si>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</si>
  <si>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</si>
  <si>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</si>
  <si>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</si>
  <si>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</si>
  <si>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</si>
  <si>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</si>
  <si>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</si>
  <si>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</si>
  <si>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</si>
  <si>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</si>
  <si>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</si>
  <si>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</si>
  <si>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</si>
  <si>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</si>
  <si>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</si>
  <si>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</si>
  <si>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</si>
  <si>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</si>
  <si>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</si>
  <si>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</si>
  <si>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</si>
  <si>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</si>
  <si>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</si>
  <si>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</si>
  <si>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</si>
  <si>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</si>
  <si>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</si>
  <si>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</si>
  <si>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</si>
  <si>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</si>
  <si>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</si>
  <si>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</si>
  <si>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</si>
  <si>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</si>
  <si>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</si>
  <si>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</si>
  <si>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</si>
  <si>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</si>
  <si>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</si>
  <si>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</si>
  <si>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</si>
  <si>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</si>
  <si>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</si>
  <si>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</si>
  <si>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</si>
  <si>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</si>
  <si>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</si>
  <si>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</si>
  <si>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</si>
  <si>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</si>
  <si>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</si>
  <si>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</si>
  <si>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</si>
  <si>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</si>
  <si>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</si>
  <si>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</si>
  <si>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</si>
  <si>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</si>
  <si>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</si>
  <si>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</si>
  <si>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</si>
  <si>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</si>
  <si>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</si>
  <si>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</si>
  <si>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</si>
  <si>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</si>
  <si>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</si>
  <si>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</si>
  <si>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</si>
  <si>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</si>
  <si>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</si>
  <si>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</si>
  <si>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</si>
  <si>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</si>
  <si>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</si>
  <si>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</si>
  <si>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</si>
  <si>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</si>
  <si>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</si>
  <si>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</si>
  <si>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</si>
  <si>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</si>
  <si>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</si>
  <si>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</si>
  <si>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</si>
  <si>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</si>
  <si>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</si>
  <si>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</si>
  <si>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</si>
  <si>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</si>
  <si>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</si>
  <si>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</si>
  <si>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</si>
  <si>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</si>
  <si>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</si>
  <si>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</si>
  <si>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</si>
  <si>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</si>
  <si>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</si>
  <si>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</si>
  <si>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</si>
  <si>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</si>
  <si>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</si>
  <si>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</si>
  <si>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</si>
  <si>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</si>
  <si>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</si>
  <si>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</si>
  <si>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</si>
  <si>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</si>
  <si>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</si>
  <si>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</si>
  <si>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</si>
  <si>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</si>
  <si>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</si>
  <si>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</si>
  <si>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</si>
  <si>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</si>
  <si>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</si>
  <si>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</si>
  <si>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</si>
  <si>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</si>
  <si>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</si>
  <si>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</si>
  <si>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</si>
  <si>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</si>
  <si>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</si>
  <si>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</si>
  <si>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</si>
  <si>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</si>
  <si>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</si>
  <si>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</si>
  <si>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</si>
  <si>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</si>
  <si>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</si>
  <si>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</si>
  <si>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</si>
  <si>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</si>
  <si>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</si>
  <si>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</si>
  <si>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</si>
  <si>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</si>
  <si>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</si>
  <si>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</si>
  <si>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</si>
  <si>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</si>
  <si>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</si>
  <si>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</si>
  <si>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</si>
  <si>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</si>
  <si>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</si>
  <si>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</si>
  <si>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</si>
  <si>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</si>
  <si>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</si>
  <si>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</si>
  <si>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</si>
  <si>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</si>
  <si>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</si>
  <si>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</si>
  <si>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</si>
  <si>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</si>
  <si>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</si>
  <si>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</si>
  <si>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</si>
  <si>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</si>
  <si>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</si>
  <si>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</si>
  <si>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</si>
  <si>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</si>
  <si>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</si>
  <si>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</si>
  <si>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</si>
  <si>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</si>
  <si>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</si>
  <si>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</si>
  <si>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</si>
  <si>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</si>
  <si>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</si>
  <si>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</si>
  <si>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</si>
  <si>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</si>
  <si>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</si>
  <si>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</si>
  <si>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</si>
  <si>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</si>
  <si>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</si>
  <si>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</si>
  <si>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</si>
  <si>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</si>
  <si>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</si>
  <si>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</si>
  <si>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</si>
  <si>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</si>
  <si>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</si>
  <si>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</si>
  <si>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</si>
  <si>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</si>
  <si>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</si>
  <si>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</si>
  <si>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</si>
  <si>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</si>
  <si>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</si>
  <si>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</si>
  <si>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</si>
  <si>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</si>
  <si>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</si>
  <si>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</si>
  <si>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</si>
  <si>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</si>
  <si>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</si>
  <si>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</si>
  <si>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</si>
  <si>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</si>
  <si>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</si>
  <si>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</si>
  <si>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</si>
  <si>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</si>
  <si>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</si>
  <si>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</si>
  <si>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</si>
  <si>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</si>
  <si>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</si>
  <si>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</si>
  <si>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</si>
  <si>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</si>
  <si>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</si>
  <si>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</si>
  <si>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</si>
  <si>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</si>
  <si>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</si>
  <si>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</si>
  <si>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</si>
  <si>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</si>
  <si>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</si>
  <si>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</si>
  <si>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</si>
  <si>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</si>
  <si>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</si>
  <si>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</si>
  <si>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</si>
  <si>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</si>
  <si>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</si>
  <si>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</si>
  <si>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</si>
  <si>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</si>
  <si>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</si>
  <si>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</si>
  <si>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</si>
  <si>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</si>
  <si>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</si>
  <si>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</si>
  <si>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</si>
  <si>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</si>
  <si>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</si>
  <si>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</si>
  <si>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</si>
  <si>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</si>
  <si>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</si>
  <si>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</si>
  <si>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</si>
  <si>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</si>
  <si>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</si>
  <si>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</si>
  <si>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</si>
  <si>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</si>
  <si>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</si>
  <si>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</si>
  <si>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</si>
  <si>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</si>
  <si>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</si>
  <si>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</si>
  <si>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</si>
  <si>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</si>
  <si>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</si>
  <si>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</si>
  <si>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</si>
  <si>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</si>
  <si>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</si>
  <si>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</si>
  <si>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</si>
  <si>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</si>
  <si>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</si>
  <si>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</si>
  <si>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</si>
  <si>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</si>
  <si>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</si>
  <si>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</si>
  <si>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</si>
  <si>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</si>
  <si>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</si>
  <si>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</si>
  <si>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</si>
  <si>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</si>
  <si>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</si>
  <si>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</si>
  <si>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</si>
  <si>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</si>
  <si>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</si>
  <si>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</si>
  <si>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</si>
  <si>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</si>
  <si>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</si>
  <si>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</si>
  <si>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</si>
  <si>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</si>
  <si>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</si>
  <si>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</si>
  <si>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</si>
  <si>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</si>
  <si>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</si>
  <si>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</si>
  <si>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</si>
  <si>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</si>
  <si>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</si>
  <si>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</si>
  <si>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</si>
  <si>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</si>
  <si>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</si>
  <si>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</si>
  <si>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</si>
  <si>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</si>
  <si>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</si>
  <si>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</si>
  <si>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</si>
  <si>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</si>
  <si>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</si>
  <si>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</si>
  <si>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</si>
  <si>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</si>
  <si>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</si>
  <si>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</si>
  <si>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</si>
  <si>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</si>
  <si>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</si>
  <si>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</si>
  <si>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</si>
  <si>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</si>
  <si>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</si>
  <si>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</si>
  <si>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</si>
  <si>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</si>
  <si>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</si>
  <si>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</si>
  <si>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</si>
  <si>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</si>
  <si>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</si>
  <si>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</si>
  <si>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</si>
  <si>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</si>
  <si>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</si>
  <si>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</si>
  <si>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</si>
  <si>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</si>
  <si>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</si>
  <si>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</si>
  <si>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</si>
  <si>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</si>
  <si>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</si>
  <si>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</si>
  <si>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</si>
  <si>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</si>
  <si>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</si>
  <si>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</si>
  <si>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</si>
  <si>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</si>
  <si>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</si>
  <si>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</si>
  <si>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</si>
  <si>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</si>
  <si>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</si>
  <si>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</si>
  <si>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</si>
  <si>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</si>
  <si>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</si>
  <si>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</si>
  <si>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</si>
  <si>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</si>
  <si>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</si>
  <si>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</si>
  <si>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</si>
  <si>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</si>
  <si>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</si>
  <si>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</si>
  <si>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</si>
  <si>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</si>
  <si>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</si>
  <si>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</si>
  <si>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</si>
  <si>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</si>
  <si>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</si>
  <si>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</si>
  <si>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</si>
  <si>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</si>
  <si>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</si>
  <si>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</si>
  <si>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</si>
  <si>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</si>
  <si>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</si>
  <si>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</si>
  <si>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</si>
  <si>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</si>
  <si>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</si>
  <si>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</si>
  <si>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</si>
  <si>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</si>
  <si>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</si>
  <si>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</si>
  <si>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</si>
  <si>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</si>
  <si>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</si>
  <si>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</si>
  <si>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</si>
  <si>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</si>
  <si>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</si>
  <si>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</si>
  <si>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</si>
  <si>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</si>
  <si>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</si>
  <si>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</si>
  <si>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</si>
  <si>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</si>
  <si>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</si>
  <si>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</si>
  <si>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</si>
  <si>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</si>
  <si>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</si>
  <si>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</si>
  <si>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</si>
  <si>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</si>
  <si>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</si>
  <si>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</si>
  <si>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</si>
  <si>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</si>
  <si>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</si>
  <si>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</si>
  <si>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</si>
  <si>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</si>
  <si>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</si>
  <si>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</si>
  <si>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</si>
  <si>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</si>
  <si>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</si>
  <si>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</si>
  <si>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</si>
  <si>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</si>
  <si>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</si>
  <si>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</si>
  <si>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</si>
  <si>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</si>
  <si>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</si>
  <si>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</si>
  <si>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</si>
  <si>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</si>
  <si>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</si>
  <si>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</si>
  <si>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</si>
  <si>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</si>
  <si>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</si>
  <si>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</si>
  <si>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</si>
  <si>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</si>
  <si>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</si>
  <si>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</si>
  <si>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</si>
  <si>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</si>
  <si>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</si>
  <si>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</si>
  <si>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</si>
  <si>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</si>
  <si>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</si>
  <si>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</si>
  <si>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</si>
  <si>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</si>
  <si>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</si>
  <si>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</si>
  <si>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</si>
  <si>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</si>
  <si>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</si>
  <si>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</si>
  <si>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</si>
  <si>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</si>
  <si>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</si>
  <si>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</si>
  <si>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</si>
  <si>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</si>
  <si>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</si>
  <si>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</si>
  <si>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</si>
  <si>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</si>
  <si>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</si>
  <si>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</si>
  <si>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</si>
  <si>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</si>
  <si>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</si>
  <si>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</si>
  <si>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</si>
  <si>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</si>
  <si>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</si>
  <si>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</si>
  <si>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</si>
  <si>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</si>
  <si>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</si>
  <si>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</si>
  <si>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</si>
  <si>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</si>
  <si>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</si>
  <si>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</si>
  <si>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</si>
  <si>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</si>
  <si>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</si>
  <si>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</si>
  <si>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</si>
  <si>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</si>
  <si>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</si>
  <si>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</si>
  <si>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</si>
  <si>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</si>
  <si>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</si>
  <si>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</si>
  <si>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</si>
  <si>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</si>
  <si>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</si>
  <si>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</si>
  <si>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</si>
  <si>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</si>
  <si>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</si>
  <si>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</si>
  <si>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</si>
  <si>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</si>
  <si>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</si>
  <si>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</si>
  <si>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</si>
  <si>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</si>
  <si>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</si>
  <si>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</si>
  <si>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</si>
  <si>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</si>
  <si>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</si>
  <si>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</si>
  <si>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</si>
  <si>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</si>
  <si>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</si>
  <si>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</si>
  <si>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</si>
  <si>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</si>
  <si>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</si>
  <si>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</si>
  <si>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</si>
  <si>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</si>
  <si>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</si>
  <si>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</si>
  <si>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</si>
  <si>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</si>
  <si>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</si>
  <si>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</si>
  <si>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</si>
  <si>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</si>
  <si>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</si>
  <si>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</si>
  <si>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</si>
  <si>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</si>
  <si>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</si>
  <si>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</si>
  <si>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</si>
  <si>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</si>
  <si>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</si>
  <si>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</si>
  <si>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</si>
  <si>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</si>
  <si>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</si>
  <si>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</si>
  <si>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</si>
  <si>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</si>
  <si>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</si>
  <si>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</si>
  <si>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</si>
  <si>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</si>
  <si>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</si>
  <si>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</si>
  <si>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</si>
  <si>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</si>
  <si>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</si>
  <si>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</si>
  <si>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</si>
  <si>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</si>
  <si>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</si>
  <si>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</si>
  <si>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</si>
  <si>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</si>
  <si>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</si>
  <si>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</si>
  <si>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</si>
  <si>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</si>
  <si>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</si>
  <si>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</si>
  <si>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</si>
  <si>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</si>
  <si>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</si>
  <si>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</si>
  <si>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</si>
  <si>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</si>
  <si>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</si>
  <si>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</si>
  <si>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</si>
  <si>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</si>
  <si>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</si>
  <si>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</si>
  <si>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</si>
  <si>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</si>
  <si>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</si>
  <si>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</si>
  <si>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</si>
  <si>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</si>
  <si>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</si>
  <si>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</si>
  <si>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</si>
  <si>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</si>
  <si>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</si>
  <si>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</si>
  <si>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</si>
  <si>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</si>
  <si>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</si>
  <si>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</si>
  <si>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</si>
  <si>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</si>
  <si>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</si>
  <si>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</si>
  <si>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</si>
  <si>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</si>
  <si>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</si>
  <si>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</si>
  <si>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</si>
  <si>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</si>
  <si>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</si>
  <si>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</si>
  <si>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</si>
  <si>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</si>
  <si>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</si>
  <si>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</si>
  <si>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</si>
  <si>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</si>
  <si>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</si>
  <si>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</si>
  <si>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</si>
  <si>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</si>
  <si>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</si>
  <si>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</si>
  <si>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</si>
  <si>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</si>
  <si>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</si>
  <si>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</si>
  <si>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</si>
  <si>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</si>
  <si>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</si>
  <si>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</si>
  <si>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</si>
  <si>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</si>
  <si>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</si>
  <si>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</si>
  <si>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</si>
  <si>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</si>
  <si>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</si>
  <si>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</si>
  <si>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</si>
  <si>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</si>
  <si>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</si>
  <si>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</si>
  <si>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</si>
  <si>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</si>
  <si>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</si>
  <si>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</si>
  <si>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</si>
  <si>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</si>
  <si>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</si>
  <si>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</si>
  <si>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</si>
  <si>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</si>
  <si>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</si>
  <si>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</si>
  <si>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</si>
  <si>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</si>
  <si>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</si>
  <si>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</si>
  <si>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</si>
  <si>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</si>
  <si>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</si>
  <si>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</si>
  <si>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</si>
  <si>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</si>
  <si>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</si>
  <si>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</si>
  <si>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</si>
  <si>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</si>
  <si>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</si>
  <si>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</si>
  <si>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</si>
  <si>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</si>
  <si>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</si>
  <si>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</si>
  <si>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</si>
  <si>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</si>
  <si>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</si>
  <si>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</si>
  <si>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</si>
  <si>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</si>
  <si>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</si>
  <si>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</si>
  <si>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</si>
  <si>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</si>
  <si>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</si>
  <si>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</si>
  <si>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</si>
  <si>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</si>
  <si>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</si>
  <si>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</si>
  <si>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</si>
  <si>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</si>
  <si>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</si>
  <si>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</si>
  <si>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</si>
  <si>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</si>
  <si>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</si>
  <si>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</si>
  <si>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</si>
  <si>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</si>
  <si>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</si>
  <si>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</si>
  <si>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</si>
  <si>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</si>
  <si>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</si>
  <si>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</si>
  <si>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</si>
  <si>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</si>
  <si>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</si>
  <si>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</si>
  <si>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</si>
  <si>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</si>
  <si>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</si>
  <si>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</si>
  <si>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</si>
  <si>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</si>
  <si>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</si>
  <si>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</si>
  <si>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</si>
  <si>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</si>
  <si>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</si>
  <si>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</si>
  <si>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</si>
  <si>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</si>
  <si>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</si>
  <si>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</si>
  <si>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</si>
  <si>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</si>
  <si>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</si>
  <si>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</si>
  <si>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</si>
  <si>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</si>
  <si>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</si>
  <si>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</si>
  <si>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</si>
  <si>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</si>
  <si>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</si>
  <si>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</si>
  <si>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</si>
  <si>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</si>
  <si>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</si>
  <si>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</si>
  <si>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</si>
  <si>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</si>
  <si>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</si>
  <si>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</si>
  <si>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</si>
  <si>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</si>
  <si>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</si>
  <si>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</si>
  <si>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</si>
  <si>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</si>
  <si>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</si>
  <si>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</si>
  <si>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</si>
  <si>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</si>
  <si>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</si>
  <si>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</si>
  <si>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</si>
  <si>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</si>
  <si>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</si>
  <si>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</si>
  <si>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</si>
  <si>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</si>
  <si>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</si>
  <si>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</si>
  <si>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</si>
  <si>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</si>
  <si>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</si>
  <si>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</si>
  <si>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</si>
  <si>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</si>
  <si>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</si>
  <si>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</si>
  <si>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</si>
  <si>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</si>
  <si>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</si>
  <si>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</si>
  <si>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</si>
  <si>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</si>
  <si>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</si>
  <si>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</si>
  <si>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</si>
  <si>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</si>
  <si>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</si>
  <si>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</si>
  <si>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</si>
  <si>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</si>
  <si>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</si>
  <si>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</si>
  <si>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</si>
  <si>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</si>
  <si>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</si>
  <si>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</si>
  <si>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</si>
  <si>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</si>
  <si>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</si>
  <si>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</si>
  <si>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</si>
  <si>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</si>
  <si>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</si>
  <si>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</si>
  <si>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</si>
  <si>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</si>
  <si>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</si>
  <si>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</si>
  <si>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</si>
  <si>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</si>
  <si>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</si>
  <si>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</si>
  <si>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</si>
  <si>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</si>
  <si>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</si>
  <si>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</si>
  <si>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</si>
  <si>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</si>
  <si>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</si>
  <si>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</si>
  <si>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</si>
  <si>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</si>
  <si>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</si>
  <si>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</si>
  <si>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</si>
  <si>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</si>
  <si>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</si>
  <si>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</si>
  <si>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</si>
  <si>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</si>
  <si>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</si>
  <si>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</si>
  <si>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</si>
  <si>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</si>
  <si>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</si>
  <si>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</si>
  <si>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</si>
  <si>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</si>
  <si>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</si>
  <si>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</si>
  <si>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</si>
  <si>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</si>
  <si>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</si>
  <si>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</si>
  <si>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</si>
  <si>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</si>
  <si>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</si>
  <si>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</si>
  <si>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</si>
  <si>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</si>
  <si>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</si>
  <si>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</si>
  <si>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</si>
  <si>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</si>
  <si>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</si>
  <si>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</si>
  <si>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</si>
  <si>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</si>
  <si>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</si>
  <si>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</si>
  <si>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</si>
  <si>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</si>
  <si>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</si>
  <si>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</si>
  <si>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</si>
  <si>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</si>
  <si>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</si>
  <si>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</si>
  <si>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</si>
  <si>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</si>
  <si>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</si>
  <si>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</si>
  <si>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</si>
  <si>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</si>
  <si>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</si>
  <si>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</si>
  <si>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</si>
  <si>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</si>
  <si>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</si>
  <si>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</si>
  <si>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</si>
  <si>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</si>
  <si>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</si>
  <si>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</si>
  <si>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</si>
  <si>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</si>
  <si>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</si>
  <si>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</si>
  <si>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</si>
  <si>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</si>
  <si>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</si>
  <si>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</si>
  <si>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</si>
  <si>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</si>
  <si>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</si>
  <si>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</si>
  <si>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</si>
  <si>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</si>
  <si>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</si>
  <si>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</si>
  <si>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</si>
  <si>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</si>
  <si>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</si>
  <si>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</si>
  <si>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</si>
  <si>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</si>
  <si>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</si>
  <si>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</si>
  <si>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</si>
  <si>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</si>
  <si>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</si>
  <si>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</si>
  <si>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</si>
  <si>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</si>
  <si>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</si>
  <si>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</si>
  <si>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</si>
  <si>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</si>
  <si>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</si>
  <si>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</si>
  <si>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</si>
  <si>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</si>
  <si>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</si>
  <si>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</si>
  <si>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</si>
  <si>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</si>
  <si>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</si>
  <si>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</si>
  <si>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</si>
  <si>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</si>
  <si>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</si>
  <si>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</si>
  <si>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</si>
  <si>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</si>
  <si>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</si>
  <si>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</si>
  <si>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</si>
  <si>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</si>
  <si>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</si>
  <si>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</si>
  <si>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</si>
  <si>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</si>
  <si>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</si>
  <si>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</si>
  <si>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</si>
  <si>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Tazewell</t>
  </si>
  <si>
    <t>Washington CHSD 308</t>
  </si>
  <si>
    <t>115 Bondurant Street</t>
  </si>
  <si>
    <t>Washington</t>
  </si>
  <si>
    <t>61571-2499</t>
  </si>
  <si>
    <t>Dr. Kyle Freeman</t>
  </si>
  <si>
    <t>kwfreeman@wacohi.net</t>
  </si>
  <si>
    <t>(309) 444-7404</t>
  </si>
  <si>
    <t>(309) 444-9256</t>
  </si>
  <si>
    <t>Koch Consultants, Ltd.</t>
  </si>
  <si>
    <t>Nathan D. Koch</t>
  </si>
  <si>
    <t>PO Box 1400</t>
  </si>
  <si>
    <t>Tremont</t>
  </si>
  <si>
    <t>IL</t>
  </si>
  <si>
    <t>(309) 267-3796</t>
  </si>
  <si>
    <t>(309) 216-3796</t>
  </si>
  <si>
    <t>065.027018</t>
  </si>
  <si>
    <t>nate@kochconsultants.com</t>
  </si>
  <si>
    <t xml:space="preserve">As described more fully in Note 1, the District has prepared these financial statements using accounting practices prescribed or permitted by the Illinois State Board of Education, which practices differ from accounting principles generally accepted in the United States of America. The effects on the financial statements of the variances between these regulatory accounting practices and accounting principles generally accepted in the United States of America, although not reasonably determinable, are presumed to be material.  </t>
  </si>
  <si>
    <t>2009 Bond Issue</t>
  </si>
  <si>
    <t>2011 Bond Issue</t>
  </si>
  <si>
    <t>2013 Bond Issue</t>
  </si>
  <si>
    <t>2016 Bond Issue</t>
  </si>
  <si>
    <t>2018 A Bond Issue</t>
  </si>
  <si>
    <t>2018 B Bond Issue</t>
  </si>
  <si>
    <t>20-2540-300</t>
  </si>
  <si>
    <t>Gabberts Cleaning</t>
  </si>
  <si>
    <t>O&amp;M - O &amp; M of Plant Svcs - Purchased Services</t>
  </si>
  <si>
    <t>Five Points Washington</t>
  </si>
  <si>
    <t>Washington Area CC</t>
  </si>
  <si>
    <t>TR - Pupil Transportation Svcs - Purchased Services</t>
  </si>
  <si>
    <t>40-2550-300</t>
  </si>
  <si>
    <t>Allen Transportation Services, Inc.</t>
  </si>
  <si>
    <t>Santander Leasing LLC</t>
  </si>
  <si>
    <t>Tazewell-Mason Counties Spec. Ed Assoc., Washington Districts #50, #51, and #52</t>
  </si>
  <si>
    <t>Midwest Transit Equipment</t>
  </si>
  <si>
    <t>20-2540-400</t>
  </si>
  <si>
    <t>O&amp;M - O &amp; M of Plant Svcs - Supplies</t>
  </si>
  <si>
    <t>Vanguard Energy Serv. LLC</t>
  </si>
  <si>
    <t>10-2540-300</t>
  </si>
  <si>
    <t>MTCO</t>
  </si>
  <si>
    <t>ED - O &amp; M of Plant Svcs - Purchased Services</t>
  </si>
  <si>
    <t>Segregation of accounting duties is key to internal controls and is considered good business practice.</t>
  </si>
  <si>
    <t>This situation was noted while obtaining an understanding of the District's internal control.</t>
  </si>
  <si>
    <t>This condition increases the possibility that errors or irregularities may occur and not be detected on a timely basis.</t>
  </si>
  <si>
    <t>Limited resources of the District do not provide for enough accounting employees to ideally segregate all accounting duties particularly when one or more employees are out of the office.</t>
  </si>
  <si>
    <t>The District attempts to segregate duties as much as possible with the limited number of individuals the District employs in these roles.  Administration carefully reviews the financial activity and position of the District on an ongoing and regular basis.  Additionally, Administration evaluates areas where lack of ideal segregation of duties has been identified to determine if those duties could be better segregated within the District's current resources or if other procedures/reviews could be added to mitigate the risk this lack of ideal segregation of duties presents.</t>
  </si>
  <si>
    <t>In most cases the District has taken steps to separate accounting duties among multiple individuals.  However, in some cases involving the receipt and/or disbursement of funds and related accounting activities, duties have not been ideally segregated.  Further, in areas where ideal segregation of duties normally exists, employees have the  ability and the access to perform additional duties in case of the absences of other employees or in order to expedite transactions.  These additional abilities and access present an situation where existing controls can be overridden.</t>
  </si>
  <si>
    <t xml:space="preserve">We recognize that given the District's size and number of people involved that in may not be possible to achieve an ideal segregation of duties in all situations.  We recommend that the District continue to review areas where duties are not ideally segregated and determine if duties can be better segregated or if additional reviews can be added to mitigate the risks posed by the lack of ideal segregation of duties.  When additional reviews are added, if possible, the individual performing the review should have familiarity and understanding of the items being reviewed.  Further, it may be beneficial to develop a checklist or other tracking system to ensure that all established reviews and approvals have been performed or can be followed up on when an absent employee returns.  In addition, Administration and the Board's close oversight and review of accounting information is an important means of preventing and detecting errors and irregularities when this condition is present. </t>
  </si>
  <si>
    <t>Page 10, line 74, account 1690 - Other Food Service</t>
  </si>
  <si>
    <t>Vending income</t>
  </si>
  <si>
    <t>Food service provided for meetings and events</t>
  </si>
  <si>
    <t>Miscellaneous</t>
  </si>
  <si>
    <t>Page 10, line 92, account 1890 - Other Textbook Income</t>
  </si>
  <si>
    <t>Reimbursement for lost textbooks</t>
  </si>
  <si>
    <t>AP testing revenue</t>
  </si>
  <si>
    <t>Page 11, line 106, account 1993 - Other Local Fees</t>
  </si>
  <si>
    <t>Page 11, line 107, account 1999 - Other Local Revenues</t>
  </si>
  <si>
    <t>Other reimbursements (Educational Fund)</t>
  </si>
  <si>
    <t>Energy efficiency program rebate</t>
  </si>
  <si>
    <t>Sale of scrap metal and other</t>
  </si>
  <si>
    <t>Operations and Maintenance Fund</t>
  </si>
  <si>
    <t>Page 12, line 171, account 3999 - Other Restricted Revenue from State Sources</t>
  </si>
  <si>
    <t>STEP grant</t>
  </si>
  <si>
    <t>Library grants</t>
  </si>
  <si>
    <t>Page 16, line 73, account 2900 - Other Support Services</t>
  </si>
  <si>
    <t>School Newspaper</t>
  </si>
  <si>
    <t>Speech Team</t>
  </si>
  <si>
    <t>ID cards</t>
  </si>
  <si>
    <t>Graduation</t>
  </si>
  <si>
    <t>Uniforms</t>
  </si>
  <si>
    <t>Community Services - Other</t>
  </si>
  <si>
    <t>Page 18, line 171, account 5400 - Debt Services Other</t>
  </si>
  <si>
    <t>Bond Paying Agent Fees</t>
  </si>
  <si>
    <t>Page 24, line 31, 32, and 49 - any differences describe and itemize</t>
  </si>
  <si>
    <t>Debt defeased through the issuance of refunding bonds</t>
  </si>
  <si>
    <t>Page 8, line 75, account 8990 - Other Uses not Classified Elsewhere</t>
  </si>
  <si>
    <t>Bond issuance costs</t>
  </si>
  <si>
    <t>Transferred to escrow for debt defeasance</t>
  </si>
  <si>
    <t>2017-001</t>
  </si>
  <si>
    <t>Unresolved- see Finding 2018-001</t>
  </si>
  <si>
    <t xml:space="preserve">In most cases the District has taken steps to separate accounting duties among multiple individuals.  However, in some cases involving the receipt and disbursement of funds, duties have not been ideally segregated.  Further, in areas where ideal segregation of duties normally exists, employees have the ability and access to perform additional duties in case of the absence of other employees or in order to expedite transactions.  These additional abilities and access present a situation where existing controls can be overridden.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</si>
</sst>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181" fontId="56" fillId="0" borderId="0" xfId="1" applyNumberFormat="1" applyFont="1"/>
    <xf numFmtId="182" fontId="56" fillId="0" borderId="0" xfId="19" applyNumberFormat="1" applyFont="1"/>
    <xf numFmtId="182" fontId="56" fillId="0" borderId="166" xfId="0" applyNumberFormat="1" applyFont="1" applyBorder="1"/>
    <xf numFmtId="182" fontId="56" fillId="0" borderId="166" xfId="19" applyNumberFormat="1" applyFont="1" applyBorder="1"/>
    <xf numFmtId="182" fontId="56" fillId="0" borderId="0" xfId="0"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F069205D-72AE-4202-BCBA-BA68BED17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193A13E3-E515-454A-BC77-64C5B0DC1DA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42</xdr:row>
      <xdr:rowOff>0</xdr:rowOff>
    </xdr:from>
    <xdr:to>
      <xdr:col>2</xdr:col>
      <xdr:colOff>76200</xdr:colOff>
      <xdr:row>43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2077</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t="s">
        <v>2077</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4">
        <v>53090308016</v>
      </c>
      <c r="B13" s="2045"/>
      <c r="C13" s="2045"/>
      <c r="D13" s="2045"/>
      <c r="E13" s="2045"/>
      <c r="F13" s="2045"/>
      <c r="G13" s="2045"/>
      <c r="H13" s="2046"/>
      <c r="I13" s="31"/>
      <c r="J13" s="30"/>
      <c r="K13" s="28"/>
      <c r="L13" s="30"/>
      <c r="M13" s="30"/>
      <c r="N13" s="30"/>
      <c r="O13" s="30"/>
      <c r="P13" s="30"/>
      <c r="Q13" s="30"/>
      <c r="R13" s="30"/>
      <c r="S13" s="30"/>
      <c r="T13" s="2049" t="s">
        <v>2087</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2078</v>
      </c>
      <c r="B15" s="2047"/>
      <c r="C15" s="2047"/>
      <c r="D15" s="2047"/>
      <c r="E15" s="2047"/>
      <c r="F15" s="2047"/>
      <c r="G15" s="2047"/>
      <c r="H15" s="2048"/>
      <c r="T15" s="2053" t="s">
        <v>2088</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2079</v>
      </c>
      <c r="B17" s="2004"/>
      <c r="C17" s="2004"/>
      <c r="D17" s="2004"/>
      <c r="E17" s="2004"/>
      <c r="F17" s="2004"/>
      <c r="G17" s="2004"/>
      <c r="H17" s="2029"/>
      <c r="T17" s="2060" t="s">
        <v>2089</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2080</v>
      </c>
      <c r="B19" s="1989"/>
      <c r="C19" s="1989"/>
      <c r="D19" s="1989"/>
      <c r="E19" s="1989"/>
      <c r="F19" s="1989"/>
      <c r="G19" s="1989"/>
      <c r="H19" s="1969"/>
      <c r="I19" s="30"/>
      <c r="J19" s="99"/>
      <c r="K19" s="40"/>
      <c r="L19" s="38"/>
      <c r="M19" s="112" t="s">
        <v>333</v>
      </c>
      <c r="P19" s="27"/>
      <c r="Q19" s="27"/>
      <c r="R19" s="27"/>
      <c r="S19" s="31"/>
      <c r="T19" s="2043" t="s">
        <v>2090</v>
      </c>
      <c r="U19" s="1968"/>
      <c r="V19" s="1968"/>
      <c r="W19" s="1969"/>
      <c r="X19" s="2058" t="s">
        <v>2091</v>
      </c>
      <c r="Y19" s="2059"/>
      <c r="Z19" s="2056">
        <v>61568</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2081</v>
      </c>
      <c r="B21" s="1968"/>
      <c r="C21" s="1968"/>
      <c r="D21" s="1968"/>
      <c r="E21" s="1968"/>
      <c r="F21" s="1968"/>
      <c r="G21" s="1968"/>
      <c r="H21" s="1969"/>
      <c r="I21" s="2023" t="s">
        <v>699</v>
      </c>
      <c r="J21" s="2018"/>
      <c r="K21" s="2018"/>
      <c r="L21" s="2018"/>
      <c r="M21" s="2018"/>
      <c r="N21" s="2018"/>
      <c r="O21" s="2018"/>
      <c r="P21" s="2018"/>
      <c r="Q21" s="2018"/>
      <c r="R21" s="2018"/>
      <c r="S21" s="2024"/>
      <c r="T21" s="2068" t="s">
        <v>2092</v>
      </c>
      <c r="U21" s="2069"/>
      <c r="V21" s="2069"/>
      <c r="W21" s="2069"/>
      <c r="X21" s="2074" t="s">
        <v>2093</v>
      </c>
      <c r="Y21" s="2075"/>
      <c r="Z21" s="2075"/>
      <c r="AA21" s="2076"/>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c r="B23" s="2021"/>
      <c r="C23" s="2021"/>
      <c r="D23" s="2021"/>
      <c r="E23" s="2021"/>
      <c r="F23" s="2021"/>
      <c r="G23" s="2021"/>
      <c r="H23" s="2022"/>
      <c r="T23" s="2066" t="s">
        <v>2094</v>
      </c>
      <c r="U23" s="2067"/>
      <c r="V23" s="2067"/>
      <c r="W23" s="2067"/>
      <c r="X23" s="2071">
        <v>44469</v>
      </c>
      <c r="Y23" s="2072"/>
      <c r="Z23" s="2072"/>
      <c r="AA23" s="2073"/>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t="s">
        <v>2082</v>
      </c>
      <c r="B25" s="1968"/>
      <c r="C25" s="1968"/>
      <c r="D25" s="1968"/>
      <c r="E25" s="1968"/>
      <c r="F25" s="1968"/>
      <c r="G25" s="1968"/>
      <c r="H25" s="1969"/>
      <c r="I25" s="113"/>
      <c r="J25" s="1992"/>
      <c r="K25" s="1992"/>
      <c r="L25" s="1992"/>
      <c r="M25" s="1992"/>
      <c r="N25" s="1992"/>
      <c r="O25" s="1992"/>
      <c r="P25" s="1992"/>
      <c r="Q25" s="1992"/>
      <c r="R25" s="1992"/>
      <c r="S25" s="1993"/>
      <c r="T25" s="2063" t="s">
        <v>2095</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2083</v>
      </c>
      <c r="B38" s="2004"/>
      <c r="C38" s="2004"/>
      <c r="D38" s="2004"/>
      <c r="E38" s="2004"/>
      <c r="F38" s="1968"/>
      <c r="G38" s="1968"/>
      <c r="H38" s="1969"/>
      <c r="I38" s="1996"/>
      <c r="J38" s="1997"/>
      <c r="K38" s="1997"/>
      <c r="L38" s="1997"/>
      <c r="M38" s="1997"/>
      <c r="N38" s="1997"/>
      <c r="O38" s="1997"/>
      <c r="P38" s="1998"/>
      <c r="Q38" s="1998"/>
      <c r="R38" s="1998"/>
      <c r="S38" s="1999"/>
      <c r="T38" s="2053"/>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2084</v>
      </c>
      <c r="B40" s="1982"/>
      <c r="C40" s="1983"/>
      <c r="D40" s="1983"/>
      <c r="E40" s="1983"/>
      <c r="F40" s="1984"/>
      <c r="G40" s="1984"/>
      <c r="H40" s="1985"/>
      <c r="I40" s="2006"/>
      <c r="J40" s="2007"/>
      <c r="K40" s="2007"/>
      <c r="L40" s="2007"/>
      <c r="M40" s="2007"/>
      <c r="N40" s="2007"/>
      <c r="O40" s="2007"/>
      <c r="P40" s="2007"/>
      <c r="Q40" s="2007"/>
      <c r="R40" s="2007"/>
      <c r="S40" s="2008"/>
      <c r="T40" s="2006"/>
      <c r="U40" s="2070"/>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t="s">
        <v>2085</v>
      </c>
      <c r="B42" s="1987"/>
      <c r="C42" s="1988"/>
      <c r="D42" s="1986" t="s">
        <v>2086</v>
      </c>
      <c r="E42" s="1987"/>
      <c r="F42" s="1987"/>
      <c r="G42" s="1987"/>
      <c r="H42" s="1988"/>
      <c r="I42" s="1970"/>
      <c r="J42" s="1971"/>
      <c r="K42" s="1971"/>
      <c r="L42" s="1971"/>
      <c r="M42" s="1971"/>
      <c r="N42" s="1971"/>
      <c r="O42" s="1972"/>
      <c r="P42" s="2005"/>
      <c r="Q42" s="1971"/>
      <c r="R42" s="1971"/>
      <c r="S42" s="1972"/>
      <c r="T42" s="1970"/>
      <c r="U42" s="1971"/>
      <c r="V42" s="1971"/>
      <c r="W42" s="1972"/>
      <c r="X42" s="2005"/>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8" colorId="8" zoomScale="110" zoomScaleNormal="110" workbookViewId="0">
      <selection activeCell="A18" sqref="A1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0" t="s">
        <v>1905</v>
      </c>
      <c r="B2" s="1550" t="s">
        <v>2035</v>
      </c>
      <c r="C2" s="715" t="s">
        <v>1910</v>
      </c>
      <c r="D2" s="715" t="s">
        <v>1911</v>
      </c>
      <c r="E2" s="715" t="s">
        <v>1912</v>
      </c>
      <c r="F2" s="715" t="s">
        <v>1913</v>
      </c>
    </row>
    <row r="3" spans="1:6" ht="12" customHeight="1" x14ac:dyDescent="0.2">
      <c r="A3" s="2211"/>
      <c r="B3" s="1547"/>
      <c r="C3" s="1548"/>
      <c r="D3" s="1549" t="s">
        <v>274</v>
      </c>
      <c r="E3" s="1548"/>
      <c r="F3" s="1549" t="s">
        <v>275</v>
      </c>
    </row>
    <row r="4" spans="1:6" ht="13.7" customHeight="1" x14ac:dyDescent="0.2">
      <c r="A4" s="716" t="s">
        <v>1217</v>
      </c>
      <c r="B4" s="1771">
        <f>'Revenues 9-14'!C5</f>
        <v>8682277</v>
      </c>
      <c r="C4" s="1546"/>
      <c r="D4" s="1774">
        <f>B4-C4</f>
        <v>8682277</v>
      </c>
      <c r="E4" s="1546">
        <v>9134065</v>
      </c>
      <c r="F4" s="1774">
        <f>E4-C4</f>
        <v>9134065</v>
      </c>
    </row>
    <row r="5" spans="1:6" ht="13.7" customHeight="1" x14ac:dyDescent="0.2">
      <c r="A5" s="716" t="s">
        <v>925</v>
      </c>
      <c r="B5" s="1772">
        <f>'Revenues 9-14'!D5</f>
        <v>1973353</v>
      </c>
      <c r="C5" s="585"/>
      <c r="D5" s="1775">
        <f t="shared" ref="D5:D18" si="0">B5-C5</f>
        <v>1973353</v>
      </c>
      <c r="E5" s="585">
        <v>2085044</v>
      </c>
      <c r="F5" s="1775">
        <f>E5-C5</f>
        <v>2085044</v>
      </c>
    </row>
    <row r="6" spans="1:6" ht="13.7" customHeight="1" x14ac:dyDescent="0.2">
      <c r="A6" s="716" t="s">
        <v>431</v>
      </c>
      <c r="B6" s="1772">
        <f>'Revenues 9-14'!E5</f>
        <v>1252216</v>
      </c>
      <c r="C6" s="585"/>
      <c r="D6" s="1775">
        <f t="shared" si="0"/>
        <v>1252216</v>
      </c>
      <c r="E6" s="585">
        <v>1281908</v>
      </c>
      <c r="F6" s="1775">
        <f t="shared" ref="F6:F18" si="1">E6-C6</f>
        <v>1281908</v>
      </c>
    </row>
    <row r="7" spans="1:6" ht="13.7" customHeight="1" x14ac:dyDescent="0.2">
      <c r="A7" s="716" t="s">
        <v>157</v>
      </c>
      <c r="B7" s="1772">
        <f>'Revenues 9-14'!F5</f>
        <v>542713</v>
      </c>
      <c r="C7" s="585"/>
      <c r="D7" s="1775">
        <f t="shared" si="0"/>
        <v>542713</v>
      </c>
      <c r="E7" s="585">
        <v>561032</v>
      </c>
      <c r="F7" s="1775">
        <f t="shared" si="1"/>
        <v>561032</v>
      </c>
    </row>
    <row r="8" spans="1:6" ht="13.7" customHeight="1" x14ac:dyDescent="0.2">
      <c r="A8" s="716" t="s">
        <v>1241</v>
      </c>
      <c r="B8" s="1772">
        <f>'Revenues 9-14'!G5</f>
        <v>157905</v>
      </c>
      <c r="C8" s="585"/>
      <c r="D8" s="1775">
        <f t="shared" si="0"/>
        <v>157905</v>
      </c>
      <c r="E8" s="585">
        <v>158930</v>
      </c>
      <c r="F8" s="1775">
        <f t="shared" si="1"/>
        <v>158930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226956</v>
      </c>
      <c r="C10" s="585"/>
      <c r="D10" s="1775">
        <f t="shared" si="0"/>
        <v>226956</v>
      </c>
      <c r="E10" s="585">
        <v>198612</v>
      </c>
      <c r="F10" s="1775">
        <f t="shared" si="1"/>
        <v>198612</v>
      </c>
    </row>
    <row r="11" spans="1:6" x14ac:dyDescent="0.2">
      <c r="A11" s="716" t="s">
        <v>429</v>
      </c>
      <c r="B11" s="1772">
        <f>'Revenues 9-14'!J5</f>
        <v>78979</v>
      </c>
      <c r="C11" s="585"/>
      <c r="D11" s="1775">
        <f t="shared" si="0"/>
        <v>78979</v>
      </c>
      <c r="E11" s="585">
        <v>84394</v>
      </c>
      <c r="F11" s="1775">
        <f t="shared" si="1"/>
        <v>84394</v>
      </c>
    </row>
    <row r="12" spans="1:6" ht="13.7" customHeight="1" x14ac:dyDescent="0.2">
      <c r="A12" s="716" t="s">
        <v>159</v>
      </c>
      <c r="B12" s="1772">
        <f>'Revenues 9-14'!K5</f>
        <v>9929</v>
      </c>
      <c r="C12" s="585"/>
      <c r="D12" s="1775">
        <f t="shared" si="0"/>
        <v>9929</v>
      </c>
      <c r="E12" s="585">
        <v>9958</v>
      </c>
      <c r="F12" s="1775">
        <f t="shared" si="1"/>
        <v>9958</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118469</v>
      </c>
      <c r="C14" s="585"/>
      <c r="D14" s="1775">
        <f t="shared" si="0"/>
        <v>118469</v>
      </c>
      <c r="E14" s="585">
        <v>129105</v>
      </c>
      <c r="F14" s="1775">
        <f t="shared" si="1"/>
        <v>129105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177670</v>
      </c>
      <c r="C16" s="585"/>
      <c r="D16" s="1775">
        <f t="shared" si="0"/>
        <v>177670</v>
      </c>
      <c r="E16" s="585">
        <v>178746</v>
      </c>
      <c r="F16" s="1775">
        <f t="shared" si="1"/>
        <v>178746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13220467</v>
      </c>
      <c r="C19" s="1773">
        <f>SUM(C4:C18)</f>
        <v>0</v>
      </c>
      <c r="D19" s="1773">
        <f>SUM(D4:D18)</f>
        <v>13220467</v>
      </c>
      <c r="E19" s="1773">
        <f>SUM(E4:E18)</f>
        <v>13821794</v>
      </c>
      <c r="F19" s="1773">
        <f>SUM(F4:F18)</f>
        <v>13821794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39" sqref="A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650</v>
      </c>
      <c r="B1" s="2230"/>
      <c r="C1" s="722"/>
    </row>
    <row r="2" spans="1:7" ht="33.75" x14ac:dyDescent="0.2">
      <c r="A2" s="2237" t="s">
        <v>1905</v>
      </c>
      <c r="B2" s="2238"/>
      <c r="C2" s="1909" t="s">
        <v>2036</v>
      </c>
      <c r="D2" s="724" t="s">
        <v>2043</v>
      </c>
      <c r="E2" s="724" t="s">
        <v>2044</v>
      </c>
      <c r="F2" s="1909" t="s">
        <v>2037</v>
      </c>
    </row>
    <row r="3" spans="1:7" ht="15.75" customHeight="1" x14ac:dyDescent="0.2">
      <c r="A3" s="2239" t="s">
        <v>1176</v>
      </c>
      <c r="B3" s="2240"/>
      <c r="C3" s="2233"/>
      <c r="D3" s="2234"/>
      <c r="E3" s="2234"/>
      <c r="F3" s="2235"/>
    </row>
    <row r="4" spans="1:7" ht="12.75" customHeight="1" thickBot="1" x14ac:dyDescent="0.25">
      <c r="A4" s="2227" t="s">
        <v>651</v>
      </c>
      <c r="B4" s="2228"/>
      <c r="C4" s="581"/>
      <c r="D4" s="581"/>
      <c r="E4" s="581"/>
      <c r="F4" s="1777">
        <f>SUM(C4+D4)-E4</f>
        <v>0</v>
      </c>
    </row>
    <row r="5" spans="1:7" ht="15.75" customHeight="1" thickTop="1" x14ac:dyDescent="0.2">
      <c r="A5" s="2231" t="s">
        <v>1172</v>
      </c>
      <c r="B5" s="2226"/>
      <c r="C5" s="2220"/>
      <c r="D5" s="2221"/>
      <c r="E5" s="2221"/>
      <c r="F5" s="222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3" t="s">
        <v>652</v>
      </c>
      <c r="B15" s="2224"/>
      <c r="C15" s="1777">
        <f>SUM(C6:C14)</f>
        <v>0</v>
      </c>
      <c r="D15" s="1777">
        <f>SUM(D6:D14)</f>
        <v>0</v>
      </c>
      <c r="E15" s="1777">
        <f>SUM(E6:E14)</f>
        <v>0</v>
      </c>
      <c r="F15" s="1777">
        <f>SUM(F6:F14)</f>
        <v>0</v>
      </c>
      <c r="G15" s="552"/>
    </row>
    <row r="16" spans="1:7" s="202" customFormat="1" ht="15.75" customHeight="1" thickTop="1" x14ac:dyDescent="0.2">
      <c r="A16" s="2236" t="s">
        <v>1173</v>
      </c>
      <c r="B16" s="2226"/>
      <c r="C16" s="2220"/>
      <c r="D16" s="2221"/>
      <c r="E16" s="2221"/>
      <c r="F16" s="2222"/>
    </row>
    <row r="17" spans="1:11" ht="12.75" customHeight="1" thickBot="1" x14ac:dyDescent="0.25">
      <c r="A17" s="2218" t="s">
        <v>66</v>
      </c>
      <c r="B17" s="2219"/>
      <c r="C17" s="727"/>
      <c r="D17" s="585"/>
      <c r="E17" s="727"/>
      <c r="F17" s="1777">
        <f>SUM(C17+D17)-E17</f>
        <v>0</v>
      </c>
    </row>
    <row r="18" spans="1:11" ht="12.75" customHeight="1" thickTop="1" thickBot="1" x14ac:dyDescent="0.25">
      <c r="A18" s="2218" t="s">
        <v>6</v>
      </c>
      <c r="B18" s="2219"/>
      <c r="C18" s="727"/>
      <c r="D18" s="585"/>
      <c r="E18" s="727"/>
      <c r="F18" s="1777">
        <f>SUM(C18+D18)-E18</f>
        <v>0</v>
      </c>
    </row>
    <row r="19" spans="1:11" ht="12.75" customHeight="1" thickTop="1" thickBot="1" x14ac:dyDescent="0.25">
      <c r="A19" s="2218" t="s">
        <v>406</v>
      </c>
      <c r="B19" s="2219"/>
      <c r="C19" s="727"/>
      <c r="D19" s="585"/>
      <c r="E19" s="727"/>
      <c r="F19" s="1777">
        <f>SUM(C19+D19)-E19</f>
        <v>0</v>
      </c>
    </row>
    <row r="20" spans="1:11" ht="12.75" customHeight="1" thickTop="1" thickBot="1" x14ac:dyDescent="0.25">
      <c r="A20" s="2218" t="s">
        <v>468</v>
      </c>
      <c r="B20" s="2219"/>
      <c r="C20" s="727"/>
      <c r="D20" s="585"/>
      <c r="E20" s="727"/>
      <c r="F20" s="1777">
        <f>SUM(C20+D20)-E20</f>
        <v>0</v>
      </c>
    </row>
    <row r="21" spans="1:11" ht="14.25" thickTop="1" thickBot="1" x14ac:dyDescent="0.25">
      <c r="A21" s="2223" t="s">
        <v>653</v>
      </c>
      <c r="B21" s="2224"/>
      <c r="C21" s="1777">
        <f>SUM(C17:C20)</f>
        <v>0</v>
      </c>
      <c r="D21" s="1777">
        <f>SUM(D17:D20)</f>
        <v>0</v>
      </c>
      <c r="E21" s="1777">
        <f>SUM(E17:E20)</f>
        <v>0</v>
      </c>
      <c r="F21" s="1777">
        <f>SUM(F17:F20)</f>
        <v>0</v>
      </c>
      <c r="G21" s="552"/>
    </row>
    <row r="22" spans="1:11" ht="15.75" customHeight="1" thickTop="1" x14ac:dyDescent="0.2">
      <c r="A22" s="2225" t="s">
        <v>1174</v>
      </c>
      <c r="B22" s="2226"/>
      <c r="C22" s="2220"/>
      <c r="D22" s="2221"/>
      <c r="E22" s="2221"/>
      <c r="F22" s="2222"/>
    </row>
    <row r="23" spans="1:11" ht="13.5" thickBot="1" x14ac:dyDescent="0.25">
      <c r="A23" s="2227" t="s">
        <v>654</v>
      </c>
      <c r="B23" s="2228"/>
      <c r="C23" s="581"/>
      <c r="D23" s="581"/>
      <c r="E23" s="581"/>
      <c r="F23" s="1777">
        <f>SUM(C23+D23)-E23</f>
        <v>0</v>
      </c>
      <c r="G23" s="552"/>
    </row>
    <row r="24" spans="1:11" ht="15.75" customHeight="1" thickTop="1" x14ac:dyDescent="0.2">
      <c r="A24" s="2225" t="s">
        <v>1175</v>
      </c>
      <c r="B24" s="2226"/>
      <c r="C24" s="2220"/>
      <c r="D24" s="2221"/>
      <c r="E24" s="2221"/>
      <c r="F24" s="2222"/>
    </row>
    <row r="25" spans="1:11" ht="13.5" thickBot="1" x14ac:dyDescent="0.25">
      <c r="A25" s="2227" t="s">
        <v>655</v>
      </c>
      <c r="B25" s="2228"/>
      <c r="C25" s="581"/>
      <c r="D25" s="581"/>
      <c r="E25" s="581"/>
      <c r="F25" s="1777">
        <f>SUM(C25+D25)-E25</f>
        <v>0</v>
      </c>
      <c r="G25" s="552"/>
    </row>
    <row r="26" spans="1:11" ht="15.75" customHeight="1" thickTop="1" x14ac:dyDescent="0.2">
      <c r="A26" s="2231" t="s">
        <v>678</v>
      </c>
      <c r="B26" s="2226"/>
      <c r="C26" s="728"/>
      <c r="D26" s="728"/>
      <c r="E26" s="728"/>
      <c r="F26" s="729"/>
    </row>
    <row r="27" spans="1:11" ht="13.5" thickBot="1" x14ac:dyDescent="0.25">
      <c r="A27" s="2223" t="s">
        <v>1130</v>
      </c>
      <c r="B27" s="2224"/>
      <c r="C27" s="585"/>
      <c r="D27" s="585"/>
      <c r="E27" s="585"/>
      <c r="F27" s="1777">
        <f>SUM(C27+D27)-E27</f>
        <v>0</v>
      </c>
      <c r="G27" s="552"/>
    </row>
    <row r="28" spans="1:11" ht="7.5" customHeight="1" thickTop="1" x14ac:dyDescent="0.2">
      <c r="A28" s="594"/>
    </row>
    <row r="29" spans="1:11" ht="23.25" customHeight="1" x14ac:dyDescent="0.2">
      <c r="A29" s="2229" t="s">
        <v>603</v>
      </c>
      <c r="B29" s="2230"/>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2097</v>
      </c>
      <c r="B31" s="734">
        <v>40148</v>
      </c>
      <c r="C31" s="735">
        <v>3995000</v>
      </c>
      <c r="D31" s="736">
        <v>4</v>
      </c>
      <c r="E31" s="735">
        <v>1500000</v>
      </c>
      <c r="F31" s="735"/>
      <c r="G31" s="735">
        <v>-220000</v>
      </c>
      <c r="H31" s="735">
        <v>325000</v>
      </c>
      <c r="I31" s="1778">
        <f>((E31+F31)-H31)+G31</f>
        <v>955000</v>
      </c>
      <c r="J31" s="735">
        <v>923898</v>
      </c>
      <c r="K31" s="737"/>
    </row>
    <row r="32" spans="1:11" ht="12" customHeight="1" x14ac:dyDescent="0.2">
      <c r="A32" s="733" t="s">
        <v>2098</v>
      </c>
      <c r="B32" s="734">
        <v>40544</v>
      </c>
      <c r="C32" s="735">
        <v>10000000</v>
      </c>
      <c r="D32" s="736">
        <v>6</v>
      </c>
      <c r="E32" s="735">
        <v>1500000</v>
      </c>
      <c r="F32" s="735"/>
      <c r="G32" s="735">
        <v>-25000</v>
      </c>
      <c r="H32" s="735">
        <v>315000</v>
      </c>
      <c r="I32" s="1778">
        <f>((E32+F32)-H32)+G32</f>
        <v>1160000</v>
      </c>
      <c r="J32" s="735">
        <v>1160000</v>
      </c>
      <c r="K32" s="737"/>
    </row>
    <row r="33" spans="1:11" ht="12" customHeight="1" x14ac:dyDescent="0.2">
      <c r="A33" s="733" t="s">
        <v>2099</v>
      </c>
      <c r="B33" s="734">
        <v>41579</v>
      </c>
      <c r="C33" s="735">
        <v>4060000</v>
      </c>
      <c r="D33" s="736">
        <v>1</v>
      </c>
      <c r="E33" s="735">
        <v>4060000</v>
      </c>
      <c r="F33" s="735"/>
      <c r="G33" s="735"/>
      <c r="H33" s="735"/>
      <c r="I33" s="1778">
        <f t="shared" ref="I33:I48" si="1">((E33+F33)-H33)+G33</f>
        <v>4060000</v>
      </c>
      <c r="J33" s="735">
        <v>4060000</v>
      </c>
      <c r="K33" s="737"/>
    </row>
    <row r="34" spans="1:11" ht="12" customHeight="1" x14ac:dyDescent="0.2">
      <c r="A34" s="733" t="s">
        <v>2100</v>
      </c>
      <c r="B34" s="734">
        <v>42640</v>
      </c>
      <c r="C34" s="735">
        <v>9375000</v>
      </c>
      <c r="D34" s="736">
        <v>3</v>
      </c>
      <c r="E34" s="735">
        <v>9100000</v>
      </c>
      <c r="F34" s="735"/>
      <c r="G34" s="735"/>
      <c r="H34" s="735">
        <v>155000</v>
      </c>
      <c r="I34" s="1778">
        <f t="shared" si="1"/>
        <v>8945000</v>
      </c>
      <c r="J34" s="735">
        <v>8945000</v>
      </c>
      <c r="K34" s="738"/>
    </row>
    <row r="35" spans="1:11" ht="12" customHeight="1" x14ac:dyDescent="0.2">
      <c r="A35" s="733" t="s">
        <v>2101</v>
      </c>
      <c r="B35" s="734">
        <v>43216</v>
      </c>
      <c r="C35" s="739">
        <v>305000</v>
      </c>
      <c r="D35" s="736">
        <v>3</v>
      </c>
      <c r="E35" s="739"/>
      <c r="F35" s="739">
        <v>305000</v>
      </c>
      <c r="G35" s="739"/>
      <c r="H35" s="739"/>
      <c r="I35" s="1778">
        <f t="shared" si="1"/>
        <v>305000</v>
      </c>
      <c r="J35" s="739">
        <v>305000</v>
      </c>
      <c r="K35" s="738"/>
    </row>
    <row r="36" spans="1:11" ht="12" customHeight="1" x14ac:dyDescent="0.2">
      <c r="A36" s="733" t="s">
        <v>2102</v>
      </c>
      <c r="B36" s="734">
        <v>43216</v>
      </c>
      <c r="C36" s="735">
        <v>3500000</v>
      </c>
      <c r="D36" s="736">
        <v>1</v>
      </c>
      <c r="E36" s="735"/>
      <c r="F36" s="735">
        <v>3500000</v>
      </c>
      <c r="G36" s="735"/>
      <c r="H36" s="735"/>
      <c r="I36" s="1778">
        <f t="shared" si="1"/>
        <v>3500000</v>
      </c>
      <c r="J36" s="735">
        <v>3500000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31235000</v>
      </c>
      <c r="D49" s="746"/>
      <c r="E49" s="1778">
        <f t="shared" ref="E49:J49" si="2">SUM(E31:E48)</f>
        <v>16160000</v>
      </c>
      <c r="F49" s="1778">
        <f t="shared" si="2"/>
        <v>3805000</v>
      </c>
      <c r="G49" s="1778">
        <f t="shared" si="2"/>
        <v>-245000</v>
      </c>
      <c r="H49" s="1778">
        <f t="shared" si="2"/>
        <v>795000</v>
      </c>
      <c r="I49" s="1778">
        <f t="shared" si="2"/>
        <v>18925000</v>
      </c>
      <c r="J49" s="1778">
        <f t="shared" si="2"/>
        <v>18893898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2" t="s">
        <v>605</v>
      </c>
      <c r="C52" s="2213"/>
      <c r="D52" s="2213"/>
      <c r="E52" s="750" t="s">
        <v>900</v>
      </c>
      <c r="F52" s="2214"/>
      <c r="G52" s="2215"/>
      <c r="H52" s="737"/>
      <c r="I52" s="737"/>
      <c r="J52" s="747"/>
    </row>
    <row r="53" spans="1:11" ht="11.25" customHeight="1" x14ac:dyDescent="0.2">
      <c r="A53" s="751" t="s">
        <v>969</v>
      </c>
      <c r="B53" s="752" t="s">
        <v>1008</v>
      </c>
      <c r="C53" s="747"/>
      <c r="D53" s="738"/>
      <c r="E53" s="750" t="s">
        <v>518</v>
      </c>
      <c r="F53" s="2216"/>
      <c r="G53" s="2217"/>
      <c r="H53" s="737"/>
      <c r="I53" s="737"/>
      <c r="J53" s="747"/>
    </row>
    <row r="54" spans="1:11" ht="11.25" customHeight="1" x14ac:dyDescent="0.2">
      <c r="A54" s="753" t="s">
        <v>970</v>
      </c>
      <c r="B54" s="748" t="s">
        <v>1009</v>
      </c>
      <c r="C54" s="747"/>
      <c r="D54" s="738"/>
      <c r="E54" s="750" t="s">
        <v>519</v>
      </c>
      <c r="F54" s="2216"/>
      <c r="G54" s="221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2" sqref="A22:E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911</v>
      </c>
      <c r="B1" s="2242"/>
      <c r="C1" s="2242"/>
      <c r="D1" s="2242"/>
      <c r="E1" s="2242"/>
      <c r="F1" s="2242"/>
      <c r="G1" s="2243"/>
      <c r="H1" s="1552"/>
      <c r="I1" s="761"/>
      <c r="J1" s="433"/>
    </row>
    <row r="2" spans="1:11" ht="26.25" x14ac:dyDescent="0.2">
      <c r="A2" s="2260" t="s">
        <v>1776</v>
      </c>
      <c r="B2" s="2261"/>
      <c r="C2" s="2261"/>
      <c r="D2" s="2261"/>
      <c r="E2" s="2262"/>
      <c r="F2" s="762" t="s">
        <v>960</v>
      </c>
      <c r="G2" s="763" t="s">
        <v>1773</v>
      </c>
      <c r="H2" s="763" t="s">
        <v>430</v>
      </c>
      <c r="I2" s="763" t="s">
        <v>1220</v>
      </c>
      <c r="J2" s="763" t="s">
        <v>1919</v>
      </c>
      <c r="K2" s="763" t="s">
        <v>140</v>
      </c>
    </row>
    <row r="3" spans="1:11" x14ac:dyDescent="0.2">
      <c r="A3" s="2263" t="s">
        <v>1698</v>
      </c>
      <c r="B3" s="2264"/>
      <c r="C3" s="2264"/>
      <c r="D3" s="2264"/>
      <c r="E3" s="2265"/>
      <c r="F3" s="764"/>
      <c r="G3" s="765">
        <v>0</v>
      </c>
      <c r="H3" s="765">
        <v>0</v>
      </c>
      <c r="I3" s="765">
        <v>0</v>
      </c>
      <c r="J3" s="766">
        <v>0</v>
      </c>
      <c r="K3" s="766">
        <v>0</v>
      </c>
    </row>
    <row r="4" spans="1:11" x14ac:dyDescent="0.2">
      <c r="A4" s="2266" t="s">
        <v>387</v>
      </c>
      <c r="B4" s="2267"/>
      <c r="C4" s="2267"/>
      <c r="D4" s="2267"/>
      <c r="E4" s="2213"/>
      <c r="F4" s="767"/>
      <c r="G4" s="768"/>
      <c r="H4" s="769"/>
      <c r="I4" s="768"/>
      <c r="J4" s="770"/>
      <c r="K4" s="770"/>
    </row>
    <row r="5" spans="1:11" x14ac:dyDescent="0.2">
      <c r="A5" s="2244" t="s">
        <v>1129</v>
      </c>
      <c r="B5" s="2245"/>
      <c r="C5" s="2245"/>
      <c r="D5" s="2245"/>
      <c r="E5" s="2246"/>
      <c r="F5" s="771" t="s">
        <v>903</v>
      </c>
      <c r="G5" s="772"/>
      <c r="H5" s="765">
        <v>118469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14360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66588</v>
      </c>
    </row>
    <row r="10" spans="1:11" x14ac:dyDescent="0.2">
      <c r="A10" s="2244" t="s">
        <v>1920</v>
      </c>
      <c r="B10" s="2245"/>
      <c r="C10" s="2245"/>
      <c r="D10" s="2245"/>
      <c r="E10" s="2247"/>
      <c r="F10" s="784" t="s">
        <v>917</v>
      </c>
      <c r="G10" s="783"/>
      <c r="H10" s="785"/>
      <c r="I10" s="765"/>
      <c r="J10" s="766"/>
      <c r="K10" s="766"/>
    </row>
    <row r="11" spans="1:11" x14ac:dyDescent="0.2">
      <c r="A11" s="2244" t="s">
        <v>162</v>
      </c>
      <c r="B11" s="2245"/>
      <c r="C11" s="2245"/>
      <c r="D11" s="2245"/>
      <c r="E11" s="2246"/>
      <c r="F11" s="771" t="s">
        <v>907</v>
      </c>
      <c r="G11" s="772"/>
      <c r="H11" s="765"/>
      <c r="I11" s="765"/>
      <c r="J11" s="766"/>
      <c r="K11" s="774"/>
    </row>
    <row r="12" spans="1:11" ht="13.5" thickBot="1" x14ac:dyDescent="0.25">
      <c r="A12" s="2271" t="s">
        <v>961</v>
      </c>
      <c r="B12" s="2272"/>
      <c r="C12" s="2272"/>
      <c r="D12" s="2272"/>
      <c r="E12" s="2273"/>
      <c r="F12" s="1779"/>
      <c r="G12" s="1780">
        <f>SUM(G5:G11)</f>
        <v>0</v>
      </c>
      <c r="H12" s="1780">
        <f>SUM(H5:H11)</f>
        <v>118469</v>
      </c>
      <c r="I12" s="1780">
        <f>SUM(I5:I11)</f>
        <v>0</v>
      </c>
      <c r="J12" s="1780">
        <f>SUM(J5:J11)</f>
        <v>0</v>
      </c>
      <c r="K12" s="1780">
        <f>SUM(K5:K11)</f>
        <v>80948</v>
      </c>
    </row>
    <row r="13" spans="1:11" ht="13.5" thickTop="1" x14ac:dyDescent="0.2">
      <c r="A13" s="2268" t="s">
        <v>388</v>
      </c>
      <c r="B13" s="2269"/>
      <c r="C13" s="2269"/>
      <c r="D13" s="2269"/>
      <c r="E13" s="2270"/>
      <c r="F13" s="786"/>
      <c r="G13" s="787"/>
      <c r="H13" s="788"/>
      <c r="I13" s="789"/>
      <c r="J13" s="789"/>
      <c r="K13" s="789"/>
    </row>
    <row r="14" spans="1:11" x14ac:dyDescent="0.2">
      <c r="A14" s="2251" t="s">
        <v>476</v>
      </c>
      <c r="B14" s="2251"/>
      <c r="C14" s="2251"/>
      <c r="D14" s="2251"/>
      <c r="E14" s="2252"/>
      <c r="F14" s="790" t="s">
        <v>909</v>
      </c>
      <c r="G14" s="783"/>
      <c r="H14" s="765">
        <v>118469</v>
      </c>
      <c r="I14" s="772"/>
      <c r="J14" s="774"/>
      <c r="K14" s="766">
        <v>80948</v>
      </c>
    </row>
    <row r="15" spans="1:11" x14ac:dyDescent="0.2">
      <c r="A15" s="2245" t="s">
        <v>4</v>
      </c>
      <c r="B15" s="2245"/>
      <c r="C15" s="2245"/>
      <c r="D15" s="2245"/>
      <c r="E15" s="2246"/>
      <c r="F15" s="790" t="s">
        <v>910</v>
      </c>
      <c r="G15" s="772"/>
      <c r="H15" s="765"/>
      <c r="I15" s="765"/>
      <c r="J15" s="766"/>
      <c r="K15" s="766"/>
    </row>
    <row r="16" spans="1:11" x14ac:dyDescent="0.2">
      <c r="A16" s="2245" t="s">
        <v>316</v>
      </c>
      <c r="B16" s="2245"/>
      <c r="C16" s="2245"/>
      <c r="D16" s="2245"/>
      <c r="E16" s="2246"/>
      <c r="F16" s="790" t="s">
        <v>980</v>
      </c>
      <c r="G16" s="773"/>
      <c r="H16" s="768"/>
      <c r="I16" s="768"/>
      <c r="J16" s="770"/>
      <c r="K16" s="770"/>
    </row>
    <row r="17" spans="1:11" x14ac:dyDescent="0.2">
      <c r="A17" s="2276" t="s">
        <v>992</v>
      </c>
      <c r="B17" s="2276"/>
      <c r="C17" s="2276"/>
      <c r="D17" s="2276"/>
      <c r="E17" s="2277"/>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53" t="s">
        <v>1916</v>
      </c>
      <c r="B19" s="2253"/>
      <c r="C19" s="2253"/>
      <c r="D19" s="2253"/>
      <c r="E19" s="2254"/>
      <c r="F19" s="790" t="s">
        <v>990</v>
      </c>
      <c r="G19" s="783"/>
      <c r="H19" s="783"/>
      <c r="I19" s="783"/>
      <c r="J19" s="766"/>
      <c r="K19" s="796"/>
    </row>
    <row r="20" spans="1:11" x14ac:dyDescent="0.2">
      <c r="A20" s="2255" t="s">
        <v>1921</v>
      </c>
      <c r="B20" s="2256"/>
      <c r="C20" s="2256"/>
      <c r="D20" s="2256"/>
      <c r="E20" s="2257"/>
      <c r="F20" s="790" t="s">
        <v>991</v>
      </c>
      <c r="G20" s="783"/>
      <c r="H20" s="783"/>
      <c r="I20" s="783"/>
      <c r="J20" s="766"/>
      <c r="K20" s="796"/>
    </row>
    <row r="21" spans="1:11" ht="13.5" thickBot="1" x14ac:dyDescent="0.25">
      <c r="A21" s="2274" t="s">
        <v>659</v>
      </c>
      <c r="B21" s="2274"/>
      <c r="C21" s="2274"/>
      <c r="D21" s="2274"/>
      <c r="E21" s="2274"/>
      <c r="F21" s="1781"/>
      <c r="G21" s="793"/>
      <c r="H21" s="797"/>
      <c r="I21" s="797"/>
      <c r="J21" s="1782">
        <f>SUM(J18:J20)</f>
        <v>0</v>
      </c>
      <c r="K21" s="794"/>
    </row>
    <row r="22" spans="1:11" ht="13.5" thickTop="1" x14ac:dyDescent="0.2">
      <c r="A22" s="2245" t="s">
        <v>1922</v>
      </c>
      <c r="B22" s="2245"/>
      <c r="C22" s="2245"/>
      <c r="D22" s="2245"/>
      <c r="E22" s="2246"/>
      <c r="F22" s="790" t="s">
        <v>917</v>
      </c>
      <c r="G22" s="783"/>
      <c r="H22" s="765"/>
      <c r="I22" s="765"/>
      <c r="J22" s="798"/>
      <c r="K22" s="766"/>
    </row>
    <row r="23" spans="1:11" ht="13.5" thickBot="1" x14ac:dyDescent="0.25">
      <c r="A23" s="2275" t="s">
        <v>962</v>
      </c>
      <c r="B23" s="2274"/>
      <c r="C23" s="2274"/>
      <c r="D23" s="2274"/>
      <c r="E23" s="2274"/>
      <c r="F23" s="1783"/>
      <c r="G23" s="1780">
        <f>SUM(G14:G16,G21,G22)</f>
        <v>0</v>
      </c>
      <c r="H23" s="1780">
        <f>SUM(H14:H16,H21,H22)</f>
        <v>118469</v>
      </c>
      <c r="I23" s="1780">
        <f>SUM(I14:I16,I21,I22)</f>
        <v>0</v>
      </c>
      <c r="J23" s="1780">
        <f>SUM(J14:J16,J21,J22)</f>
        <v>0</v>
      </c>
      <c r="K23" s="1780">
        <f>SUM(K14:K16,K21,K22)</f>
        <v>80948</v>
      </c>
    </row>
    <row r="24" spans="1:11" ht="14.25" thickTop="1" thickBot="1" x14ac:dyDescent="0.25">
      <c r="A24" s="2275" t="s">
        <v>2024</v>
      </c>
      <c r="B24" s="2274"/>
      <c r="C24" s="2274"/>
      <c r="D24" s="2274"/>
      <c r="E24" s="227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8"/>
      <c r="I31" s="2249"/>
      <c r="J31" s="2249"/>
      <c r="K31" s="2249"/>
    </row>
    <row r="32" spans="1:11" x14ac:dyDescent="0.2">
      <c r="A32" s="810"/>
      <c r="B32" s="237"/>
      <c r="C32" s="237"/>
      <c r="D32" s="237"/>
      <c r="E32" s="806"/>
      <c r="F32" s="812" t="s">
        <v>561</v>
      </c>
      <c r="G32" s="765"/>
      <c r="H32" s="2250"/>
      <c r="I32" s="2249"/>
      <c r="J32" s="2249"/>
      <c r="K32" s="2249"/>
    </row>
    <row r="33" spans="1:11" ht="1.5" customHeight="1" x14ac:dyDescent="0.2">
      <c r="A33" s="813" t="s">
        <v>1231</v>
      </c>
      <c r="B33" s="364"/>
      <c r="C33" s="364"/>
      <c r="D33" s="364"/>
      <c r="E33" s="364"/>
      <c r="F33" s="364"/>
      <c r="G33" s="814"/>
      <c r="H33" s="2250"/>
      <c r="I33" s="2249"/>
      <c r="J33" s="2249"/>
      <c r="K33" s="224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58"/>
      <c r="C41" s="2258"/>
      <c r="D41" s="2258"/>
      <c r="E41" s="2258"/>
      <c r="F41" s="225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2033</v>
      </c>
      <c r="B1" s="2281"/>
      <c r="C1" s="2282"/>
      <c r="D1" s="827"/>
      <c r="E1" s="828"/>
      <c r="F1" s="828"/>
      <c r="G1" s="829"/>
      <c r="H1" s="830"/>
      <c r="I1" s="831"/>
      <c r="J1" s="2278"/>
      <c r="K1" s="2279"/>
      <c r="L1" s="227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434584</v>
      </c>
      <c r="D5" s="842"/>
      <c r="E5" s="842"/>
      <c r="F5" s="1782">
        <f>(C5+D5)-E5</f>
        <v>434584</v>
      </c>
      <c r="G5" s="838"/>
      <c r="H5" s="843"/>
      <c r="I5" s="843"/>
      <c r="J5" s="843"/>
      <c r="K5" s="794"/>
      <c r="L5" s="1791">
        <f>F5-K5</f>
        <v>434584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8027498</v>
      </c>
      <c r="D8" s="845"/>
      <c r="E8" s="845"/>
      <c r="F8" s="1782">
        <f>(C8+D8)-E8</f>
        <v>8027498</v>
      </c>
      <c r="G8" s="844">
        <v>50</v>
      </c>
      <c r="H8" s="766">
        <v>5783045</v>
      </c>
      <c r="I8" s="766">
        <v>160550</v>
      </c>
      <c r="J8" s="766"/>
      <c r="K8" s="1791">
        <f>(H8+I8)-J8</f>
        <v>5943595</v>
      </c>
      <c r="L8" s="1791">
        <f>F8-K8</f>
        <v>2083903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22980606</v>
      </c>
      <c r="D10" s="847">
        <v>413933</v>
      </c>
      <c r="E10" s="847"/>
      <c r="F10" s="1786">
        <f>(C10+D10)-E10</f>
        <v>23394539</v>
      </c>
      <c r="G10" s="844">
        <v>20</v>
      </c>
      <c r="H10" s="848">
        <v>6105954</v>
      </c>
      <c r="I10" s="848">
        <v>1141726</v>
      </c>
      <c r="J10" s="848"/>
      <c r="K10" s="1791">
        <f>(H10+I10)-J10</f>
        <v>7247680</v>
      </c>
      <c r="L10" s="1791">
        <f>F10-K10</f>
        <v>16146859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2692451</v>
      </c>
      <c r="D12" s="845">
        <v>258011</v>
      </c>
      <c r="E12" s="845">
        <v>262150</v>
      </c>
      <c r="F12" s="1782">
        <f>(C12+D12)-E12</f>
        <v>2688312</v>
      </c>
      <c r="G12" s="844">
        <v>10</v>
      </c>
      <c r="H12" s="766">
        <v>1655818</v>
      </c>
      <c r="I12" s="766">
        <f>262423+6410</f>
        <v>268833</v>
      </c>
      <c r="J12" s="766">
        <v>262150</v>
      </c>
      <c r="K12" s="1791">
        <f>(H12+I12)-J12</f>
        <v>1662501</v>
      </c>
      <c r="L12" s="1791">
        <f>F12-K12</f>
        <v>1025811</v>
      </c>
    </row>
    <row r="13" spans="1:14" ht="14.25" thickTop="1" thickBot="1" x14ac:dyDescent="0.25">
      <c r="A13" s="849" t="s">
        <v>1184</v>
      </c>
      <c r="B13" s="841">
        <v>252</v>
      </c>
      <c r="C13" s="845">
        <v>61143</v>
      </c>
      <c r="D13" s="845"/>
      <c r="E13" s="845">
        <v>8699</v>
      </c>
      <c r="F13" s="1782">
        <f>(C13+D13)-E13</f>
        <v>52444</v>
      </c>
      <c r="G13" s="844">
        <v>5</v>
      </c>
      <c r="H13" s="766">
        <v>50958</v>
      </c>
      <c r="I13" s="766">
        <v>877</v>
      </c>
      <c r="J13" s="766">
        <v>8699</v>
      </c>
      <c r="K13" s="1791">
        <f>(H13+I13)-J13</f>
        <v>43136</v>
      </c>
      <c r="L13" s="1791">
        <f>F13-K13</f>
        <v>9308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34196282</v>
      </c>
      <c r="D16" s="1782">
        <f>SUM(D3,D5:D6,D8:D10,D12:D15)</f>
        <v>671944</v>
      </c>
      <c r="E16" s="1782">
        <f>SUM(E3,E5:E6,E8:E10,E12:E15)</f>
        <v>270849</v>
      </c>
      <c r="F16" s="1782">
        <f>SUM(F3,F5:F6,F8:F10,F12:F15)</f>
        <v>34597377</v>
      </c>
      <c r="G16" s="844"/>
      <c r="H16" s="1782">
        <f>SUM(H3,H6,H8:H10,H12:H14,)</f>
        <v>13595775</v>
      </c>
      <c r="I16" s="1782">
        <f>SUM(I3,I6,I8:I10,I12:I14,)</f>
        <v>1571986</v>
      </c>
      <c r="J16" s="1782">
        <f>SUM(J3,J6,J8:J10,J12:J14,)</f>
        <v>270849</v>
      </c>
      <c r="K16" s="1782">
        <f>(H16+I16)-J16</f>
        <v>14896912</v>
      </c>
      <c r="L16" s="1782">
        <f>F16-K16</f>
        <v>19700465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1571986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13776168</v>
      </c>
      <c r="G8" s="866"/>
    </row>
    <row r="9" spans="1:7" x14ac:dyDescent="0.2">
      <c r="A9" s="870" t="s">
        <v>480</v>
      </c>
      <c r="B9" s="871" t="s">
        <v>1988</v>
      </c>
      <c r="C9" s="872"/>
      <c r="D9" s="870" t="s">
        <v>522</v>
      </c>
      <c r="E9" s="869"/>
      <c r="F9" s="1935">
        <f>'Expenditures 15-22'!K151</f>
        <v>1630635</v>
      </c>
      <c r="G9" s="873"/>
    </row>
    <row r="10" spans="1:7" x14ac:dyDescent="0.2">
      <c r="A10" s="870" t="s">
        <v>520</v>
      </c>
      <c r="B10" s="871" t="s">
        <v>1989</v>
      </c>
      <c r="C10" s="872"/>
      <c r="D10" s="870" t="s">
        <v>522</v>
      </c>
      <c r="E10" s="869"/>
      <c r="F10" s="1935">
        <f>'Expenditures 15-22'!K174</f>
        <v>1247475</v>
      </c>
      <c r="G10" s="873"/>
    </row>
    <row r="11" spans="1:7" x14ac:dyDescent="0.2">
      <c r="A11" s="870" t="s">
        <v>481</v>
      </c>
      <c r="B11" s="871" t="s">
        <v>1990</v>
      </c>
      <c r="C11" s="872"/>
      <c r="D11" s="870" t="s">
        <v>522</v>
      </c>
      <c r="E11" s="869"/>
      <c r="F11" s="1935">
        <f>'Expenditures 15-22'!K210</f>
        <v>500029</v>
      </c>
      <c r="G11" s="873"/>
    </row>
    <row r="12" spans="1:7" x14ac:dyDescent="0.2">
      <c r="A12" s="870" t="s">
        <v>482</v>
      </c>
      <c r="B12" s="871" t="s">
        <v>1991</v>
      </c>
      <c r="C12" s="872"/>
      <c r="D12" s="870" t="s">
        <v>522</v>
      </c>
      <c r="E12" s="869"/>
      <c r="F12" s="1935">
        <f>'Expenditures 15-22'!K295</f>
        <v>416107</v>
      </c>
      <c r="G12" s="873"/>
    </row>
    <row r="13" spans="1:7" x14ac:dyDescent="0.2">
      <c r="A13" s="870" t="s">
        <v>108</v>
      </c>
      <c r="B13" s="871" t="s">
        <v>1992</v>
      </c>
      <c r="C13" s="872"/>
      <c r="D13" s="870" t="s">
        <v>522</v>
      </c>
      <c r="E13" s="869"/>
      <c r="F13" s="1935">
        <f>'Expenditures 15-22'!K342</f>
        <v>64679</v>
      </c>
      <c r="G13" s="874"/>
    </row>
    <row r="14" spans="1:7" ht="12" customHeight="1" thickBot="1" x14ac:dyDescent="0.25">
      <c r="A14" s="1792"/>
      <c r="B14" s="1793"/>
      <c r="C14" s="1794"/>
      <c r="D14" s="1795" t="s">
        <v>522</v>
      </c>
      <c r="E14" s="1796" t="s">
        <v>1015</v>
      </c>
      <c r="F14" s="1797">
        <f>SUM(F8:F13)</f>
        <v>17635093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25742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133339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315266</v>
      </c>
      <c r="G53" s="866"/>
    </row>
    <row r="54" spans="1:7" x14ac:dyDescent="0.2">
      <c r="A54" s="870" t="s">
        <v>479</v>
      </c>
      <c r="B54" s="870" t="s">
        <v>1552</v>
      </c>
      <c r="C54" s="890" t="s">
        <v>1039</v>
      </c>
      <c r="D54" s="886" t="s">
        <v>1157</v>
      </c>
      <c r="E54" s="869"/>
      <c r="F54" s="1939">
        <f>'Expenditures 15-22'!G114</f>
        <v>201055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470890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795000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338</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1941630</v>
      </c>
      <c r="G76" s="866"/>
    </row>
    <row r="77" spans="1:8" s="894" customFormat="1" ht="12" customHeight="1" thickTop="1" thickBot="1" x14ac:dyDescent="0.25">
      <c r="A77" s="1801"/>
      <c r="B77" s="1798"/>
      <c r="C77" s="1794"/>
      <c r="D77" s="1799" t="s">
        <v>2011</v>
      </c>
      <c r="E77" s="1796"/>
      <c r="F77" s="1802">
        <f>(F14-F76)</f>
        <v>15693463</v>
      </c>
      <c r="G77" s="870"/>
    </row>
    <row r="78" spans="1:8" s="894" customFormat="1" ht="12" customHeight="1" thickTop="1" x14ac:dyDescent="0.2">
      <c r="A78" s="1803"/>
      <c r="B78" s="1798"/>
      <c r="C78" s="1794"/>
      <c r="D78" s="1799" t="s">
        <v>2057</v>
      </c>
      <c r="E78" s="1796"/>
      <c r="F78" s="899">
        <v>1207.78</v>
      </c>
      <c r="G78" s="900"/>
      <c r="H78" s="870"/>
    </row>
    <row r="79" spans="1:8" s="894" customFormat="1" ht="12" customHeight="1" thickBot="1" x14ac:dyDescent="0.25">
      <c r="A79" s="1804"/>
      <c r="B79" s="1798"/>
      <c r="C79" s="1794"/>
      <c r="D79" s="1799" t="s">
        <v>2012</v>
      </c>
      <c r="E79" s="1796" t="s">
        <v>1015</v>
      </c>
      <c r="F79" s="1805">
        <f>IF(F78&gt;0,F77/F78," Complete Line 78")</f>
        <v>12993.643709947177</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564735</v>
      </c>
      <c r="G94" s="913"/>
    </row>
    <row r="95" spans="1:7" x14ac:dyDescent="0.2">
      <c r="A95" s="909" t="s">
        <v>142</v>
      </c>
      <c r="B95" s="909" t="s">
        <v>177</v>
      </c>
      <c r="C95" s="911">
        <v>1700</v>
      </c>
      <c r="D95" s="919" t="str">
        <f>'Revenues 9-14'!A82</f>
        <v>Total District/School Activity Income</v>
      </c>
      <c r="E95" s="907"/>
      <c r="F95" s="1811">
        <f>SUM('Revenues 9-14'!C82,'Revenues 9-14'!D82)</f>
        <v>72224</v>
      </c>
      <c r="G95" s="913"/>
    </row>
    <row r="96" spans="1:7" x14ac:dyDescent="0.2">
      <c r="A96" s="909" t="s">
        <v>479</v>
      </c>
      <c r="B96" s="909" t="s">
        <v>178</v>
      </c>
      <c r="C96" s="911">
        <f>'Revenues 9-14'!B84</f>
        <v>1811</v>
      </c>
      <c r="D96" s="912" t="str">
        <f>'Revenues 9-14'!A84</f>
        <v>Rentals - Regular Textbooks</v>
      </c>
      <c r="E96" s="907"/>
      <c r="F96" s="1811">
        <f>'Revenues 9-14'!C84</f>
        <v>86922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805</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498210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16390</v>
      </c>
      <c r="G104" s="913"/>
    </row>
    <row r="105" spans="1:7" x14ac:dyDescent="0.2">
      <c r="A105" s="909" t="s">
        <v>524</v>
      </c>
      <c r="B105" s="909" t="s">
        <v>842</v>
      </c>
      <c r="C105" s="914">
        <v>3100</v>
      </c>
      <c r="D105" s="920" t="str">
        <f>'Revenues 9-14'!A131</f>
        <v>Total Special Education</v>
      </c>
      <c r="E105" s="907"/>
      <c r="F105" s="1811">
        <f>SUM('Revenues 9-14'!C131:D131,'Revenues 9-14'!F131)</f>
        <v>216590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60675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1582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66588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184388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24031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128404</v>
      </c>
      <c r="G129" s="931"/>
    </row>
    <row r="130" spans="1:7" x14ac:dyDescent="0.2">
      <c r="A130" s="928" t="s">
        <v>689</v>
      </c>
      <c r="B130" s="928" t="s">
        <v>804</v>
      </c>
      <c r="C130" s="933">
        <v>4300</v>
      </c>
      <c r="D130" s="934" t="str">
        <f>'Revenues 9-14'!A211</f>
        <v>Total Title I</v>
      </c>
      <c r="E130" s="907"/>
      <c r="F130" s="1811">
        <f>SUM('Revenues 9-14'!C211,'Revenues 9-14'!D211,'Revenues 9-14'!F211,'Revenues 9-14'!G211)</f>
        <v>97206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113281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22943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18318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8881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v>351465.19</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2533638.19</v>
      </c>
    </row>
    <row r="179" spans="1:7" ht="12" customHeight="1" x14ac:dyDescent="0.2">
      <c r="A179" s="1792"/>
      <c r="B179" s="1806"/>
      <c r="C179" s="1807"/>
      <c r="D179" s="1808" t="s">
        <v>2014</v>
      </c>
      <c r="E179" s="1809"/>
      <c r="F179" s="1811">
        <f>'PCTC-OEPP 27-28'!F77-F178</f>
        <v>13159824.810000001</v>
      </c>
    </row>
    <row r="180" spans="1:7" ht="12" customHeight="1" x14ac:dyDescent="0.2">
      <c r="A180" s="1792"/>
      <c r="B180" s="1806"/>
      <c r="C180" s="1807"/>
      <c r="D180" s="1808" t="s">
        <v>1924</v>
      </c>
      <c r="E180" s="1809"/>
      <c r="F180" s="1811">
        <f>'Cap Outlay Deprec 26'!I18</f>
        <v>1571986</v>
      </c>
    </row>
    <row r="181" spans="1:7" ht="12" customHeight="1" x14ac:dyDescent="0.2">
      <c r="A181" s="1792"/>
      <c r="B181" s="1806"/>
      <c r="C181" s="1807"/>
      <c r="D181" s="1808" t="s">
        <v>2015</v>
      </c>
      <c r="E181" s="1809"/>
      <c r="F181" s="1811">
        <f>F179+F180</f>
        <v>14731810.810000001</v>
      </c>
    </row>
    <row r="182" spans="1:7" ht="12" customHeight="1" x14ac:dyDescent="0.2">
      <c r="A182" s="1792"/>
      <c r="B182" s="1812"/>
      <c r="C182" s="1807"/>
      <c r="D182" s="1808" t="str">
        <f>D78</f>
        <v>9 Month ADA from District Average Daily Attendance/Prior General State Aid Inquiry 2017-2018</v>
      </c>
      <c r="E182" s="1809"/>
      <c r="F182" s="1813">
        <f>'PCTC-OEPP 27-28'!F78</f>
        <v>1207.78</v>
      </c>
      <c r="G182" s="931"/>
    </row>
    <row r="183" spans="1:7" ht="12" customHeight="1" thickBot="1" x14ac:dyDescent="0.25">
      <c r="A183" s="1792"/>
      <c r="B183" s="1812"/>
      <c r="C183" s="1807"/>
      <c r="D183" s="1808" t="s">
        <v>2016</v>
      </c>
      <c r="E183" s="1809" t="s">
        <v>1626</v>
      </c>
      <c r="F183" s="1814">
        <f>F181/F182</f>
        <v>12197.429010250213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pane="bottomLeft" activeCell="B28" sqref="B2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6" t="s">
        <v>1926</v>
      </c>
      <c r="B6" s="1557"/>
      <c r="C6" s="1557"/>
      <c r="D6" s="1557"/>
      <c r="E6" s="1557"/>
      <c r="F6" s="1557"/>
      <c r="G6" s="1558"/>
    </row>
    <row r="7" spans="1:7" ht="30.75" customHeight="1" x14ac:dyDescent="0.25">
      <c r="A7" s="2303" t="s">
        <v>2073</v>
      </c>
      <c r="B7" s="2304"/>
      <c r="C7" s="2304"/>
      <c r="D7" s="2304"/>
      <c r="E7" s="2304"/>
      <c r="F7" s="2304"/>
      <c r="G7" s="2305"/>
    </row>
    <row r="8" spans="1:7" ht="15.75" customHeight="1" x14ac:dyDescent="0.25">
      <c r="A8" s="2306" t="s">
        <v>2022</v>
      </c>
      <c r="B8" s="2307"/>
      <c r="C8" s="2307"/>
      <c r="D8" s="2307"/>
      <c r="E8" s="2307"/>
      <c r="F8" s="2307"/>
      <c r="G8" s="2308"/>
    </row>
    <row r="9" spans="1:7" ht="35.25" customHeight="1" x14ac:dyDescent="0.25">
      <c r="A9" s="2303" t="s">
        <v>2076</v>
      </c>
      <c r="B9" s="2304"/>
      <c r="C9" s="2304"/>
      <c r="D9" s="2304"/>
      <c r="E9" s="2304"/>
      <c r="F9" s="2304"/>
      <c r="G9" s="2305"/>
    </row>
    <row r="10" spans="1:7" ht="15" customHeight="1" x14ac:dyDescent="0.25">
      <c r="A10" s="1559" t="s">
        <v>1927</v>
      </c>
      <c r="B10" s="1560"/>
      <c r="C10" s="1560"/>
      <c r="D10" s="1560"/>
      <c r="E10" s="1560"/>
      <c r="F10" s="1560"/>
      <c r="G10" s="1561"/>
    </row>
    <row r="11" spans="1:7" ht="17.25" customHeight="1" x14ac:dyDescent="0.25">
      <c r="A11" s="2303" t="s">
        <v>2075</v>
      </c>
      <c r="B11" s="2304"/>
      <c r="C11" s="2304"/>
      <c r="D11" s="2304"/>
      <c r="E11" s="2304"/>
      <c r="F11" s="2304"/>
      <c r="G11" s="2305"/>
    </row>
    <row r="12" spans="1:7" ht="15" customHeight="1" x14ac:dyDescent="0.25">
      <c r="A12" s="1559" t="s">
        <v>1932</v>
      </c>
      <c r="B12" s="1560"/>
      <c r="C12" s="1560"/>
      <c r="D12" s="1560"/>
      <c r="E12" s="1560"/>
      <c r="F12" s="1560"/>
      <c r="G12" s="1561"/>
    </row>
    <row r="13" spans="1:7" ht="32.25" customHeight="1" x14ac:dyDescent="0.25">
      <c r="A13" s="2294" t="s">
        <v>1933</v>
      </c>
      <c r="B13" s="2295"/>
      <c r="C13" s="2295"/>
      <c r="D13" s="2295"/>
      <c r="E13" s="2295"/>
      <c r="F13" s="2295"/>
      <c r="G13" s="229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2105</v>
      </c>
      <c r="B17" s="1957" t="s">
        <v>2103</v>
      </c>
      <c r="C17" s="1958" t="s">
        <v>2104</v>
      </c>
      <c r="D17" s="1867">
        <v>280661</v>
      </c>
      <c r="E17" s="1562">
        <f t="shared" ref="E17:E141" si="1">IF(D17&lt;=25000,D17,IF(D17&gt;25000,25000,0))</f>
        <v>25000</v>
      </c>
      <c r="F17" s="1815">
        <f t="shared" si="0"/>
        <v>25000</v>
      </c>
      <c r="G17" s="1816">
        <f>IF(F17=0,0,D17-F17)</f>
        <v>255661</v>
      </c>
      <c r="H17" s="1669"/>
    </row>
    <row r="18" spans="1:8" x14ac:dyDescent="0.25">
      <c r="A18" s="1956" t="s">
        <v>2105</v>
      </c>
      <c r="B18" s="1957" t="s">
        <v>2103</v>
      </c>
      <c r="C18" s="1958" t="s">
        <v>2106</v>
      </c>
      <c r="D18" s="1867">
        <v>35000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10000</v>
      </c>
    </row>
    <row r="19" spans="1:8" x14ac:dyDescent="0.25">
      <c r="A19" s="1960" t="s">
        <v>2105</v>
      </c>
      <c r="B19" s="1957" t="s">
        <v>2103</v>
      </c>
      <c r="C19" s="1958" t="s">
        <v>2107</v>
      </c>
      <c r="D19" s="1867">
        <v>75000</v>
      </c>
      <c r="E19" s="1562">
        <f t="shared" si="2"/>
        <v>25000</v>
      </c>
      <c r="F19" s="1815">
        <f t="shared" si="3"/>
        <v>25000</v>
      </c>
      <c r="G19" s="1816">
        <f t="shared" si="4"/>
        <v>50000</v>
      </c>
    </row>
    <row r="20" spans="1:8" x14ac:dyDescent="0.25">
      <c r="A20" s="1956" t="s">
        <v>2108</v>
      </c>
      <c r="B20" s="1957" t="s">
        <v>2109</v>
      </c>
      <c r="C20" s="1958" t="s">
        <v>2110</v>
      </c>
      <c r="D20" s="1867">
        <v>123907</v>
      </c>
      <c r="E20" s="1562">
        <f t="shared" si="2"/>
        <v>25000</v>
      </c>
      <c r="F20" s="1815">
        <f t="shared" si="3"/>
        <v>25000</v>
      </c>
      <c r="G20" s="1816">
        <f t="shared" si="4"/>
        <v>98907</v>
      </c>
    </row>
    <row r="21" spans="1:8" x14ac:dyDescent="0.25">
      <c r="A21" s="1960" t="s">
        <v>2108</v>
      </c>
      <c r="B21" s="1959" t="s">
        <v>2109</v>
      </c>
      <c r="C21" s="1958" t="s">
        <v>2111</v>
      </c>
      <c r="D21" s="1867">
        <v>90378</v>
      </c>
      <c r="E21" s="1562">
        <f t="shared" si="2"/>
        <v>25000</v>
      </c>
      <c r="F21" s="1815">
        <f t="shared" si="3"/>
        <v>25000</v>
      </c>
      <c r="G21" s="1816">
        <f t="shared" si="4"/>
        <v>65378</v>
      </c>
    </row>
    <row r="22" spans="1:8" x14ac:dyDescent="0.25">
      <c r="A22" s="1960" t="s">
        <v>2108</v>
      </c>
      <c r="B22" s="1959" t="s">
        <v>2109</v>
      </c>
      <c r="C22" s="1961" t="s">
        <v>2113</v>
      </c>
      <c r="D22" s="1867">
        <v>30057</v>
      </c>
      <c r="E22" s="1562">
        <f t="shared" si="2"/>
        <v>25000</v>
      </c>
      <c r="F22" s="1815">
        <f t="shared" si="3"/>
        <v>25000</v>
      </c>
      <c r="G22" s="1816">
        <f t="shared" si="4"/>
        <v>5057</v>
      </c>
    </row>
    <row r="23" spans="1:8" x14ac:dyDescent="0.25">
      <c r="A23" s="1960" t="s">
        <v>2115</v>
      </c>
      <c r="B23" s="1959" t="s">
        <v>2114</v>
      </c>
      <c r="C23" s="1961" t="s">
        <v>2116</v>
      </c>
      <c r="D23" s="1867">
        <v>36574</v>
      </c>
      <c r="E23" s="1562">
        <f t="shared" si="2"/>
        <v>25000</v>
      </c>
      <c r="F23" s="1815">
        <f t="shared" si="3"/>
        <v>25000</v>
      </c>
      <c r="G23" s="1816">
        <f t="shared" si="4"/>
        <v>11574</v>
      </c>
    </row>
    <row r="24" spans="1:8" x14ac:dyDescent="0.25">
      <c r="A24" s="1960" t="s">
        <v>2119</v>
      </c>
      <c r="B24" s="1959" t="s">
        <v>2117</v>
      </c>
      <c r="C24" s="1961" t="s">
        <v>2118</v>
      </c>
      <c r="D24" s="1867">
        <v>29199</v>
      </c>
      <c r="E24" s="1562">
        <f t="shared" si="2"/>
        <v>25000</v>
      </c>
      <c r="F24" s="1815">
        <f t="shared" si="3"/>
        <v>25000</v>
      </c>
      <c r="G24" s="1816">
        <f t="shared" si="4"/>
        <v>4199</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700776</v>
      </c>
      <c r="E141" s="1563">
        <f t="shared" si="1"/>
        <v>25000</v>
      </c>
      <c r="F141" s="1817">
        <f>SUM(F17:F140)</f>
        <v>200000</v>
      </c>
      <c r="G141" s="1818">
        <f>SUM(G17:G140)</f>
        <v>500776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128404</v>
      </c>
      <c r="F10" s="975"/>
      <c r="G10" s="976"/>
      <c r="H10" s="162"/>
      <c r="I10" s="162"/>
    </row>
    <row r="11" spans="1:9" s="669" customFormat="1" ht="22.5" customHeight="1" x14ac:dyDescent="0.2">
      <c r="A11" s="2314" t="s">
        <v>1944</v>
      </c>
      <c r="B11" s="2315"/>
      <c r="C11" s="2315"/>
      <c r="D11" s="2316"/>
      <c r="E11" s="978">
        <v>18172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10577707</v>
      </c>
      <c r="F19" s="1822"/>
      <c r="G19" s="1824">
        <f>'Expenditures 15-22'!K33-SUM('Expenditures 15-22'!G33,'Expenditures 15-22'!I33)+'Expenditures 15-22'!D229</f>
        <v>10577707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665545</v>
      </c>
      <c r="F21" s="1825"/>
      <c r="G21" s="1828">
        <f>'Expenditures 15-22'!K42-SUM('Expenditures 15-22'!G42,'Expenditures 15-22'!I42)+'Expenditures 15-22'!K120-SUM('Expenditures 15-22'!G120,'Expenditures 15-22'!I120)+'Expenditures 15-22'!K180-SUM('Expenditures 15-22'!G180,'Expenditures 15-22'!I180)+'Expenditures 15-22'!D238</f>
        <v>665545</v>
      </c>
      <c r="H21" s="988"/>
      <c r="I21" s="162"/>
    </row>
    <row r="22" spans="1:9" s="669" customFormat="1" ht="12" customHeight="1" x14ac:dyDescent="0.2">
      <c r="A22" s="995" t="s">
        <v>585</v>
      </c>
      <c r="B22" s="996"/>
      <c r="C22" s="994">
        <v>2200</v>
      </c>
      <c r="D22" s="1825"/>
      <c r="E22" s="1827">
        <f>'Expenditures 15-22'!K47-SUM('Expenditures 15-22'!G47,'Expenditures 15-22'!I47)+'Expenditures 15-22'!D243</f>
        <v>250064</v>
      </c>
      <c r="F22" s="1825"/>
      <c r="G22" s="1828">
        <f>'Expenditures 15-22'!K47-SUM('Expenditures 15-22'!G47,'Expenditures 15-22'!I47)+'Expenditures 15-22'!D243</f>
        <v>250064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529057</v>
      </c>
      <c r="F23" s="1825"/>
      <c r="G23" s="1827">
        <f>'Expenditures 15-22'!K53-SUM('Expenditures 15-22'!G53,'Expenditures 15-22'!I53)+'Expenditures 15-22'!D257+'Expenditures 15-22'!K330-SUM('Expenditures 15-22'!G330,'Expenditures 15-22'!I330)</f>
        <v>529057</v>
      </c>
      <c r="H23" s="988"/>
      <c r="I23" s="162"/>
    </row>
    <row r="24" spans="1:9" s="669" customFormat="1" ht="12" customHeight="1" x14ac:dyDescent="0.2">
      <c r="A24" s="995" t="s">
        <v>587</v>
      </c>
      <c r="B24" s="996"/>
      <c r="C24" s="994">
        <v>2400</v>
      </c>
      <c r="D24" s="1825"/>
      <c r="E24" s="1827">
        <f>'Expenditures 15-22'!K57-SUM('Expenditures 15-22'!G57,'Expenditures 15-22'!I57)+'Expenditures 15-22'!D261</f>
        <v>216197</v>
      </c>
      <c r="F24" s="1825"/>
      <c r="G24" s="1828">
        <f>'Expenditures 15-22'!K57-SUM('Expenditures 15-22'!G57,'Expenditures 15-22'!I57)+'Expenditures 15-22'!D261</f>
        <v>216197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103813</v>
      </c>
      <c r="E26" s="1827">
        <f>'Expenditures 15-22'!K122-SUM('Expenditures 15-22'!G122,'Expenditures 15-22'!I122)+E7</f>
        <v>0</v>
      </c>
      <c r="F26" s="1827">
        <f>'Expenditures 15-22'!K59-SUM('Expenditures 15-22'!G59,'Expenditures 15-22'!I59)+'Expenditures 15-22'!D263-E7</f>
        <v>103813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137836</v>
      </c>
      <c r="E27" s="1827">
        <f>E8</f>
        <v>0</v>
      </c>
      <c r="F27" s="1827">
        <f>'Expenditures 15-22'!K60-SUM('Expenditures 15-22'!G60,'Expenditures 15-22'!I60)+'Expenditures 15-22'!D264-E8</f>
        <v>137836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1491865</v>
      </c>
      <c r="F28" s="1829">
        <f>'Expenditures 15-22'!K61-SUM('Expenditures 15-22'!G61,'Expenditures 15-22'!I61)+'Expenditures 15-22'!K124-SUM('Expenditures 15-22'!G124,'Expenditures 15-22'!I124)+'Expenditures 15-22'!D266-E9</f>
        <v>1491865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525716</v>
      </c>
      <c r="F29" s="1825"/>
      <c r="G29" s="1828">
        <f>'Expenditures 15-22'!K62-SUM('Expenditures 15-22'!G62,'Expenditures 15-22'!I62)+'Expenditures 15-22'!K125-SUM('Expenditures 15-22'!G125,'Expenditures 15-22'!I125)+'Expenditures 15-22'!K182-SUM('Expenditures 15-22'!G182,'Expenditures 15-22'!I182)+'Expenditures 15-22'!D267</f>
        <v>525716</v>
      </c>
      <c r="H29" s="986"/>
    </row>
    <row r="30" spans="1:9" ht="12" customHeight="1" x14ac:dyDescent="0.2">
      <c r="A30" s="995" t="s">
        <v>102</v>
      </c>
      <c r="B30" s="998"/>
      <c r="C30" s="994">
        <v>2560</v>
      </c>
      <c r="D30" s="1825"/>
      <c r="E30" s="1827">
        <f>'Expenditures 15-22'!K63-SUM('Expenditures 15-22'!G63,'Expenditures 15-22'!I63)+'Expenditures 15-22'!D268-E10</f>
        <v>499663</v>
      </c>
      <c r="F30" s="1825"/>
      <c r="G30" s="1827">
        <f>'Expenditures 15-22'!K63-SUM('Expenditures 15-22'!G63,'Expenditures 15-22'!I63)+'Expenditures 15-22'!D268-E10</f>
        <v>499663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36376</v>
      </c>
      <c r="F38" s="1825"/>
      <c r="G38" s="1827">
        <f>'Expenditures 15-22'!K73-SUM('Expenditures 15-22'!G73,'Expenditures 15-22'!I73)+'Expenditures 15-22'!K128-SUM('Expenditures 15-22'!G128,'Expenditures 15-22'!I128)+'Expenditures 15-22'!K183-SUM('Expenditures 15-22'!G183,'Expenditures 15-22'!I183)+'Expenditures 15-22'!D278</f>
        <v>36376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-500776</v>
      </c>
      <c r="F40" s="1825"/>
      <c r="G40" s="1829">
        <f>-'Contracts Paid in CY 29'!G141</f>
        <v>-500776</v>
      </c>
    </row>
    <row r="41" spans="1:7" ht="12" customHeight="1" x14ac:dyDescent="0.2">
      <c r="A41" s="999" t="s">
        <v>158</v>
      </c>
      <c r="B41" s="1000"/>
      <c r="C41" s="1001"/>
      <c r="D41" s="1829">
        <f>SUM(D19:D39)</f>
        <v>241649</v>
      </c>
      <c r="E41" s="1829">
        <f>SUM(E19:E40)</f>
        <v>14291414</v>
      </c>
      <c r="F41" s="1829">
        <f>SUM(F19:F39)</f>
        <v>1733514</v>
      </c>
      <c r="G41" s="1829">
        <f>SUM(G19:G40)</f>
        <v>12799549</v>
      </c>
    </row>
    <row r="42" spans="1:7" x14ac:dyDescent="0.2">
      <c r="A42" s="988"/>
      <c r="B42" s="162"/>
      <c r="C42" s="1002"/>
      <c r="D42" s="2312" t="s">
        <v>543</v>
      </c>
      <c r="E42" s="2313"/>
      <c r="F42" s="1003" t="s">
        <v>544</v>
      </c>
      <c r="G42" s="1004"/>
    </row>
    <row r="43" spans="1:7" ht="12" customHeight="1" x14ac:dyDescent="0.2">
      <c r="A43" s="988"/>
      <c r="B43" s="162"/>
      <c r="C43" s="1002"/>
      <c r="D43" s="1830" t="s">
        <v>493</v>
      </c>
      <c r="E43" s="1831">
        <f>D41</f>
        <v>241649</v>
      </c>
      <c r="F43" s="1830" t="s">
        <v>495</v>
      </c>
      <c r="G43" s="1831">
        <f>F41</f>
        <v>1733514</v>
      </c>
    </row>
    <row r="44" spans="1:7" ht="12" customHeight="1" x14ac:dyDescent="0.2">
      <c r="A44" s="988"/>
      <c r="B44" s="162"/>
      <c r="C44" s="1002"/>
      <c r="D44" s="1830" t="s">
        <v>494</v>
      </c>
      <c r="E44" s="1831">
        <f>E41</f>
        <v>14291414</v>
      </c>
      <c r="F44" s="1830" t="s">
        <v>494</v>
      </c>
      <c r="G44" s="1831">
        <f>G41</f>
        <v>12799549</v>
      </c>
    </row>
    <row r="45" spans="1:7" ht="12" customHeight="1" x14ac:dyDescent="0.2">
      <c r="A45" s="988"/>
      <c r="B45" s="162"/>
      <c r="C45" s="162"/>
      <c r="D45" s="1832" t="s">
        <v>1063</v>
      </c>
      <c r="E45" s="1833">
        <f>(E43/E44)</f>
        <v>1.6908683773348109E-2</v>
      </c>
      <c r="F45" s="1832" t="s">
        <v>1063</v>
      </c>
      <c r="G45" s="1833">
        <f>(G43/G44)</f>
        <v>0.1354355532370711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1" t="s">
        <v>1446</v>
      </c>
      <c r="B1" s="2331"/>
      <c r="C1" s="2331"/>
      <c r="D1" s="2331"/>
      <c r="E1" s="2331"/>
      <c r="F1" s="233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2" t="s">
        <v>1627</v>
      </c>
      <c r="B5" s="2333"/>
      <c r="C5" s="2334"/>
      <c r="D5" s="2334"/>
      <c r="E5" s="2334"/>
      <c r="F5" s="2334"/>
    </row>
    <row r="6" spans="1:10" ht="12" customHeight="1" x14ac:dyDescent="0.25">
      <c r="A6" s="1875"/>
      <c r="B6" s="1876"/>
      <c r="C6" s="2335" t="str">
        <f>COVER!A17</f>
        <v>Washington CHSD 308</v>
      </c>
      <c r="D6" s="2335"/>
      <c r="E6" s="2335"/>
      <c r="F6" s="1877"/>
    </row>
    <row r="7" spans="1:10" ht="11.25" customHeight="1" thickBot="1" x14ac:dyDescent="0.3">
      <c r="A7" s="1875"/>
      <c r="B7" s="1876"/>
      <c r="C7" s="2336">
        <f>COVER!A13</f>
        <v>53090308016</v>
      </c>
      <c r="D7" s="2336"/>
      <c r="E7" s="233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2112</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3" colorId="8" zoomScale="145" zoomScaleNormal="145" workbookViewId="0">
      <selection activeCell="I15" sqref="I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4" t="str">
        <f>COVER!A17</f>
        <v>Washington CHSD 308</v>
      </c>
      <c r="J6" s="2345"/>
      <c r="Q6" s="1686"/>
    </row>
    <row r="7" spans="1:17" x14ac:dyDescent="0.2">
      <c r="A7" s="2346" t="s">
        <v>924</v>
      </c>
      <c r="B7" s="2347"/>
      <c r="C7" s="2347"/>
      <c r="D7" s="2347"/>
      <c r="E7" s="2348"/>
      <c r="F7" s="1018"/>
      <c r="G7" s="1010"/>
      <c r="H7" s="1017" t="s">
        <v>390</v>
      </c>
      <c r="I7" s="2349">
        <f>COVER!A13</f>
        <v>53090308016</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330259</v>
      </c>
      <c r="F12" s="1040"/>
      <c r="G12" s="1834">
        <f t="shared" ref="G12:G18" si="0">SUM(E12:F12)</f>
        <v>330259</v>
      </c>
      <c r="H12" s="1041">
        <v>336054</v>
      </c>
      <c r="I12" s="1040"/>
      <c r="J12" s="1834">
        <f t="shared" ref="J12:J18" si="1">SUM(H12:I12)</f>
        <v>336054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102749</v>
      </c>
      <c r="F15" s="1834">
        <f>'Expenditures 15-22'!K122</f>
        <v>0</v>
      </c>
      <c r="G15" s="1834">
        <f t="shared" si="0"/>
        <v>102749</v>
      </c>
      <c r="H15" s="1041">
        <v>109025</v>
      </c>
      <c r="I15" s="1041"/>
      <c r="J15" s="1834">
        <f t="shared" si="1"/>
        <v>109025</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433008</v>
      </c>
      <c r="F19" s="1836">
        <f t="shared" si="2"/>
        <v>0</v>
      </c>
      <c r="G19" s="1836">
        <f t="shared" si="2"/>
        <v>433008</v>
      </c>
      <c r="H19" s="1836">
        <f t="shared" si="2"/>
        <v>445079</v>
      </c>
      <c r="I19" s="1836">
        <f t="shared" si="2"/>
        <v>0</v>
      </c>
      <c r="J19" s="1836">
        <f t="shared" si="2"/>
        <v>445079</v>
      </c>
    </row>
    <row r="20" spans="1:10" ht="13.5" thickTop="1" x14ac:dyDescent="0.2">
      <c r="A20" s="1036">
        <v>9</v>
      </c>
      <c r="B20" s="2356" t="s">
        <v>1703</v>
      </c>
      <c r="C20" s="2356"/>
      <c r="D20" s="2357"/>
      <c r="E20" s="1047"/>
      <c r="F20" s="1047"/>
      <c r="G20" s="1047"/>
      <c r="H20" s="1047"/>
      <c r="I20" s="1047"/>
      <c r="J20" s="1837">
        <f>IF(AND(G19&gt;0,J19&gt;0),(((J19-G19)/G19)),"Enter Budget Data")</f>
        <v>2.7877083102390718E-2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1943</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topLeftCell="A38" zoomScale="110" zoomScaleNormal="110" workbookViewId="0">
      <selection activeCell="J43" sqref="J43"/>
    </sheetView>
  </sheetViews>
  <sheetFormatPr defaultRowHeight="12.75" x14ac:dyDescent="0.2"/>
  <cols>
    <col min="1" max="1" width="3" style="329" customWidth="1"/>
    <col min="2" max="2" width="9.570312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329" t="s">
        <v>2154</v>
      </c>
    </row>
    <row r="6" spans="1:3" x14ac:dyDescent="0.2">
      <c r="B6" s="1963">
        <v>127954</v>
      </c>
      <c r="C6" s="329" t="s">
        <v>2155</v>
      </c>
    </row>
    <row r="7" spans="1:3" x14ac:dyDescent="0.2">
      <c r="B7" s="1962">
        <v>254308</v>
      </c>
      <c r="C7" s="329" t="s">
        <v>2156</v>
      </c>
    </row>
    <row r="8" spans="1:3" ht="13.5" thickBot="1" x14ac:dyDescent="0.25">
      <c r="B8" s="1964">
        <f>SUM(B6:B7)</f>
        <v>382262</v>
      </c>
    </row>
    <row r="9" spans="1:3" ht="13.5" thickTop="1" x14ac:dyDescent="0.2">
      <c r="B9" s="1966"/>
    </row>
    <row r="10" spans="1:3" x14ac:dyDescent="0.2">
      <c r="A10" s="1069" t="s">
        <v>2127</v>
      </c>
    </row>
    <row r="11" spans="1:3" x14ac:dyDescent="0.2">
      <c r="A11" s="1069"/>
      <c r="B11" s="1963">
        <v>609</v>
      </c>
      <c r="C11" s="329" t="s">
        <v>2128</v>
      </c>
    </row>
    <row r="12" spans="1:3" x14ac:dyDescent="0.2">
      <c r="A12" s="1069"/>
      <c r="B12" s="1962">
        <v>3800</v>
      </c>
      <c r="C12" s="329" t="s">
        <v>2129</v>
      </c>
    </row>
    <row r="13" spans="1:3" x14ac:dyDescent="0.2">
      <c r="A13" s="1069"/>
      <c r="B13" s="1962">
        <v>238</v>
      </c>
      <c r="C13" s="329" t="s">
        <v>2130</v>
      </c>
    </row>
    <row r="14" spans="1:3" ht="13.5" thickBot="1" x14ac:dyDescent="0.25">
      <c r="A14" s="1070"/>
      <c r="B14" s="1964">
        <f>SUM(B11:B13)</f>
        <v>4647</v>
      </c>
    </row>
    <row r="15" spans="1:3" ht="13.5" thickTop="1" x14ac:dyDescent="0.2">
      <c r="A15" s="1070"/>
    </row>
    <row r="16" spans="1:3" x14ac:dyDescent="0.2">
      <c r="A16" s="1070" t="s">
        <v>2131</v>
      </c>
    </row>
    <row r="17" spans="1:4" x14ac:dyDescent="0.2">
      <c r="A17" s="1070"/>
      <c r="B17" s="1963">
        <v>805</v>
      </c>
      <c r="C17" s="329" t="s">
        <v>2132</v>
      </c>
    </row>
    <row r="18" spans="1:4" x14ac:dyDescent="0.2">
      <c r="A18" s="1070"/>
    </row>
    <row r="19" spans="1:4" x14ac:dyDescent="0.2">
      <c r="A19" s="1070" t="s">
        <v>2134</v>
      </c>
    </row>
    <row r="20" spans="1:4" x14ac:dyDescent="0.2">
      <c r="A20" s="1070"/>
      <c r="B20" s="1963">
        <v>16390</v>
      </c>
      <c r="C20" s="329" t="s">
        <v>2133</v>
      </c>
    </row>
    <row r="21" spans="1:4" x14ac:dyDescent="0.2">
      <c r="A21" s="1070"/>
    </row>
    <row r="22" spans="1:4" x14ac:dyDescent="0.2">
      <c r="A22" s="1070" t="s">
        <v>2135</v>
      </c>
    </row>
    <row r="23" spans="1:4" x14ac:dyDescent="0.2">
      <c r="A23" s="1070"/>
      <c r="B23" s="1963">
        <v>481</v>
      </c>
      <c r="C23" s="329" t="s">
        <v>2136</v>
      </c>
    </row>
    <row r="24" spans="1:4" x14ac:dyDescent="0.2">
      <c r="A24" s="1070"/>
    </row>
    <row r="25" spans="1:4" x14ac:dyDescent="0.2">
      <c r="A25" s="1070"/>
      <c r="B25" s="1963">
        <v>4106</v>
      </c>
      <c r="C25" s="329" t="s">
        <v>2137</v>
      </c>
    </row>
    <row r="26" spans="1:4" x14ac:dyDescent="0.2">
      <c r="A26" s="1070"/>
      <c r="B26" s="1962">
        <v>1335</v>
      </c>
      <c r="C26" s="329" t="s">
        <v>2138</v>
      </c>
    </row>
    <row r="27" spans="1:4" ht="13.5" thickBot="1" x14ac:dyDescent="0.25">
      <c r="A27" s="1070"/>
      <c r="B27" s="1964">
        <f>SUM(B25:B26)</f>
        <v>5441</v>
      </c>
      <c r="C27" s="329" t="s">
        <v>2139</v>
      </c>
    </row>
    <row r="28" spans="1:4" ht="13.5" thickTop="1" x14ac:dyDescent="0.2">
      <c r="A28" s="1070"/>
    </row>
    <row r="29" spans="1:4" x14ac:dyDescent="0.2">
      <c r="A29" s="1070" t="s">
        <v>2140</v>
      </c>
    </row>
    <row r="30" spans="1:4" x14ac:dyDescent="0.2">
      <c r="A30" s="1070"/>
      <c r="B30" s="1963">
        <v>22257</v>
      </c>
      <c r="D30" s="329" t="s">
        <v>2141</v>
      </c>
    </row>
    <row r="31" spans="1:4" x14ac:dyDescent="0.2">
      <c r="A31" s="1070"/>
      <c r="B31" s="1962">
        <v>1774</v>
      </c>
      <c r="D31" s="329" t="s">
        <v>2142</v>
      </c>
    </row>
    <row r="32" spans="1:4" ht="13.5" thickBot="1" x14ac:dyDescent="0.25">
      <c r="A32" s="1070"/>
      <c r="B32" s="1965">
        <f>SUM(B30:B31)</f>
        <v>24031</v>
      </c>
    </row>
    <row r="33" spans="1:3" ht="13.5" thickTop="1" x14ac:dyDescent="0.2">
      <c r="A33" s="1070"/>
    </row>
    <row r="34" spans="1:3" x14ac:dyDescent="0.2">
      <c r="A34" s="1070" t="s">
        <v>2143</v>
      </c>
    </row>
    <row r="35" spans="1:3" x14ac:dyDescent="0.2">
      <c r="A35" s="1070"/>
      <c r="B35" s="1963">
        <v>8489</v>
      </c>
      <c r="C35" s="329" t="s">
        <v>2144</v>
      </c>
    </row>
    <row r="36" spans="1:3" x14ac:dyDescent="0.2">
      <c r="A36" s="1070"/>
      <c r="B36" s="1962">
        <v>2745</v>
      </c>
      <c r="C36" s="329" t="s">
        <v>2145</v>
      </c>
    </row>
    <row r="37" spans="1:3" x14ac:dyDescent="0.2">
      <c r="A37" s="1070"/>
      <c r="B37" s="1962">
        <v>533</v>
      </c>
      <c r="C37" s="329" t="s">
        <v>1123</v>
      </c>
    </row>
    <row r="38" spans="1:3" ht="13.5" thickBot="1" x14ac:dyDescent="0.25">
      <c r="A38" s="1070"/>
      <c r="B38" s="1965">
        <f>SUM(B35:B37)</f>
        <v>11767</v>
      </c>
      <c r="C38" s="329" t="s">
        <v>1162</v>
      </c>
    </row>
    <row r="39" spans="1:3" ht="13.5" thickTop="1" x14ac:dyDescent="0.2">
      <c r="A39" s="1070"/>
    </row>
    <row r="40" spans="1:3" x14ac:dyDescent="0.2">
      <c r="A40" s="1070"/>
      <c r="B40" s="1963">
        <v>9600</v>
      </c>
      <c r="C40" s="329" t="s">
        <v>2147</v>
      </c>
    </row>
    <row r="41" spans="1:3" x14ac:dyDescent="0.2">
      <c r="A41" s="1070"/>
      <c r="B41" s="1962">
        <v>2266</v>
      </c>
      <c r="C41" s="329" t="s">
        <v>2146</v>
      </c>
    </row>
    <row r="42" spans="1:3" x14ac:dyDescent="0.2">
      <c r="A42" s="1070"/>
      <c r="B42" s="1962">
        <v>4000</v>
      </c>
      <c r="C42" s="329" t="s">
        <v>2148</v>
      </c>
    </row>
    <row r="43" spans="1:3" x14ac:dyDescent="0.2">
      <c r="A43" s="1070"/>
      <c r="B43" s="1962">
        <v>8743</v>
      </c>
      <c r="C43" s="329" t="s">
        <v>2149</v>
      </c>
    </row>
    <row r="44" spans="1:3" ht="13.5" thickBot="1" x14ac:dyDescent="0.25">
      <c r="A44" s="1070"/>
      <c r="B44" s="1965">
        <f>SUM(B40:B43)</f>
        <v>24609</v>
      </c>
      <c r="C44" s="329" t="s">
        <v>1156</v>
      </c>
    </row>
    <row r="45" spans="1:3" ht="13.5" thickTop="1" x14ac:dyDescent="0.2">
      <c r="A45" s="1070"/>
    </row>
    <row r="46" spans="1:3" x14ac:dyDescent="0.2">
      <c r="A46" s="1070" t="s">
        <v>2150</v>
      </c>
    </row>
    <row r="47" spans="1:3" x14ac:dyDescent="0.2">
      <c r="A47" s="1070"/>
      <c r="B47" s="1963">
        <v>1500</v>
      </c>
      <c r="C47" s="329" t="s">
        <v>2151</v>
      </c>
    </row>
    <row r="48" spans="1:3" x14ac:dyDescent="0.2">
      <c r="A48" s="1070"/>
    </row>
    <row r="49" spans="1:3" x14ac:dyDescent="0.2">
      <c r="A49" s="1070" t="s">
        <v>2152</v>
      </c>
    </row>
    <row r="50" spans="1:3" x14ac:dyDescent="0.2">
      <c r="A50" s="1070"/>
      <c r="B50" s="1963">
        <v>220000</v>
      </c>
      <c r="C50" s="329" t="s">
        <v>2153</v>
      </c>
    </row>
    <row r="51" spans="1:3" x14ac:dyDescent="0.2">
      <c r="A51" s="1070"/>
      <c r="B51" s="1962">
        <v>25000</v>
      </c>
      <c r="C51" s="329" t="s">
        <v>2153</v>
      </c>
    </row>
    <row r="52" spans="1:3" ht="13.5" thickBot="1" x14ac:dyDescent="0.25">
      <c r="A52" s="1070"/>
      <c r="B52" s="1964">
        <f>SUM(B50:B51)</f>
        <v>245000</v>
      </c>
      <c r="C52" s="329" t="s">
        <v>2153</v>
      </c>
    </row>
    <row r="53" spans="1:3" ht="13.5" thickTop="1" x14ac:dyDescent="0.2">
      <c r="A53" s="1070"/>
    </row>
    <row r="54" spans="1:3" x14ac:dyDescent="0.2">
      <c r="A54" s="1070"/>
    </row>
    <row r="55" spans="1:3" x14ac:dyDescent="0.2">
      <c r="A55" s="1070"/>
    </row>
    <row r="56" spans="1:3" x14ac:dyDescent="0.2">
      <c r="A56" s="1070"/>
    </row>
    <row r="57" spans="1:3" x14ac:dyDescent="0.2">
      <c r="A57" s="1070"/>
    </row>
    <row r="58" spans="1:3" x14ac:dyDescent="0.2">
      <c r="A58" s="1070"/>
    </row>
    <row r="59" spans="1:3" x14ac:dyDescent="0.2">
      <c r="A59" s="1070"/>
    </row>
    <row r="60" spans="1:3" x14ac:dyDescent="0.2">
      <c r="A60" s="1070"/>
    </row>
    <row r="61" spans="1:3" x14ac:dyDescent="0.2">
      <c r="A61" s="1070"/>
    </row>
    <row r="62" spans="1:3" x14ac:dyDescent="0.2">
      <c r="A62" s="1070"/>
    </row>
    <row r="63" spans="1:3" x14ac:dyDescent="0.2">
      <c r="A63" s="1070"/>
    </row>
    <row r="64" spans="1:3" x14ac:dyDescent="0.2">
      <c r="A64" s="1070"/>
      <c r="B64" s="258" t="str">
        <f>COVER!A17</f>
        <v>Washington CHSD 308</v>
      </c>
    </row>
    <row r="65" spans="2:2" x14ac:dyDescent="0.2">
      <c r="B65" s="1071">
        <f>COVER!A13</f>
        <v>53090308016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B1" sqref="B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2"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3" t="s">
        <v>1784</v>
      </c>
      <c r="B18" s="236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5"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5"/>
      <c r="H2" s="1075"/>
    </row>
    <row r="3" spans="1:8" ht="57" customHeight="1" x14ac:dyDescent="0.2">
      <c r="A3" s="2377" t="s">
        <v>1786</v>
      </c>
      <c r="B3" s="2378"/>
      <c r="C3" s="2378"/>
      <c r="D3" s="2378"/>
      <c r="E3" s="2378"/>
      <c r="F3" s="2379"/>
      <c r="G3" s="1075"/>
      <c r="H3" s="1075"/>
    </row>
    <row r="4" spans="1:8" ht="14.25" customHeight="1" x14ac:dyDescent="0.2">
      <c r="A4" s="2383" t="s">
        <v>2054</v>
      </c>
      <c r="B4" s="2384"/>
      <c r="C4" s="2384"/>
      <c r="D4" s="2384"/>
      <c r="E4" s="2384"/>
      <c r="F4" s="2385"/>
      <c r="G4" s="1075"/>
      <c r="H4" s="1075"/>
    </row>
    <row r="5" spans="1:8" ht="14.25" customHeight="1" x14ac:dyDescent="0.2">
      <c r="A5" s="2386" t="s">
        <v>2055</v>
      </c>
      <c r="B5" s="2387"/>
      <c r="C5" s="2387"/>
      <c r="D5" s="2387"/>
      <c r="E5" s="2387"/>
      <c r="F5" s="2388"/>
      <c r="G5" s="1075"/>
      <c r="H5" s="1075"/>
    </row>
    <row r="6" spans="1:8" s="1076" customFormat="1" ht="41.25" customHeight="1" x14ac:dyDescent="0.2">
      <c r="A6" s="2380" t="s">
        <v>1792</v>
      </c>
      <c r="B6" s="2381"/>
      <c r="C6" s="2381"/>
      <c r="D6" s="2381"/>
      <c r="E6" s="2381"/>
      <c r="F6" s="238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14044621</v>
      </c>
      <c r="C8" s="1838">
        <f>'Acct Summary 7-8'!D8</f>
        <v>2135870</v>
      </c>
      <c r="D8" s="1838">
        <f>'Acct Summary 7-8'!F8</f>
        <v>728247</v>
      </c>
      <c r="E8" s="1838">
        <f>'Acct Summary 7-8'!I8</f>
        <v>239612</v>
      </c>
      <c r="F8" s="1838">
        <f>SUM(B8:E8)</f>
        <v>17148350</v>
      </c>
    </row>
    <row r="9" spans="1:8" s="1080" customFormat="1" ht="14.25" customHeight="1" thickBot="1" x14ac:dyDescent="0.25">
      <c r="A9" s="1079" t="s">
        <v>1436</v>
      </c>
      <c r="B9" s="1839">
        <f>'Acct Summary 7-8'!C17</f>
        <v>13776168</v>
      </c>
      <c r="C9" s="1839">
        <f>'Acct Summary 7-8'!D17</f>
        <v>1630635</v>
      </c>
      <c r="D9" s="1839">
        <f>'Acct Summary 7-8'!F17</f>
        <v>500029</v>
      </c>
      <c r="E9" s="1838"/>
      <c r="F9" s="1838">
        <f>SUM(B9:E9)</f>
        <v>15906832</v>
      </c>
    </row>
    <row r="10" spans="1:8" s="1080" customFormat="1" ht="14.25" thickTop="1" thickBot="1" x14ac:dyDescent="0.25">
      <c r="A10" s="1081" t="s">
        <v>1437</v>
      </c>
      <c r="B10" s="1840">
        <f>(B8-B9)</f>
        <v>268453</v>
      </c>
      <c r="C10" s="1840">
        <f>(C8-C9)</f>
        <v>505235</v>
      </c>
      <c r="D10" s="1840">
        <f>(D8-D9)</f>
        <v>228218</v>
      </c>
      <c r="E10" s="1839">
        <f>(E8-E9)</f>
        <v>239612</v>
      </c>
      <c r="F10" s="1841">
        <f>SUM(F8-F9)</f>
        <v>1241518</v>
      </c>
    </row>
    <row r="11" spans="1:8" s="1080" customFormat="1" ht="14.25" thickTop="1" thickBot="1" x14ac:dyDescent="0.25">
      <c r="A11" s="1082" t="s">
        <v>1785</v>
      </c>
      <c r="B11" s="1842">
        <f>'Acct Summary 7-8'!C81</f>
        <v>3608702</v>
      </c>
      <c r="C11" s="1842">
        <f>'Acct Summary 7-8'!D81</f>
        <v>5460176</v>
      </c>
      <c r="D11" s="1842">
        <f>'Acct Summary 7-8'!F81</f>
        <v>982635</v>
      </c>
      <c r="E11" s="1842">
        <f>'Acct Summary 7-8'!I81</f>
        <v>4630378</v>
      </c>
      <c r="F11" s="1843">
        <f>SUM(B11:E11)</f>
        <v>14681891</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1787</v>
      </c>
      <c r="B16" s="2367"/>
      <c r="C16" s="2367"/>
      <c r="D16" s="2367"/>
      <c r="E16" s="236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9" t="s">
        <v>686</v>
      </c>
      <c r="B3" s="2390"/>
      <c r="C3" s="2390"/>
      <c r="D3" s="239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0" t="s">
        <v>1584</v>
      </c>
      <c r="D7" s="240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4" t="s">
        <v>332</v>
      </c>
      <c r="D21" s="2405"/>
    </row>
    <row r="22" spans="1:10" ht="12.75" x14ac:dyDescent="0.2">
      <c r="A22" s="1140"/>
      <c r="B22" s="1141">
        <v>2</v>
      </c>
      <c r="C22" s="2402" t="s">
        <v>1605</v>
      </c>
      <c r="D22" s="240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6" t="s">
        <v>557</v>
      </c>
      <c r="D43" s="240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8" t="s">
        <v>817</v>
      </c>
      <c r="D56" s="239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8" t="s">
        <v>1797</v>
      </c>
      <c r="D70" s="239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53090308016</v>
      </c>
    </row>
    <row r="3" spans="1:2" x14ac:dyDescent="0.2">
      <c r="A3" t="s">
        <v>1013</v>
      </c>
      <c r="B3" s="138" t="str">
        <f>COVER!A15</f>
        <v>Tazewell</v>
      </c>
    </row>
    <row r="4" spans="1:2" x14ac:dyDescent="0.2">
      <c r="A4" t="s">
        <v>1064</v>
      </c>
      <c r="B4" s="138" t="str">
        <f>COVER!A17</f>
        <v>Washington CHSD 308</v>
      </c>
    </row>
    <row r="5" spans="1:2" x14ac:dyDescent="0.2">
      <c r="A5" t="s">
        <v>728</v>
      </c>
      <c r="B5" s="138" t="str">
        <f>COVER!A38</f>
        <v>Dr. Kyle Freeman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065.027018</v>
      </c>
    </row>
    <row r="16" spans="1:2" x14ac:dyDescent="0.2">
      <c r="A16" t="s">
        <v>442</v>
      </c>
      <c r="B16" s="138" t="str">
        <f>COVER!T13</f>
        <v>Koch Consultants, Ltd.</v>
      </c>
    </row>
    <row r="17" spans="1:2" x14ac:dyDescent="0.2">
      <c r="A17" t="s">
        <v>939</v>
      </c>
      <c r="B17" s="138" t="str">
        <f>COVER!T15</f>
        <v>Nathan D. Koch</v>
      </c>
    </row>
    <row r="18" spans="1:2" x14ac:dyDescent="0.2">
      <c r="A18" t="s">
        <v>1212</v>
      </c>
      <c r="B18" s="138" t="str">
        <f>COVER!T17</f>
        <v>PO Box 1400</v>
      </c>
    </row>
    <row r="19" spans="1:2" x14ac:dyDescent="0.2">
      <c r="A19" t="s">
        <v>941</v>
      </c>
      <c r="B19" s="138" t="str">
        <f>COVER!T25</f>
        <v>nate@kochconsultants.com</v>
      </c>
    </row>
    <row r="20" spans="1:2" x14ac:dyDescent="0.2">
      <c r="A20" t="s">
        <v>942</v>
      </c>
      <c r="B20" s="138" t="str">
        <f>COVER!T19</f>
        <v>Tremont</v>
      </c>
    </row>
    <row r="21" spans="1:2" x14ac:dyDescent="0.2">
      <c r="A21" t="s">
        <v>500</v>
      </c>
      <c r="B21" s="138" t="str">
        <f>COVER!X19</f>
        <v>IL</v>
      </c>
    </row>
    <row r="22" spans="1:2" x14ac:dyDescent="0.2">
      <c r="A22" t="s">
        <v>943</v>
      </c>
      <c r="B22" s="138">
        <f>COVER!Z19</f>
        <v>61568</v>
      </c>
    </row>
    <row r="23" spans="1:2" x14ac:dyDescent="0.2">
      <c r="A23" t="s">
        <v>1214</v>
      </c>
      <c r="B23" s="138" t="str">
        <f>COVER!T21</f>
        <v>(309) 267-3796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2371418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3608702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3608702</v>
      </c>
      <c r="D92" s="2" t="str">
        <f t="shared" si="0"/>
        <v>Error?</v>
      </c>
    </row>
    <row r="93" spans="1:4" x14ac:dyDescent="0.2">
      <c r="A93" s="5">
        <v>32</v>
      </c>
      <c r="B93" s="138">
        <f>'Assets-Liab 5-6'!C41</f>
        <v>3608702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2821650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5460176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5460176</v>
      </c>
      <c r="D123" s="2" t="str">
        <f t="shared" si="0"/>
        <v>Error?</v>
      </c>
    </row>
    <row r="124" spans="1:4" x14ac:dyDescent="0.2">
      <c r="A124" s="5">
        <v>63</v>
      </c>
      <c r="B124" s="138">
        <f>'Assets-Liab 5-6'!D41</f>
        <v>5460176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14224</v>
      </c>
      <c r="D129" s="2" t="str">
        <f t="shared" si="1"/>
        <v>Error?</v>
      </c>
    </row>
    <row r="130" spans="1:4" x14ac:dyDescent="0.2">
      <c r="A130" s="5">
        <v>69</v>
      </c>
      <c r="B130" s="138">
        <f>'Assets-Liab 5-6'!E12</f>
        <v>0</v>
      </c>
      <c r="D130" s="2" t="str">
        <f t="shared" si="1"/>
        <v>Error?</v>
      </c>
    </row>
    <row r="131" spans="1:4" x14ac:dyDescent="0.2">
      <c r="A131" s="5">
        <v>70</v>
      </c>
      <c r="B131" s="138">
        <f>'Assets-Liab 5-6'!E13</f>
        <v>31102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31102</v>
      </c>
      <c r="D140" s="2" t="str">
        <f t="shared" si="1"/>
        <v>Error?</v>
      </c>
    </row>
    <row r="141" spans="1:4" x14ac:dyDescent="0.2">
      <c r="A141" s="5">
        <v>80</v>
      </c>
      <c r="B141" s="138">
        <f>'Assets-Liab 5-6'!E41</f>
        <v>31102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69352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982635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982635</v>
      </c>
      <c r="D170" s="2" t="str">
        <f t="shared" si="1"/>
        <v>Error?</v>
      </c>
    </row>
    <row r="171" spans="1:4" x14ac:dyDescent="0.2">
      <c r="A171" s="5">
        <v>110</v>
      </c>
      <c r="B171" s="138">
        <f>'Assets-Liab 5-6'!F41</f>
        <v>982635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6859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332749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150952</v>
      </c>
      <c r="D189" s="2" t="str">
        <f t="shared" si="1"/>
        <v>Error?</v>
      </c>
    </row>
    <row r="190" spans="1:4" x14ac:dyDescent="0.2">
      <c r="A190" s="5">
        <v>129</v>
      </c>
      <c r="B190" s="138">
        <f>'Assets-Liab 5-6'!G41</f>
        <v>332749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434584</v>
      </c>
      <c r="D273" s="2" t="str">
        <f t="shared" si="3"/>
        <v>Error?</v>
      </c>
    </row>
    <row r="274" spans="1:4" x14ac:dyDescent="0.2">
      <c r="A274" s="5">
        <v>213</v>
      </c>
      <c r="B274" s="138">
        <f>'Assets-Liab 5-6'!M17</f>
        <v>31185283</v>
      </c>
      <c r="D274" s="2" t="str">
        <f t="shared" si="3"/>
        <v>Error?</v>
      </c>
    </row>
    <row r="275" spans="1:4" x14ac:dyDescent="0.2">
      <c r="A275" s="5">
        <v>214</v>
      </c>
      <c r="B275" s="138">
        <f>'Assets-Liab 5-6'!M18</f>
        <v>236754</v>
      </c>
      <c r="D275" s="2" t="str">
        <f t="shared" si="3"/>
        <v>Error?</v>
      </c>
    </row>
    <row r="276" spans="1:4" x14ac:dyDescent="0.2">
      <c r="A276" s="5">
        <v>215</v>
      </c>
      <c r="B276" s="138">
        <f>'Assets-Liab 5-6'!M19</f>
        <v>2740756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34597377</v>
      </c>
      <c r="C279" s="2" t="s">
        <v>594</v>
      </c>
      <c r="D279" s="2" t="str">
        <f t="shared" si="3"/>
        <v>Error?</v>
      </c>
    </row>
    <row r="280" spans="1:4" x14ac:dyDescent="0.2">
      <c r="A280" s="5">
        <v>219</v>
      </c>
      <c r="B280" s="138">
        <f>'Assets-Liab 5-6'!M40</f>
        <v>34597377</v>
      </c>
      <c r="D280" s="2" t="str">
        <f t="shared" si="3"/>
        <v>Error?</v>
      </c>
    </row>
    <row r="281" spans="1:4" x14ac:dyDescent="0.2">
      <c r="A281" s="5">
        <v>220</v>
      </c>
      <c r="B281" s="138">
        <f>'Assets-Liab 5-6'!M41</f>
        <v>34597377</v>
      </c>
      <c r="C281" s="2" t="s">
        <v>594</v>
      </c>
      <c r="D281" s="2" t="str">
        <f t="shared" si="3"/>
        <v>Error?</v>
      </c>
    </row>
    <row r="282" spans="1:4" x14ac:dyDescent="0.2">
      <c r="A282" s="5">
        <v>221</v>
      </c>
      <c r="B282" s="138">
        <f>'Assets-Liab 5-6'!N21</f>
        <v>31102</v>
      </c>
      <c r="D282" s="2" t="str">
        <f t="shared" si="3"/>
        <v>Error?</v>
      </c>
    </row>
    <row r="283" spans="1:4" x14ac:dyDescent="0.2">
      <c r="A283" s="5">
        <v>222</v>
      </c>
      <c r="B283" s="138">
        <f>'Assets-Liab 5-6'!N22</f>
        <v>18893898</v>
      </c>
      <c r="D283" s="2" t="str">
        <f t="shared" si="3"/>
        <v>Error?</v>
      </c>
    </row>
    <row r="284" spans="1:4" x14ac:dyDescent="0.2">
      <c r="A284" s="5">
        <v>223</v>
      </c>
      <c r="B284" s="138">
        <f>'Assets-Liab 5-6'!N23</f>
        <v>18925000</v>
      </c>
      <c r="C284" s="2" t="s">
        <v>594</v>
      </c>
      <c r="D284" s="2" t="str">
        <f t="shared" si="3"/>
        <v>Error?</v>
      </c>
    </row>
    <row r="285" spans="1:4" x14ac:dyDescent="0.2">
      <c r="A285" s="5">
        <v>224</v>
      </c>
      <c r="B285" s="138">
        <f>'Assets-Liab 5-6'!N36</f>
        <v>18925000</v>
      </c>
      <c r="D285" s="2" t="str">
        <f t="shared" si="3"/>
        <v>Error?</v>
      </c>
    </row>
    <row r="286" spans="1:4" x14ac:dyDescent="0.2">
      <c r="A286" s="10">
        <v>225</v>
      </c>
      <c r="D286" s="2" t="str">
        <f t="shared" si="3"/>
        <v>OK</v>
      </c>
    </row>
    <row r="287" spans="1:4" x14ac:dyDescent="0.2">
      <c r="A287" s="5">
        <v>226</v>
      </c>
      <c r="B287" s="138">
        <f>'Assets-Liab 5-6'!N37</f>
        <v>18925000</v>
      </c>
      <c r="C287" s="2" t="s">
        <v>594</v>
      </c>
      <c r="D287" s="2" t="str">
        <f t="shared" si="3"/>
        <v>Error?</v>
      </c>
    </row>
    <row r="288" spans="1:4" x14ac:dyDescent="0.2">
      <c r="A288" s="5">
        <v>227</v>
      </c>
      <c r="B288" s="138">
        <f>'Assets-Liab 5-6'!N41</f>
        <v>18925000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3805000</v>
      </c>
      <c r="D651" s="2" t="str">
        <f t="shared" si="9"/>
        <v>Error?</v>
      </c>
    </row>
    <row r="652" spans="1:4" x14ac:dyDescent="0.2">
      <c r="A652" s="5">
        <v>591</v>
      </c>
      <c r="B652" s="138">
        <f>'Acct Summary 7-8'!I34</f>
        <v>79109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5084868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361874</v>
      </c>
      <c r="D718" s="2" t="str">
        <f t="shared" si="10"/>
        <v>Error?</v>
      </c>
    </row>
    <row r="719" spans="1:4" x14ac:dyDescent="0.2">
      <c r="A719" s="5">
        <v>658</v>
      </c>
      <c r="B719" s="138">
        <f>'Expenditures 15-22'!C15</f>
        <v>23342</v>
      </c>
      <c r="D719" s="2" t="str">
        <f t="shared" si="10"/>
        <v>Error?</v>
      </c>
    </row>
    <row r="720" spans="1:4" x14ac:dyDescent="0.2">
      <c r="A720" s="5">
        <v>659</v>
      </c>
      <c r="B720" s="138">
        <f>'Expenditures 15-22'!C33</f>
        <v>7264544</v>
      </c>
      <c r="C720" s="2" t="s">
        <v>594</v>
      </c>
      <c r="D720" s="2" t="str">
        <f t="shared" si="10"/>
        <v>Error?</v>
      </c>
    </row>
    <row r="721" spans="1:4" x14ac:dyDescent="0.2">
      <c r="A721" s="5">
        <v>660</v>
      </c>
      <c r="B721" s="138">
        <f>'Expenditures 15-22'!C36</f>
        <v>84607</v>
      </c>
      <c r="D721" s="2" t="str">
        <f t="shared" si="10"/>
        <v>Error?</v>
      </c>
    </row>
    <row r="722" spans="1:4" x14ac:dyDescent="0.2">
      <c r="A722" s="5">
        <v>661</v>
      </c>
      <c r="B722" s="138">
        <f>'Expenditures 15-22'!C37</f>
        <v>313283</v>
      </c>
      <c r="D722" s="2" t="str">
        <f t="shared" si="10"/>
        <v>Error?</v>
      </c>
    </row>
    <row r="723" spans="1:4" x14ac:dyDescent="0.2">
      <c r="A723" s="5">
        <v>662</v>
      </c>
      <c r="B723" s="138">
        <f>'Expenditures 15-22'!C38</f>
        <v>38006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435896</v>
      </c>
      <c r="C727" s="2" t="s">
        <v>594</v>
      </c>
      <c r="D727" s="2" t="str">
        <f t="shared" si="10"/>
        <v>Error?</v>
      </c>
    </row>
    <row r="728" spans="1:4" x14ac:dyDescent="0.2">
      <c r="A728" s="5">
        <v>667</v>
      </c>
      <c r="B728" s="138">
        <f>'Expenditures 15-22'!C44</f>
        <v>9700</v>
      </c>
      <c r="D728" s="2" t="str">
        <f t="shared" si="10"/>
        <v>Error?</v>
      </c>
    </row>
    <row r="729" spans="1:4" x14ac:dyDescent="0.2">
      <c r="A729" s="5">
        <v>668</v>
      </c>
      <c r="B729" s="138">
        <f>'Expenditures 15-22'!C45</f>
        <v>95837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105537</v>
      </c>
      <c r="C731" s="2" t="s">
        <v>594</v>
      </c>
      <c r="D731" s="2" t="str">
        <f t="shared" si="10"/>
        <v>Error?</v>
      </c>
    </row>
    <row r="732" spans="1:4" x14ac:dyDescent="0.2">
      <c r="A732" s="5">
        <v>671</v>
      </c>
      <c r="B732" s="138">
        <f>'Expenditures 15-22'!C49</f>
        <v>3507</v>
      </c>
      <c r="D732" s="2" t="str">
        <f t="shared" si="10"/>
        <v>Error?</v>
      </c>
    </row>
    <row r="733" spans="1:4" x14ac:dyDescent="0.2">
      <c r="A733" s="5">
        <v>672</v>
      </c>
      <c r="B733" s="138">
        <f>'Expenditures 15-22'!C50</f>
        <v>230132</v>
      </c>
      <c r="D733" s="2" t="str">
        <f t="shared" si="10"/>
        <v>Error?</v>
      </c>
    </row>
    <row r="734" spans="1:4" x14ac:dyDescent="0.2">
      <c r="A734" s="5">
        <v>673</v>
      </c>
      <c r="B734" s="138">
        <f>'Expenditures 15-22'!C53</f>
        <v>233639</v>
      </c>
      <c r="C734" s="2" t="s">
        <v>594</v>
      </c>
      <c r="D734" s="2" t="str">
        <f t="shared" si="10"/>
        <v>Error?</v>
      </c>
    </row>
    <row r="735" spans="1:4" x14ac:dyDescent="0.2">
      <c r="A735" s="5">
        <v>674</v>
      </c>
      <c r="B735" s="138">
        <f>'Expenditures 15-22'!C55</f>
        <v>158593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158593</v>
      </c>
      <c r="C737" s="2" t="s">
        <v>594</v>
      </c>
      <c r="D737" s="2" t="str">
        <f t="shared" si="10"/>
        <v>Error?</v>
      </c>
    </row>
    <row r="738" spans="1:4" x14ac:dyDescent="0.2">
      <c r="A738" s="5">
        <v>677</v>
      </c>
      <c r="B738" s="138">
        <f>'Expenditures 15-22'!C59</f>
        <v>75016</v>
      </c>
      <c r="D738" s="2" t="str">
        <f t="shared" si="10"/>
        <v>Error?</v>
      </c>
    </row>
    <row r="739" spans="1:4" x14ac:dyDescent="0.2">
      <c r="A739" s="5">
        <v>678</v>
      </c>
      <c r="B739" s="138">
        <f>'Expenditures 15-22'!C60</f>
        <v>96439</v>
      </c>
      <c r="D739" s="2" t="str">
        <f t="shared" si="10"/>
        <v>Error?</v>
      </c>
    </row>
    <row r="740" spans="1:4" x14ac:dyDescent="0.2">
      <c r="A740" s="5">
        <v>679</v>
      </c>
      <c r="B740" s="138">
        <f>'Expenditures 15-22'!C61</f>
        <v>335415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190166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697036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1630701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8895245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1663101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46213</v>
      </c>
      <c r="D776" s="2" t="str">
        <f t="shared" si="11"/>
        <v>Error?</v>
      </c>
    </row>
    <row r="777" spans="1:4" x14ac:dyDescent="0.2">
      <c r="A777" s="5">
        <v>716</v>
      </c>
      <c r="B777" s="138">
        <f>'Expenditures 15-22'!D15</f>
        <v>2400</v>
      </c>
      <c r="D777" s="2" t="str">
        <f t="shared" si="11"/>
        <v>Error?</v>
      </c>
    </row>
    <row r="778" spans="1:4" x14ac:dyDescent="0.2">
      <c r="A778" s="5">
        <v>717</v>
      </c>
      <c r="B778" s="138">
        <f>'Expenditures 15-22'!D33</f>
        <v>2385261</v>
      </c>
      <c r="C778" s="2" t="s">
        <v>594</v>
      </c>
      <c r="D778" s="2" t="str">
        <f t="shared" si="11"/>
        <v>Error?</v>
      </c>
    </row>
    <row r="779" spans="1:4" x14ac:dyDescent="0.2">
      <c r="A779" s="5">
        <v>718</v>
      </c>
      <c r="B779" s="138">
        <f>'Expenditures 15-22'!D36</f>
        <v>39660</v>
      </c>
      <c r="D779" s="2" t="str">
        <f t="shared" si="11"/>
        <v>Error?</v>
      </c>
    </row>
    <row r="780" spans="1:4" x14ac:dyDescent="0.2">
      <c r="A780" s="5">
        <v>719</v>
      </c>
      <c r="B780" s="138">
        <f>'Expenditures 15-22'!D37</f>
        <v>79363</v>
      </c>
      <c r="D780" s="2" t="str">
        <f t="shared" si="11"/>
        <v>Error?</v>
      </c>
    </row>
    <row r="781" spans="1:4" x14ac:dyDescent="0.2">
      <c r="A781" s="5">
        <v>720</v>
      </c>
      <c r="B781" s="138">
        <f>'Expenditures 15-22'!D38</f>
        <v>11917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130940</v>
      </c>
      <c r="C785" s="2" t="s">
        <v>594</v>
      </c>
      <c r="D785" s="2" t="str">
        <f t="shared" si="11"/>
        <v>Error?</v>
      </c>
    </row>
    <row r="786" spans="1:4" x14ac:dyDescent="0.2">
      <c r="A786" s="5">
        <v>725</v>
      </c>
      <c r="B786" s="138">
        <f>'Expenditures 15-22'!D44</f>
        <v>43159</v>
      </c>
      <c r="D786" s="2" t="str">
        <f t="shared" si="11"/>
        <v>Error?</v>
      </c>
    </row>
    <row r="787" spans="1:4" x14ac:dyDescent="0.2">
      <c r="A787" s="5">
        <v>726</v>
      </c>
      <c r="B787" s="138">
        <f>'Expenditures 15-22'!D45</f>
        <v>28864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72023</v>
      </c>
      <c r="C789" s="2" t="s">
        <v>594</v>
      </c>
      <c r="D789" s="2" t="str">
        <f t="shared" si="11"/>
        <v>Error?</v>
      </c>
    </row>
    <row r="790" spans="1:4" x14ac:dyDescent="0.2">
      <c r="A790" s="5">
        <v>729</v>
      </c>
      <c r="B790" s="138">
        <f>'Expenditures 15-22'!D49</f>
        <v>3368</v>
      </c>
      <c r="D790" s="2" t="str">
        <f t="shared" si="11"/>
        <v>Error?</v>
      </c>
    </row>
    <row r="791" spans="1:4" x14ac:dyDescent="0.2">
      <c r="A791" s="5">
        <v>730</v>
      </c>
      <c r="B791" s="138">
        <f>'Expenditures 15-22'!D50</f>
        <v>87762</v>
      </c>
      <c r="D791" s="2" t="str">
        <f t="shared" si="11"/>
        <v>Error?</v>
      </c>
    </row>
    <row r="792" spans="1:4" x14ac:dyDescent="0.2">
      <c r="A792" s="5">
        <v>731</v>
      </c>
      <c r="B792" s="138">
        <f>'Expenditures 15-22'!D53</f>
        <v>91130</v>
      </c>
      <c r="C792" s="2" t="s">
        <v>594</v>
      </c>
      <c r="D792" s="2" t="str">
        <f t="shared" si="11"/>
        <v>Error?</v>
      </c>
    </row>
    <row r="793" spans="1:4" x14ac:dyDescent="0.2">
      <c r="A793" s="5">
        <v>732</v>
      </c>
      <c r="B793" s="138">
        <f>'Expenditures 15-22'!D55</f>
        <v>45697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45697</v>
      </c>
      <c r="C795" s="2" t="s">
        <v>594</v>
      </c>
      <c r="D795" s="2" t="str">
        <f t="shared" si="11"/>
        <v>Error?</v>
      </c>
    </row>
    <row r="796" spans="1:4" x14ac:dyDescent="0.2">
      <c r="A796" s="5">
        <v>735</v>
      </c>
      <c r="B796" s="138">
        <f>'Expenditures 15-22'!D59</f>
        <v>23451</v>
      </c>
      <c r="D796" s="2" t="str">
        <f t="shared" si="11"/>
        <v>Error?</v>
      </c>
    </row>
    <row r="797" spans="1:4" x14ac:dyDescent="0.2">
      <c r="A797" s="5">
        <v>736</v>
      </c>
      <c r="B797" s="138">
        <f>'Expenditures 15-22'!D60</f>
        <v>23831</v>
      </c>
      <c r="D797" s="2" t="str">
        <f t="shared" si="11"/>
        <v>Error?</v>
      </c>
    </row>
    <row r="798" spans="1:4" x14ac:dyDescent="0.2">
      <c r="A798" s="5">
        <v>737</v>
      </c>
      <c r="B798" s="138">
        <f>'Expenditures 15-22'!D61</f>
        <v>115160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55761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218203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557993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2943254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194065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73698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297417</v>
      </c>
      <c r="C836" s="2" t="s">
        <v>594</v>
      </c>
      <c r="D836" s="2" t="str">
        <f t="shared" si="12"/>
        <v>Error?</v>
      </c>
    </row>
    <row r="837" spans="1:4" x14ac:dyDescent="0.2">
      <c r="A837" s="5">
        <v>776</v>
      </c>
      <c r="B837" s="138">
        <f>'Expenditures 15-22'!E36</f>
        <v>3</v>
      </c>
      <c r="D837" s="2" t="str">
        <f t="shared" si="12"/>
        <v>Error?</v>
      </c>
    </row>
    <row r="838" spans="1:4" x14ac:dyDescent="0.2">
      <c r="A838" s="5">
        <v>777</v>
      </c>
      <c r="B838" s="138">
        <f>'Expenditures 15-22'!E37</f>
        <v>159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162</v>
      </c>
      <c r="C843" s="2" t="s">
        <v>594</v>
      </c>
      <c r="D843" s="2" t="str">
        <f t="shared" si="12"/>
        <v>Error?</v>
      </c>
    </row>
    <row r="844" spans="1:4" x14ac:dyDescent="0.2">
      <c r="A844" s="5">
        <v>783</v>
      </c>
      <c r="B844" s="138">
        <f>'Expenditures 15-22'!E44</f>
        <v>44476</v>
      </c>
      <c r="D844" s="2" t="str">
        <f t="shared" si="12"/>
        <v>Error?</v>
      </c>
    </row>
    <row r="845" spans="1:4" x14ac:dyDescent="0.2">
      <c r="A845" s="5">
        <v>784</v>
      </c>
      <c r="B845" s="138">
        <f>'Expenditures 15-22'!E45</f>
        <v>484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44960</v>
      </c>
      <c r="C847" s="2" t="s">
        <v>594</v>
      </c>
      <c r="D847" s="2" t="str">
        <f t="shared" si="12"/>
        <v>Error?</v>
      </c>
    </row>
    <row r="848" spans="1:4" x14ac:dyDescent="0.2">
      <c r="A848" s="5">
        <v>787</v>
      </c>
      <c r="B848" s="138">
        <f>'Expenditures 15-22'!E49</f>
        <v>76763</v>
      </c>
      <c r="D848" s="2" t="str">
        <f t="shared" si="12"/>
        <v>Error?</v>
      </c>
    </row>
    <row r="849" spans="1:4" x14ac:dyDescent="0.2">
      <c r="A849" s="5">
        <v>788</v>
      </c>
      <c r="B849" s="138">
        <f>'Expenditures 15-22'!E50</f>
        <v>1888</v>
      </c>
      <c r="D849" s="2" t="str">
        <f t="shared" si="12"/>
        <v>Error?</v>
      </c>
    </row>
    <row r="850" spans="1:4" x14ac:dyDescent="0.2">
      <c r="A850" s="5">
        <v>789</v>
      </c>
      <c r="B850" s="138">
        <f>'Expenditures 15-22'!E53</f>
        <v>78651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567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53122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55130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11767</v>
      </c>
      <c r="D870" s="2" t="str">
        <f t="shared" si="12"/>
        <v>Error?</v>
      </c>
    </row>
    <row r="871" spans="1:4" x14ac:dyDescent="0.2">
      <c r="A871" s="5">
        <v>810</v>
      </c>
      <c r="B871" s="138">
        <f>'Expenditures 15-22'!E74</f>
        <v>190670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663822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193406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53182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277336</v>
      </c>
      <c r="C894" s="2" t="s">
        <v>594</v>
      </c>
      <c r="D894" s="2" t="str">
        <f t="shared" si="12"/>
        <v>Error?</v>
      </c>
    </row>
    <row r="895" spans="1:4" x14ac:dyDescent="0.2">
      <c r="A895" s="5">
        <v>834</v>
      </c>
      <c r="B895" s="138">
        <f>'Expenditures 15-22'!F36</f>
        <v>2607</v>
      </c>
      <c r="D895" s="2" t="str">
        <f t="shared" ref="D895:D958" si="13">IF(ISBLANK(B895),"OK",IF(A895-B895=0,"OK","Error?"))</f>
        <v>Error?</v>
      </c>
    </row>
    <row r="896" spans="1:4" x14ac:dyDescent="0.2">
      <c r="A896" s="5">
        <v>835</v>
      </c>
      <c r="B896" s="138">
        <f>'Expenditures 15-22'!F37</f>
        <v>52433</v>
      </c>
      <c r="D896" s="2" t="str">
        <f t="shared" si="13"/>
        <v>Error?</v>
      </c>
    </row>
    <row r="897" spans="1:4" x14ac:dyDescent="0.2">
      <c r="A897" s="5">
        <v>836</v>
      </c>
      <c r="B897" s="138">
        <f>'Expenditures 15-22'!F38</f>
        <v>2338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57378</v>
      </c>
      <c r="C901" s="2" t="s">
        <v>594</v>
      </c>
      <c r="D901" s="2" t="str">
        <f t="shared" si="13"/>
        <v>Error?</v>
      </c>
    </row>
    <row r="902" spans="1:4" x14ac:dyDescent="0.2">
      <c r="A902" s="5">
        <v>841</v>
      </c>
      <c r="B902" s="138">
        <f>'Expenditures 15-22'!F44</f>
        <v>3</v>
      </c>
      <c r="D902" s="2" t="str">
        <f t="shared" si="13"/>
        <v>Error?</v>
      </c>
    </row>
    <row r="903" spans="1:4" x14ac:dyDescent="0.2">
      <c r="A903" s="5">
        <v>842</v>
      </c>
      <c r="B903" s="138">
        <f>'Expenditures 15-22'!F45</f>
        <v>21045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21048</v>
      </c>
      <c r="C905" s="2" t="s">
        <v>594</v>
      </c>
      <c r="D905" s="2" t="str">
        <f t="shared" si="13"/>
        <v>Error?</v>
      </c>
    </row>
    <row r="906" spans="1:4" x14ac:dyDescent="0.2">
      <c r="A906" s="5">
        <v>845</v>
      </c>
      <c r="B906" s="138">
        <f>'Expenditures 15-22'!F49</f>
        <v>16995</v>
      </c>
      <c r="D906" s="2" t="str">
        <f t="shared" si="13"/>
        <v>Error?</v>
      </c>
    </row>
    <row r="907" spans="1:4" x14ac:dyDescent="0.2">
      <c r="A907" s="5">
        <v>846</v>
      </c>
      <c r="B907" s="138">
        <f>'Expenditures 15-22'!F50</f>
        <v>2583</v>
      </c>
      <c r="D907" s="2" t="str">
        <f t="shared" si="13"/>
        <v>Error?</v>
      </c>
    </row>
    <row r="908" spans="1:4" x14ac:dyDescent="0.2">
      <c r="A908" s="5">
        <v>847</v>
      </c>
      <c r="B908" s="138">
        <f>'Expenditures 15-22'!F53</f>
        <v>19578</v>
      </c>
      <c r="C908" s="2" t="s">
        <v>594</v>
      </c>
      <c r="D908" s="2" t="str">
        <f t="shared" si="13"/>
        <v>Error?</v>
      </c>
    </row>
    <row r="909" spans="1:4" x14ac:dyDescent="0.2">
      <c r="A909" s="5">
        <v>848</v>
      </c>
      <c r="B909" s="138">
        <f>'Expenditures 15-22'!F55</f>
        <v>65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65</v>
      </c>
      <c r="C911" s="2" t="s">
        <v>594</v>
      </c>
      <c r="D911" s="2" t="str">
        <f t="shared" si="13"/>
        <v>Error?</v>
      </c>
    </row>
    <row r="912" spans="1:4" x14ac:dyDescent="0.2">
      <c r="A912" s="5">
        <v>851</v>
      </c>
      <c r="B912" s="138">
        <f>'Expenditures 15-22'!F59</f>
        <v>1636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348534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350170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24609</v>
      </c>
      <c r="D928" s="2" t="str">
        <f t="shared" si="13"/>
        <v>Error?</v>
      </c>
    </row>
    <row r="929" spans="1:4" x14ac:dyDescent="0.2">
      <c r="A929" s="5">
        <v>868</v>
      </c>
      <c r="B929" s="138">
        <f>'Expenditures 15-22'!F74</f>
        <v>472848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750184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191640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200049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1006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1006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1006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201055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15091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154016</v>
      </c>
      <c r="C1010" s="2" t="s">
        <v>594</v>
      </c>
      <c r="D1010" s="2" t="str">
        <f t="shared" si="14"/>
        <v>Error?</v>
      </c>
    </row>
    <row r="1011" spans="1:4" x14ac:dyDescent="0.2">
      <c r="A1011" s="5">
        <v>950</v>
      </c>
      <c r="B1011" s="138">
        <f>'Expenditures 15-22'!H36</f>
        <v>1166</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1551</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394</v>
      </c>
      <c r="C1021" s="2" t="s">
        <v>594</v>
      </c>
      <c r="D1021" s="2" t="str">
        <f t="shared" si="14"/>
        <v>Error?</v>
      </c>
    </row>
    <row r="1022" spans="1:4" x14ac:dyDescent="0.2">
      <c r="A1022" s="5">
        <v>961</v>
      </c>
      <c r="B1022" s="138">
        <f>'Expenditures 15-22'!H49</f>
        <v>15524</v>
      </c>
      <c r="D1022" s="2" t="str">
        <f t="shared" si="14"/>
        <v>Error?</v>
      </c>
    </row>
    <row r="1023" spans="1:4" x14ac:dyDescent="0.2">
      <c r="A1023" s="5">
        <v>962</v>
      </c>
      <c r="B1023" s="138">
        <f>'Expenditures 15-22'!H50</f>
        <v>7894</v>
      </c>
      <c r="D1023" s="2" t="str">
        <f t="shared" ref="D1023:D1086" si="15">IF(ISBLANK(B1023),"OK",IF(A1023-B1023=0,"OK","Error?"))</f>
        <v>Error?</v>
      </c>
    </row>
    <row r="1024" spans="1:4" x14ac:dyDescent="0.2">
      <c r="A1024" s="5">
        <v>963</v>
      </c>
      <c r="B1024" s="138">
        <f>'Expenditures 15-22'!H53</f>
        <v>23418</v>
      </c>
      <c r="C1024" s="2" t="s">
        <v>594</v>
      </c>
      <c r="D1024" s="2" t="str">
        <f t="shared" si="15"/>
        <v>Error?</v>
      </c>
    </row>
    <row r="1025" spans="1:4" x14ac:dyDescent="0.2">
      <c r="A1025" s="5">
        <v>964</v>
      </c>
      <c r="B1025" s="138">
        <f>'Expenditures 15-22'!H55</f>
        <v>514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514</v>
      </c>
      <c r="C1027" s="2" t="s">
        <v>594</v>
      </c>
      <c r="D1027" s="2" t="str">
        <f t="shared" si="15"/>
        <v>Error?</v>
      </c>
    </row>
    <row r="1028" spans="1:4" x14ac:dyDescent="0.2">
      <c r="A1028" s="5">
        <v>967</v>
      </c>
      <c r="B1028" s="138">
        <f>'Expenditures 15-22'!H59</f>
        <v>2079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3184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29061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139531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322608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7327080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555558</v>
      </c>
      <c r="C1106" s="2" t="s">
        <v>594</v>
      </c>
      <c r="D1106" s="2" t="str">
        <f t="shared" si="16"/>
        <v>Error?</v>
      </c>
    </row>
    <row r="1107" spans="1:4" x14ac:dyDescent="0.2">
      <c r="A1107" s="5">
        <v>1046</v>
      </c>
      <c r="B1107" s="138">
        <f>'Expenditures 15-22'!K15</f>
        <v>25742</v>
      </c>
      <c r="C1107" s="2" t="s">
        <v>594</v>
      </c>
      <c r="D1107" s="2" t="str">
        <f t="shared" si="16"/>
        <v>Error?</v>
      </c>
    </row>
    <row r="1108" spans="1:4" x14ac:dyDescent="0.2">
      <c r="A1108" s="5">
        <v>1047</v>
      </c>
      <c r="B1108" s="138">
        <f>'Expenditures 15-22'!K33</f>
        <v>10578623</v>
      </c>
      <c r="C1108" s="2" t="s">
        <v>594</v>
      </c>
      <c r="D1108" s="2" t="str">
        <f t="shared" si="16"/>
        <v>Error?</v>
      </c>
    </row>
    <row r="1109" spans="1:4" x14ac:dyDescent="0.2">
      <c r="A1109" s="5">
        <v>1048</v>
      </c>
      <c r="B1109" s="138">
        <f>'Expenditures 15-22'!K36</f>
        <v>128043</v>
      </c>
      <c r="C1109" s="2" t="s">
        <v>594</v>
      </c>
      <c r="D1109" s="2" t="str">
        <f t="shared" si="16"/>
        <v>Error?</v>
      </c>
    </row>
    <row r="1110" spans="1:4" x14ac:dyDescent="0.2">
      <c r="A1110" s="5">
        <v>1049</v>
      </c>
      <c r="B1110" s="138">
        <f>'Expenditures 15-22'!K37</f>
        <v>445623</v>
      </c>
      <c r="C1110" s="2" t="s">
        <v>594</v>
      </c>
      <c r="D1110" s="2" t="str">
        <f t="shared" si="16"/>
        <v>Error?</v>
      </c>
    </row>
    <row r="1111" spans="1:4" x14ac:dyDescent="0.2">
      <c r="A1111" s="5">
        <v>1050</v>
      </c>
      <c r="B1111" s="138">
        <f>'Expenditures 15-22'!K38</f>
        <v>52261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625927</v>
      </c>
      <c r="C1115" s="2" t="s">
        <v>594</v>
      </c>
      <c r="D1115" s="2" t="str">
        <f t="shared" si="16"/>
        <v>Error?</v>
      </c>
    </row>
    <row r="1116" spans="1:4" x14ac:dyDescent="0.2">
      <c r="A1116" s="5">
        <v>1055</v>
      </c>
      <c r="B1116" s="138">
        <f>'Expenditures 15-22'!K44</f>
        <v>97338</v>
      </c>
      <c r="C1116" s="2" t="s">
        <v>594</v>
      </c>
      <c r="D1116" s="2" t="str">
        <f t="shared" si="16"/>
        <v>Error?</v>
      </c>
    </row>
    <row r="1117" spans="1:4" x14ac:dyDescent="0.2">
      <c r="A1117" s="5">
        <v>1056</v>
      </c>
      <c r="B1117" s="138">
        <f>'Expenditures 15-22'!K45</f>
        <v>146624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243962</v>
      </c>
      <c r="C1119" s="2" t="s">
        <v>594</v>
      </c>
      <c r="D1119" s="2" t="str">
        <f t="shared" si="16"/>
        <v>Error?</v>
      </c>
    </row>
    <row r="1120" spans="1:4" x14ac:dyDescent="0.2">
      <c r="A1120" s="5">
        <v>1059</v>
      </c>
      <c r="B1120" s="138">
        <f>'Expenditures 15-22'!K49</f>
        <v>116157</v>
      </c>
      <c r="C1120" s="2" t="s">
        <v>594</v>
      </c>
      <c r="D1120" s="2" t="str">
        <f t="shared" si="16"/>
        <v>Error?</v>
      </c>
    </row>
    <row r="1121" spans="1:4" x14ac:dyDescent="0.2">
      <c r="A1121" s="5">
        <v>1060</v>
      </c>
      <c r="B1121" s="138">
        <f>'Expenditures 15-22'!K50</f>
        <v>330259</v>
      </c>
      <c r="C1121" s="2" t="s">
        <v>594</v>
      </c>
      <c r="D1121" s="2" t="str">
        <f t="shared" si="16"/>
        <v>Error?</v>
      </c>
    </row>
    <row r="1122" spans="1:4" x14ac:dyDescent="0.2">
      <c r="A1122" s="5">
        <v>1061</v>
      </c>
      <c r="B1122" s="138">
        <f>'Expenditures 15-22'!K53</f>
        <v>446416</v>
      </c>
      <c r="C1122" s="2" t="s">
        <v>594</v>
      </c>
      <c r="D1122" s="2" t="str">
        <f t="shared" si="16"/>
        <v>Error?</v>
      </c>
    </row>
    <row r="1123" spans="1:4" x14ac:dyDescent="0.2">
      <c r="A1123" s="5">
        <v>1062</v>
      </c>
      <c r="B1123" s="138">
        <f>'Expenditures 15-22'!K55</f>
        <v>204869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204869</v>
      </c>
      <c r="C1125" s="2" t="s">
        <v>594</v>
      </c>
      <c r="D1125" s="2" t="str">
        <f t="shared" si="16"/>
        <v>Error?</v>
      </c>
    </row>
    <row r="1126" spans="1:4" x14ac:dyDescent="0.2">
      <c r="A1126" s="5">
        <v>1065</v>
      </c>
      <c r="B1126" s="138">
        <f>'Expenditures 15-22'!K59</f>
        <v>102749</v>
      </c>
      <c r="C1126" s="2" t="s">
        <v>594</v>
      </c>
      <c r="D1126" s="2" t="str">
        <f t="shared" si="16"/>
        <v>Error?</v>
      </c>
    </row>
    <row r="1127" spans="1:4" x14ac:dyDescent="0.2">
      <c r="A1127" s="5">
        <v>1066</v>
      </c>
      <c r="B1127" s="138">
        <f>'Expenditures 15-22'!K60</f>
        <v>120270</v>
      </c>
      <c r="C1127" s="2" t="s">
        <v>594</v>
      </c>
      <c r="D1127" s="2" t="str">
        <f t="shared" si="16"/>
        <v>Error?</v>
      </c>
    </row>
    <row r="1128" spans="1:4" x14ac:dyDescent="0.2">
      <c r="A1128" s="5">
        <v>1067</v>
      </c>
      <c r="B1128" s="138">
        <f>'Expenditures 15-22'!K61</f>
        <v>503697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598013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1324729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36376</v>
      </c>
      <c r="C1142" s="2" t="s">
        <v>594</v>
      </c>
      <c r="D1142" s="2" t="str">
        <f t="shared" si="16"/>
        <v>Error?</v>
      </c>
    </row>
    <row r="1143" spans="1:4" x14ac:dyDescent="0.2">
      <c r="A1143" s="5">
        <v>1082</v>
      </c>
      <c r="B1143" s="138">
        <f>'Expenditures 15-22'!K74</f>
        <v>2882279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315266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13776168</v>
      </c>
      <c r="C1152" s="2" t="s">
        <v>594</v>
      </c>
      <c r="D1152" s="2" t="str">
        <f t="shared" si="17"/>
        <v>Error?</v>
      </c>
    </row>
    <row r="1153" spans="1:4" x14ac:dyDescent="0.2">
      <c r="A1153" s="5">
        <v>1092</v>
      </c>
      <c r="B1153" s="138">
        <f>'Expenditures 15-22'!K115</f>
        <v>268453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57448</v>
      </c>
      <c r="D1221" s="2" t="str">
        <f t="shared" si="18"/>
        <v>Error?</v>
      </c>
    </row>
    <row r="1222" spans="1:4" x14ac:dyDescent="0.2">
      <c r="A1222" s="10">
        <v>1161</v>
      </c>
      <c r="D1222" s="2" t="str">
        <f t="shared" si="18"/>
        <v>OK</v>
      </c>
    </row>
    <row r="1223" spans="1:4" x14ac:dyDescent="0.2">
      <c r="A1223" s="5">
        <v>1162</v>
      </c>
      <c r="B1223" s="138">
        <f>'Expenditures 15-22'!C127</f>
        <v>57448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57448</v>
      </c>
      <c r="C1225" s="2" t="s">
        <v>594</v>
      </c>
      <c r="D1225" s="2" t="str">
        <f t="shared" si="18"/>
        <v>Error?</v>
      </c>
    </row>
    <row r="1226" spans="1:4" x14ac:dyDescent="0.2">
      <c r="A1226" s="5">
        <v>1165</v>
      </c>
      <c r="B1226" s="138">
        <f>'Expenditures 15-22'!C151</f>
        <v>57448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238164</v>
      </c>
      <c r="D1236" s="2" t="str">
        <f t="shared" si="18"/>
        <v>Error?</v>
      </c>
    </row>
    <row r="1237" spans="1:4" x14ac:dyDescent="0.2">
      <c r="A1237" s="5">
        <v>1176</v>
      </c>
      <c r="B1237" s="138">
        <f>'Expenditures 15-22'!E124</f>
        <v>538590</v>
      </c>
      <c r="D1237" s="2" t="str">
        <f t="shared" si="18"/>
        <v>Error?</v>
      </c>
    </row>
    <row r="1238" spans="1:4" x14ac:dyDescent="0.2">
      <c r="A1238" s="10">
        <v>1177</v>
      </c>
      <c r="D1238" s="2" t="str">
        <f t="shared" si="18"/>
        <v>OK</v>
      </c>
    </row>
    <row r="1239" spans="1:4" x14ac:dyDescent="0.2">
      <c r="A1239" s="5">
        <v>1178</v>
      </c>
      <c r="B1239" s="138">
        <f>'Expenditures 15-22'!E127</f>
        <v>776754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776754</v>
      </c>
      <c r="C1241" s="2" t="s">
        <v>594</v>
      </c>
      <c r="D1241" s="2" t="str">
        <f t="shared" si="18"/>
        <v>Error?</v>
      </c>
    </row>
    <row r="1242" spans="1:4" x14ac:dyDescent="0.2">
      <c r="A1242" s="5">
        <v>1181</v>
      </c>
      <c r="B1242" s="138">
        <f>'Expenditures 15-22'!E151</f>
        <v>776754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325543</v>
      </c>
      <c r="D1245" s="2" t="str">
        <f t="shared" si="18"/>
        <v>Error?</v>
      </c>
    </row>
    <row r="1246" spans="1:4" x14ac:dyDescent="0.2">
      <c r="A1246" s="10">
        <v>1185</v>
      </c>
      <c r="D1246" s="2" t="str">
        <f t="shared" si="18"/>
        <v>OK</v>
      </c>
    </row>
    <row r="1247" spans="1:4" x14ac:dyDescent="0.2">
      <c r="A1247" s="5">
        <v>1186</v>
      </c>
      <c r="B1247" s="138">
        <f>'Expenditures 15-22'!F127</f>
        <v>325543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325543</v>
      </c>
      <c r="C1249" s="2" t="s">
        <v>594</v>
      </c>
      <c r="D1249" s="2" t="str">
        <f t="shared" si="18"/>
        <v>Error?</v>
      </c>
    </row>
    <row r="1250" spans="1:4" x14ac:dyDescent="0.2">
      <c r="A1250" s="5">
        <v>1189</v>
      </c>
      <c r="B1250" s="138">
        <f>'Expenditures 15-22'!F151</f>
        <v>325543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441733</v>
      </c>
      <c r="D1252" s="2" t="str">
        <f t="shared" si="18"/>
        <v>Error?</v>
      </c>
    </row>
    <row r="1253" spans="1:4" x14ac:dyDescent="0.2">
      <c r="A1253" s="5">
        <v>1192</v>
      </c>
      <c r="B1253" s="138">
        <f>'Expenditures 15-22'!G124</f>
        <v>29157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470890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470890</v>
      </c>
      <c r="C1258" s="2" t="s">
        <v>594</v>
      </c>
      <c r="D1258" s="2" t="str">
        <f t="shared" si="18"/>
        <v>Error?</v>
      </c>
    </row>
    <row r="1259" spans="1:4" x14ac:dyDescent="0.2">
      <c r="A1259" s="5">
        <v>1198</v>
      </c>
      <c r="B1259" s="138">
        <f>'Expenditures 15-22'!G151</f>
        <v>470890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679897</v>
      </c>
      <c r="C1275" s="2" t="s">
        <v>594</v>
      </c>
      <c r="D1275" s="2" t="str">
        <f t="shared" si="18"/>
        <v>Error?</v>
      </c>
    </row>
    <row r="1276" spans="1:4" x14ac:dyDescent="0.2">
      <c r="A1276" s="5">
        <v>1215</v>
      </c>
      <c r="B1276" s="138">
        <f>'Expenditures 15-22'!K124</f>
        <v>950738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1630635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1630635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1630635</v>
      </c>
      <c r="C1288" s="2" t="s">
        <v>594</v>
      </c>
      <c r="D1288" s="2" t="str">
        <f t="shared" si="19"/>
        <v>Error?</v>
      </c>
    </row>
    <row r="1289" spans="1:4" x14ac:dyDescent="0.2">
      <c r="A1289" s="5">
        <v>1228</v>
      </c>
      <c r="B1289" s="138">
        <f>'Expenditures 15-22'!K152</f>
        <v>505235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594</v>
      </c>
      <c r="D1308" s="2" t="str">
        <f t="shared" si="19"/>
        <v>Error?</v>
      </c>
    </row>
    <row r="1309" spans="1:4" x14ac:dyDescent="0.2">
      <c r="A1309" s="5">
        <v>1248</v>
      </c>
      <c r="B1309" s="138">
        <f>'Expenditures 15-22'!E174</f>
        <v>1500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450975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1245975</v>
      </c>
      <c r="C1317" s="2" t="s">
        <v>594</v>
      </c>
      <c r="D1317" s="2" t="str">
        <f t="shared" si="19"/>
        <v>Error?</v>
      </c>
    </row>
    <row r="1318" spans="1:4" x14ac:dyDescent="0.2">
      <c r="A1318" s="5">
        <v>1257</v>
      </c>
      <c r="B1318" s="138">
        <f>'Expenditures 15-22'!H174</f>
        <v>1245975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450975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795000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1247475</v>
      </c>
      <c r="C1331" s="2" t="s">
        <v>594</v>
      </c>
      <c r="D1331" s="2" t="str">
        <f t="shared" si="19"/>
        <v>Error?</v>
      </c>
    </row>
    <row r="1332" spans="1:4" x14ac:dyDescent="0.2">
      <c r="A1332" s="5">
        <v>1271</v>
      </c>
      <c r="B1332" s="138">
        <f>'Expenditures 15-22'!K174</f>
        <v>1247475</v>
      </c>
      <c r="C1332" s="2" t="s">
        <v>594</v>
      </c>
      <c r="D1332" s="2" t="str">
        <f t="shared" si="19"/>
        <v>Error?</v>
      </c>
    </row>
    <row r="1333" spans="1:4" x14ac:dyDescent="0.2">
      <c r="A1333" s="5">
        <v>1272</v>
      </c>
      <c r="B1333" s="138">
        <f>'Expenditures 15-22'!K175</f>
        <v>5790</v>
      </c>
      <c r="C1333" s="2" t="s">
        <v>594</v>
      </c>
      <c r="D1333" s="2" t="str">
        <f t="shared" si="19"/>
        <v>Error?</v>
      </c>
    </row>
    <row r="1334" spans="1:4" x14ac:dyDescent="0.2">
      <c r="A1334" s="10">
        <v>1273</v>
      </c>
      <c r="D1334" s="2" t="str">
        <f t="shared" si="19"/>
        <v>OK</v>
      </c>
    </row>
    <row r="1335" spans="1:4" x14ac:dyDescent="0.2">
      <c r="A1335" s="5">
        <v>1274</v>
      </c>
      <c r="B1335" s="138">
        <f>'Expenditures 15-22'!C182</f>
        <v>183172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183172</v>
      </c>
      <c r="C1339" s="2" t="s">
        <v>594</v>
      </c>
      <c r="D1339" s="2" t="str">
        <f t="shared" si="19"/>
        <v>Error?</v>
      </c>
    </row>
    <row r="1340" spans="1:4" x14ac:dyDescent="0.2">
      <c r="A1340" s="5">
        <v>1279</v>
      </c>
      <c r="B1340" s="138">
        <f>'Expenditures 15-22'!C210</f>
        <v>183172</v>
      </c>
      <c r="C1340" s="2" t="s">
        <v>594</v>
      </c>
      <c r="D1340" s="2" t="str">
        <f t="shared" si="19"/>
        <v>Error?</v>
      </c>
    </row>
    <row r="1341" spans="1:4" x14ac:dyDescent="0.2">
      <c r="A1341" s="5">
        <v>1280</v>
      </c>
      <c r="B1341" s="138">
        <f>'Expenditures 15-22'!D182</f>
        <v>7087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7087</v>
      </c>
      <c r="C1345" s="2" t="s">
        <v>594</v>
      </c>
      <c r="D1345" s="2" t="str">
        <f t="shared" si="20"/>
        <v>Error?</v>
      </c>
    </row>
    <row r="1346" spans="1:4" x14ac:dyDescent="0.2">
      <c r="A1346" s="5">
        <v>1285</v>
      </c>
      <c r="B1346" s="138">
        <f>'Expenditures 15-22'!D210</f>
        <v>7087</v>
      </c>
      <c r="C1346" s="2" t="s">
        <v>594</v>
      </c>
      <c r="D1346" s="2" t="str">
        <f t="shared" si="20"/>
        <v>Error?</v>
      </c>
    </row>
    <row r="1347" spans="1:4" x14ac:dyDescent="0.2">
      <c r="A1347" s="5">
        <v>1286</v>
      </c>
      <c r="B1347" s="138">
        <f>'Expenditures 15-22'!E182</f>
        <v>277277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277277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277277</v>
      </c>
      <c r="C1353" s="2" t="s">
        <v>594</v>
      </c>
      <c r="D1353" s="2" t="str">
        <f t="shared" si="20"/>
        <v>Error?</v>
      </c>
    </row>
    <row r="1354" spans="1:4" x14ac:dyDescent="0.2">
      <c r="A1354" s="5">
        <v>1293</v>
      </c>
      <c r="B1354" s="138">
        <f>'Expenditures 15-22'!F182</f>
        <v>32253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32253</v>
      </c>
      <c r="C1358" s="2" t="s">
        <v>594</v>
      </c>
      <c r="D1358" s="2" t="str">
        <f t="shared" si="20"/>
        <v>Error?</v>
      </c>
    </row>
    <row r="1359" spans="1:4" x14ac:dyDescent="0.2">
      <c r="A1359" s="5">
        <v>1298</v>
      </c>
      <c r="B1359" s="138">
        <f>'Expenditures 15-22'!F210</f>
        <v>32253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240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240</v>
      </c>
      <c r="C1376" s="2" t="s">
        <v>594</v>
      </c>
      <c r="D1376" s="2" t="str">
        <f t="shared" si="20"/>
        <v>Error?</v>
      </c>
    </row>
    <row r="1377" spans="1:4" x14ac:dyDescent="0.2">
      <c r="A1377" s="5">
        <v>1316</v>
      </c>
      <c r="B1377" s="138">
        <f>'Expenditures 15-22'!K182</f>
        <v>500029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500029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500029</v>
      </c>
      <c r="C1388" s="2" t="s">
        <v>594</v>
      </c>
      <c r="D1388" s="2" t="str">
        <f t="shared" si="20"/>
        <v>Error?</v>
      </c>
    </row>
    <row r="1389" spans="1:4" x14ac:dyDescent="0.2">
      <c r="A1389" s="5">
        <v>1328</v>
      </c>
      <c r="B1389" s="138">
        <f>'Expenditures 15-22'!K211</f>
        <v>228218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14480</v>
      </c>
      <c r="D1408" s="2" t="str">
        <f t="shared" si="21"/>
        <v>Error?</v>
      </c>
    </row>
    <row r="1409" spans="1:4" x14ac:dyDescent="0.2">
      <c r="A1409" s="5">
        <v>1348</v>
      </c>
      <c r="B1409" s="138">
        <f>'Expenditures 15-22'!D224</f>
        <v>338</v>
      </c>
      <c r="D1409" s="2" t="str">
        <f t="shared" si="21"/>
        <v>Error?</v>
      </c>
    </row>
    <row r="1410" spans="1:4" x14ac:dyDescent="0.2">
      <c r="A1410" s="5">
        <v>1349</v>
      </c>
      <c r="B1410" s="138">
        <f>'Expenditures 15-22'!D229</f>
        <v>199133</v>
      </c>
      <c r="C1410" s="2" t="s">
        <v>594</v>
      </c>
      <c r="D1410" s="2" t="str">
        <f t="shared" si="21"/>
        <v>Error?</v>
      </c>
    </row>
    <row r="1411" spans="1:4" x14ac:dyDescent="0.2">
      <c r="A1411" s="5">
        <v>1350</v>
      </c>
      <c r="B1411" s="138">
        <f>'Expenditures 15-22'!D232</f>
        <v>15305</v>
      </c>
      <c r="D1411" s="2" t="str">
        <f t="shared" si="21"/>
        <v>Error?</v>
      </c>
    </row>
    <row r="1412" spans="1:4" x14ac:dyDescent="0.2">
      <c r="A1412" s="5">
        <v>1351</v>
      </c>
      <c r="B1412" s="138">
        <f>'Expenditures 15-22'!D233</f>
        <v>17361</v>
      </c>
      <c r="D1412" s="2" t="str">
        <f t="shared" si="21"/>
        <v>Error?</v>
      </c>
    </row>
    <row r="1413" spans="1:4" x14ac:dyDescent="0.2">
      <c r="A1413" s="5">
        <v>1352</v>
      </c>
      <c r="B1413" s="138">
        <f>'Expenditures 15-22'!D234</f>
        <v>6952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39618</v>
      </c>
      <c r="C1417" s="2" t="s">
        <v>594</v>
      </c>
      <c r="D1417" s="2" t="str">
        <f t="shared" si="21"/>
        <v>Error?</v>
      </c>
    </row>
    <row r="1418" spans="1:4" x14ac:dyDescent="0.2">
      <c r="A1418" s="5">
        <v>1357</v>
      </c>
      <c r="B1418" s="138">
        <f>'Expenditures 15-22'!D240</f>
        <v>168</v>
      </c>
      <c r="D1418" s="2" t="str">
        <f t="shared" si="21"/>
        <v>Error?</v>
      </c>
    </row>
    <row r="1419" spans="1:4" x14ac:dyDescent="0.2">
      <c r="A1419" s="5">
        <v>1358</v>
      </c>
      <c r="B1419" s="138">
        <f>'Expenditures 15-22'!D241</f>
        <v>5934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6102</v>
      </c>
      <c r="C1421" s="2" t="s">
        <v>594</v>
      </c>
      <c r="D1421" s="2" t="str">
        <f t="shared" si="21"/>
        <v>Error?</v>
      </c>
    </row>
    <row r="1422" spans="1:4" x14ac:dyDescent="0.2">
      <c r="A1422" s="5">
        <v>1361</v>
      </c>
      <c r="B1422" s="138">
        <f>'Expenditures 15-22'!D245</f>
        <v>1052</v>
      </c>
      <c r="D1422" s="2" t="str">
        <f t="shared" si="21"/>
        <v>Error?</v>
      </c>
    </row>
    <row r="1423" spans="1:4" x14ac:dyDescent="0.2">
      <c r="A1423" s="5">
        <v>1362</v>
      </c>
      <c r="B1423" s="138">
        <f>'Expenditures 15-22'!D246</f>
        <v>16910</v>
      </c>
      <c r="D1423" s="2" t="str">
        <f t="shared" si="21"/>
        <v>Error?</v>
      </c>
    </row>
    <row r="1424" spans="1:4" x14ac:dyDescent="0.2">
      <c r="A1424" s="5">
        <v>1363</v>
      </c>
      <c r="B1424" s="138">
        <f>'Expenditures 15-22'!D257</f>
        <v>17962</v>
      </c>
      <c r="C1424" s="2" t="s">
        <v>594</v>
      </c>
      <c r="D1424" s="2" t="str">
        <f t="shared" si="21"/>
        <v>Error?</v>
      </c>
    </row>
    <row r="1425" spans="1:4" x14ac:dyDescent="0.2">
      <c r="A1425" s="5">
        <v>1364</v>
      </c>
      <c r="B1425" s="138">
        <f>'Expenditures 15-22'!D259</f>
        <v>11328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11328</v>
      </c>
      <c r="C1427" s="2" t="s">
        <v>594</v>
      </c>
      <c r="D1427" s="2" t="str">
        <f t="shared" si="21"/>
        <v>Error?</v>
      </c>
    </row>
    <row r="1428" spans="1:4" x14ac:dyDescent="0.2">
      <c r="A1428" s="5">
        <v>1367</v>
      </c>
      <c r="B1428" s="138">
        <f>'Expenditures 15-22'!D263</f>
        <v>1064</v>
      </c>
      <c r="D1428" s="2" t="str">
        <f t="shared" si="21"/>
        <v>Error?</v>
      </c>
    </row>
    <row r="1429" spans="1:4" x14ac:dyDescent="0.2">
      <c r="A1429" s="5">
        <v>1368</v>
      </c>
      <c r="B1429" s="138">
        <f>'Expenditures 15-22'!D264</f>
        <v>17566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66587</v>
      </c>
      <c r="D1431" s="2" t="str">
        <f t="shared" si="21"/>
        <v>Error?</v>
      </c>
    </row>
    <row r="1432" spans="1:4" x14ac:dyDescent="0.2">
      <c r="A1432" s="5">
        <v>1371</v>
      </c>
      <c r="B1432" s="138">
        <f>'Expenditures 15-22'!D267</f>
        <v>25687</v>
      </c>
      <c r="D1432" s="2" t="str">
        <f t="shared" si="21"/>
        <v>Error?</v>
      </c>
    </row>
    <row r="1433" spans="1:4" x14ac:dyDescent="0.2">
      <c r="A1433" s="5">
        <v>1372</v>
      </c>
      <c r="B1433" s="138">
        <f>'Expenditures 15-22'!D268</f>
        <v>31060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141964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216974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416107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14480</v>
      </c>
      <c r="C1472" s="2" t="s">
        <v>594</v>
      </c>
      <c r="D1472" s="2" t="str">
        <f t="shared" si="22"/>
        <v>Error?</v>
      </c>
    </row>
    <row r="1473" spans="1:4" x14ac:dyDescent="0.2">
      <c r="A1473" s="5">
        <v>1412</v>
      </c>
      <c r="B1473" s="138">
        <f>'Expenditures 15-22'!K224</f>
        <v>338</v>
      </c>
      <c r="C1473" s="2" t="s">
        <v>594</v>
      </c>
      <c r="D1473" s="2" t="str">
        <f t="shared" si="22"/>
        <v>Error?</v>
      </c>
    </row>
    <row r="1474" spans="1:4" x14ac:dyDescent="0.2">
      <c r="A1474" s="5">
        <v>1413</v>
      </c>
      <c r="B1474" s="138">
        <f>'Expenditures 15-22'!K229</f>
        <v>199133</v>
      </c>
      <c r="C1474" s="2" t="s">
        <v>594</v>
      </c>
      <c r="D1474" s="2" t="str">
        <f t="shared" si="22"/>
        <v>Error?</v>
      </c>
    </row>
    <row r="1475" spans="1:4" x14ac:dyDescent="0.2">
      <c r="A1475" s="5">
        <v>1414</v>
      </c>
      <c r="B1475" s="138">
        <f>'Expenditures 15-22'!K232</f>
        <v>15305</v>
      </c>
      <c r="C1475" s="2" t="s">
        <v>594</v>
      </c>
      <c r="D1475" s="2" t="str">
        <f t="shared" si="22"/>
        <v>Error?</v>
      </c>
    </row>
    <row r="1476" spans="1:4" x14ac:dyDescent="0.2">
      <c r="A1476" s="5">
        <v>1415</v>
      </c>
      <c r="B1476" s="138">
        <f>'Expenditures 15-22'!K233</f>
        <v>17361</v>
      </c>
      <c r="C1476" s="2" t="s">
        <v>594</v>
      </c>
      <c r="D1476" s="2" t="str">
        <f t="shared" si="22"/>
        <v>Error?</v>
      </c>
    </row>
    <row r="1477" spans="1:4" x14ac:dyDescent="0.2">
      <c r="A1477" s="5">
        <v>1416</v>
      </c>
      <c r="B1477" s="138">
        <f>'Expenditures 15-22'!K234</f>
        <v>6952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39618</v>
      </c>
      <c r="C1481" s="2" t="s">
        <v>594</v>
      </c>
      <c r="D1481" s="2" t="str">
        <f t="shared" si="22"/>
        <v>Error?</v>
      </c>
    </row>
    <row r="1482" spans="1:4" x14ac:dyDescent="0.2">
      <c r="A1482" s="5">
        <v>1421</v>
      </c>
      <c r="B1482" s="138">
        <f>'Expenditures 15-22'!K240</f>
        <v>168</v>
      </c>
      <c r="C1482" s="2" t="s">
        <v>594</v>
      </c>
      <c r="D1482" s="2" t="str">
        <f t="shared" si="22"/>
        <v>Error?</v>
      </c>
    </row>
    <row r="1483" spans="1:4" x14ac:dyDescent="0.2">
      <c r="A1483" s="5">
        <v>1422</v>
      </c>
      <c r="B1483" s="138">
        <f>'Expenditures 15-22'!K241</f>
        <v>5934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6102</v>
      </c>
      <c r="C1485" s="2" t="s">
        <v>594</v>
      </c>
      <c r="D1485" s="2" t="str">
        <f t="shared" si="22"/>
        <v>Error?</v>
      </c>
    </row>
    <row r="1486" spans="1:4" x14ac:dyDescent="0.2">
      <c r="A1486" s="5">
        <v>1425</v>
      </c>
      <c r="B1486" s="138">
        <f>'Expenditures 15-22'!K245</f>
        <v>1052</v>
      </c>
      <c r="C1486" s="2" t="s">
        <v>594</v>
      </c>
      <c r="D1486" s="2" t="str">
        <f t="shared" si="22"/>
        <v>Error?</v>
      </c>
    </row>
    <row r="1487" spans="1:4" x14ac:dyDescent="0.2">
      <c r="A1487" s="5">
        <v>1426</v>
      </c>
      <c r="B1487" s="138">
        <f>'Expenditures 15-22'!K246</f>
        <v>16910</v>
      </c>
      <c r="C1487" s="2" t="s">
        <v>594</v>
      </c>
      <c r="D1487" s="2" t="str">
        <f t="shared" si="22"/>
        <v>Error?</v>
      </c>
    </row>
    <row r="1488" spans="1:4" x14ac:dyDescent="0.2">
      <c r="A1488" s="5">
        <v>1427</v>
      </c>
      <c r="B1488" s="138">
        <f>'Expenditures 15-22'!K257</f>
        <v>17962</v>
      </c>
      <c r="C1488" s="2" t="s">
        <v>594</v>
      </c>
      <c r="D1488" s="2" t="str">
        <f t="shared" si="22"/>
        <v>Error?</v>
      </c>
    </row>
    <row r="1489" spans="1:4" x14ac:dyDescent="0.2">
      <c r="A1489" s="5">
        <v>1428</v>
      </c>
      <c r="B1489" s="138">
        <f>'Expenditures 15-22'!K259</f>
        <v>11328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11328</v>
      </c>
      <c r="C1491" s="2" t="s">
        <v>594</v>
      </c>
      <c r="D1491" s="2" t="str">
        <f t="shared" si="22"/>
        <v>Error?</v>
      </c>
    </row>
    <row r="1492" spans="1:4" x14ac:dyDescent="0.2">
      <c r="A1492" s="5">
        <v>1431</v>
      </c>
      <c r="B1492" s="138">
        <f>'Expenditures 15-22'!K263</f>
        <v>1064</v>
      </c>
      <c r="C1492" s="2" t="s">
        <v>594</v>
      </c>
      <c r="D1492" s="2" t="str">
        <f t="shared" si="22"/>
        <v>Error?</v>
      </c>
    </row>
    <row r="1493" spans="1:4" x14ac:dyDescent="0.2">
      <c r="A1493" s="5">
        <v>1432</v>
      </c>
      <c r="B1493" s="138">
        <f>'Expenditures 15-22'!K264</f>
        <v>17566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66587</v>
      </c>
      <c r="C1495" s="2" t="s">
        <v>594</v>
      </c>
      <c r="D1495" s="2" t="str">
        <f t="shared" si="22"/>
        <v>Error?</v>
      </c>
    </row>
    <row r="1496" spans="1:4" x14ac:dyDescent="0.2">
      <c r="A1496" s="5">
        <v>1435</v>
      </c>
      <c r="B1496" s="138">
        <f>'Expenditures 15-22'!K267</f>
        <v>25687</v>
      </c>
      <c r="C1496" s="2" t="s">
        <v>594</v>
      </c>
      <c r="D1496" s="2" t="str">
        <f t="shared" si="22"/>
        <v>Error?</v>
      </c>
    </row>
    <row r="1497" spans="1:4" x14ac:dyDescent="0.2">
      <c r="A1497" s="5">
        <v>1436</v>
      </c>
      <c r="B1497" s="138">
        <f>'Expenditures 15-22'!K268</f>
        <v>31060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141964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216974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416107</v>
      </c>
      <c r="C1517" s="2" t="s">
        <v>594</v>
      </c>
      <c r="D1517" s="2" t="str">
        <f t="shared" si="22"/>
        <v>Error?</v>
      </c>
    </row>
    <row r="1518" spans="1:4" x14ac:dyDescent="0.2">
      <c r="A1518" s="5">
        <v>1457</v>
      </c>
      <c r="B1518" s="138">
        <f>'Expenditures 15-22'!K296</f>
        <v>-66031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4880907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3608702</v>
      </c>
      <c r="C1630" s="2" t="s">
        <v>594</v>
      </c>
      <c r="D1630" s="2" t="str">
        <f t="shared" si="24"/>
        <v>Error?</v>
      </c>
    </row>
    <row r="1631" spans="1:4" x14ac:dyDescent="0.2">
      <c r="A1631" s="5">
        <v>1570</v>
      </c>
      <c r="B1631" s="138">
        <f>'Acct Summary 7-8'!D79</f>
        <v>3414283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5460176</v>
      </c>
      <c r="C1644" s="2" t="s">
        <v>594</v>
      </c>
      <c r="D1644" s="2" t="str">
        <f t="shared" si="24"/>
        <v>Error?</v>
      </c>
    </row>
    <row r="1645" spans="1:4" x14ac:dyDescent="0.2">
      <c r="A1645" s="5">
        <v>1584</v>
      </c>
      <c r="B1645" s="138">
        <f>'Acct Summary 7-8'!E79</f>
        <v>25312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31102</v>
      </c>
      <c r="C1658" s="2" t="s">
        <v>594</v>
      </c>
      <c r="D1658" s="2" t="str">
        <f t="shared" si="24"/>
        <v>Error?</v>
      </c>
    </row>
    <row r="1659" spans="1:4" x14ac:dyDescent="0.2">
      <c r="A1659" s="5">
        <v>1598</v>
      </c>
      <c r="B1659" s="138">
        <f>'Acct Summary 7-8'!F79</f>
        <v>754417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982635</v>
      </c>
      <c r="C1672" s="2" t="s">
        <v>594</v>
      </c>
      <c r="D1672" s="2" t="str">
        <f t="shared" si="25"/>
        <v>Error?</v>
      </c>
    </row>
    <row r="1673" spans="1:4" x14ac:dyDescent="0.2">
      <c r="A1673" s="5">
        <v>1612</v>
      </c>
      <c r="B1673" s="138">
        <f>'Acct Summary 7-8'!G79</f>
        <v>398780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332749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8682277</v>
      </c>
      <c r="C1744" s="2" t="s">
        <v>594</v>
      </c>
      <c r="D1744" s="2" t="str">
        <f t="shared" si="26"/>
        <v>Error?</v>
      </c>
    </row>
    <row r="1745" spans="1:5" x14ac:dyDescent="0.2">
      <c r="A1745" s="5">
        <v>1684</v>
      </c>
      <c r="B1745" s="138">
        <f>'Tax Sched 23'!B5</f>
        <v>1973353</v>
      </c>
      <c r="C1745" s="2" t="s">
        <v>594</v>
      </c>
      <c r="D1745" s="2" t="str">
        <f t="shared" si="26"/>
        <v>Error?</v>
      </c>
    </row>
    <row r="1746" spans="1:5" x14ac:dyDescent="0.2">
      <c r="A1746" s="5">
        <v>1685</v>
      </c>
      <c r="B1746" s="138">
        <f>'Tax Sched 23'!B6</f>
        <v>1252216</v>
      </c>
      <c r="C1746" s="2" t="s">
        <v>594</v>
      </c>
      <c r="D1746" s="2" t="str">
        <f t="shared" si="26"/>
        <v>Error?</v>
      </c>
    </row>
    <row r="1747" spans="1:5" x14ac:dyDescent="0.2">
      <c r="A1747" s="5">
        <v>1686</v>
      </c>
      <c r="B1747" s="138">
        <f>'Tax Sched 23'!B7</f>
        <v>542713</v>
      </c>
      <c r="C1747" s="2" t="s">
        <v>594</v>
      </c>
      <c r="D1747" s="2" t="str">
        <f t="shared" si="26"/>
        <v>Error?</v>
      </c>
    </row>
    <row r="1748" spans="1:5" x14ac:dyDescent="0.2">
      <c r="A1748" s="5">
        <v>1687</v>
      </c>
      <c r="B1748" s="138">
        <f>'Tax Sched 23'!B8</f>
        <v>157905</v>
      </c>
      <c r="C1748" s="2" t="s">
        <v>594</v>
      </c>
      <c r="D1748" s="2" t="str">
        <f t="shared" si="26"/>
        <v>Error?</v>
      </c>
    </row>
    <row r="1749" spans="1:5" x14ac:dyDescent="0.2">
      <c r="A1749" s="5">
        <v>1688</v>
      </c>
      <c r="B1749" s="138">
        <f>'Tax Sched 23'!B10</f>
        <v>226956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78979</v>
      </c>
      <c r="C1752" s="2" t="s">
        <v>594</v>
      </c>
      <c r="D1752" s="2" t="str">
        <f t="shared" si="26"/>
        <v>Error?</v>
      </c>
    </row>
    <row r="1753" spans="1:5" x14ac:dyDescent="0.2">
      <c r="A1753" s="5">
        <v>1692</v>
      </c>
      <c r="B1753" s="138">
        <f>'Tax Sched 23'!B12</f>
        <v>9929</v>
      </c>
      <c r="C1753" s="2" t="s">
        <v>594</v>
      </c>
      <c r="D1753" s="2" t="str">
        <f t="shared" si="26"/>
        <v>Error?</v>
      </c>
    </row>
    <row r="1754" spans="1:5" x14ac:dyDescent="0.2">
      <c r="A1754" s="5">
        <v>1693</v>
      </c>
      <c r="B1754" s="138">
        <f>'Tax Sched 23'!B14</f>
        <v>118469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13220467</v>
      </c>
      <c r="C1759" s="2" t="s">
        <v>594</v>
      </c>
      <c r="D1759" s="2" t="str">
        <f t="shared" si="26"/>
        <v>Error?</v>
      </c>
    </row>
    <row r="1760" spans="1:5" x14ac:dyDescent="0.2">
      <c r="A1760" s="5">
        <v>1699</v>
      </c>
      <c r="B1760" s="138">
        <f>'Tax Sched 23'!D4</f>
        <v>8682277</v>
      </c>
      <c r="C1760" s="2" t="s">
        <v>594</v>
      </c>
      <c r="D1760" s="2" t="str">
        <f t="shared" si="26"/>
        <v>Error?</v>
      </c>
    </row>
    <row r="1761" spans="1:5" x14ac:dyDescent="0.2">
      <c r="A1761" s="5">
        <v>1700</v>
      </c>
      <c r="B1761" s="138">
        <f>'Tax Sched 23'!D5</f>
        <v>1973353</v>
      </c>
      <c r="C1761" s="2" t="s">
        <v>594</v>
      </c>
      <c r="D1761" s="2" t="str">
        <f t="shared" si="26"/>
        <v>Error?</v>
      </c>
    </row>
    <row r="1762" spans="1:5" s="8" customFormat="1" x14ac:dyDescent="0.2">
      <c r="A1762" s="5">
        <v>1701</v>
      </c>
      <c r="B1762" s="138">
        <f>'Tax Sched 23'!D6</f>
        <v>1252216</v>
      </c>
      <c r="C1762" s="2" t="s">
        <v>594</v>
      </c>
      <c r="D1762" s="2" t="str">
        <f t="shared" si="26"/>
        <v>Error?</v>
      </c>
      <c r="E1762" s="9"/>
    </row>
    <row r="1763" spans="1:5" x14ac:dyDescent="0.2">
      <c r="A1763" s="5">
        <v>1702</v>
      </c>
      <c r="B1763" s="138">
        <f>'Tax Sched 23'!D7</f>
        <v>542713</v>
      </c>
      <c r="C1763" s="2" t="s">
        <v>594</v>
      </c>
      <c r="D1763" s="2" t="str">
        <f t="shared" si="26"/>
        <v>Error?</v>
      </c>
    </row>
    <row r="1764" spans="1:5" x14ac:dyDescent="0.2">
      <c r="A1764" s="5">
        <v>1703</v>
      </c>
      <c r="B1764" s="138">
        <f>'Tax Sched 23'!D8</f>
        <v>157905</v>
      </c>
      <c r="C1764" s="2" t="s">
        <v>594</v>
      </c>
      <c r="D1764" s="2" t="str">
        <f t="shared" si="26"/>
        <v>Error?</v>
      </c>
    </row>
    <row r="1765" spans="1:5" x14ac:dyDescent="0.2">
      <c r="A1765" s="5">
        <v>1704</v>
      </c>
      <c r="B1765" s="138">
        <f>'Tax Sched 23'!D10</f>
        <v>226956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78979</v>
      </c>
      <c r="C1768" s="2" t="s">
        <v>594</v>
      </c>
      <c r="D1768" s="2" t="str">
        <f t="shared" si="26"/>
        <v>Error?</v>
      </c>
    </row>
    <row r="1769" spans="1:5" x14ac:dyDescent="0.2">
      <c r="A1769" s="5">
        <v>1708</v>
      </c>
      <c r="B1769" s="138">
        <f>'Tax Sched 23'!D12</f>
        <v>9929</v>
      </c>
      <c r="C1769" s="2" t="s">
        <v>594</v>
      </c>
      <c r="D1769" s="2" t="str">
        <f t="shared" si="26"/>
        <v>Error?</v>
      </c>
    </row>
    <row r="1770" spans="1:5" x14ac:dyDescent="0.2">
      <c r="A1770" s="5">
        <v>1709</v>
      </c>
      <c r="B1770" s="138">
        <f>'Tax Sched 23'!D14</f>
        <v>118469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13220467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9134065</v>
      </c>
      <c r="C1792" s="2" t="s">
        <v>594</v>
      </c>
      <c r="D1792" s="2" t="str">
        <f t="shared" si="27"/>
        <v>Error?</v>
      </c>
    </row>
    <row r="1793" spans="1:4" x14ac:dyDescent="0.2">
      <c r="A1793" s="5">
        <v>1732</v>
      </c>
      <c r="B1793" s="138">
        <f>'Tax Sched 23'!F5</f>
        <v>2085044</v>
      </c>
      <c r="C1793" s="2" t="s">
        <v>594</v>
      </c>
      <c r="D1793" s="2" t="str">
        <f t="shared" si="27"/>
        <v>Error?</v>
      </c>
    </row>
    <row r="1794" spans="1:4" x14ac:dyDescent="0.2">
      <c r="A1794" s="5">
        <v>1733</v>
      </c>
      <c r="B1794" s="138">
        <f>'Tax Sched 23'!F6</f>
        <v>1281908</v>
      </c>
      <c r="C1794" s="2" t="s">
        <v>594</v>
      </c>
      <c r="D1794" s="2" t="str">
        <f t="shared" si="27"/>
        <v>Error?</v>
      </c>
    </row>
    <row r="1795" spans="1:4" x14ac:dyDescent="0.2">
      <c r="A1795" s="5">
        <v>1734</v>
      </c>
      <c r="B1795" s="138">
        <f>'Tax Sched 23'!F7</f>
        <v>561032</v>
      </c>
      <c r="C1795" s="2" t="s">
        <v>594</v>
      </c>
      <c r="D1795" s="2" t="str">
        <f t="shared" si="27"/>
        <v>Error?</v>
      </c>
    </row>
    <row r="1796" spans="1:4" x14ac:dyDescent="0.2">
      <c r="A1796" s="5">
        <v>1735</v>
      </c>
      <c r="B1796" s="138">
        <f>'Tax Sched 23'!F8</f>
        <v>158930</v>
      </c>
      <c r="C1796" s="2" t="s">
        <v>594</v>
      </c>
      <c r="D1796" s="2" t="str">
        <f t="shared" si="27"/>
        <v>Error?</v>
      </c>
    </row>
    <row r="1797" spans="1:4" x14ac:dyDescent="0.2">
      <c r="A1797" s="5">
        <v>1736</v>
      </c>
      <c r="B1797" s="138">
        <f>'Tax Sched 23'!F10</f>
        <v>198612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84394</v>
      </c>
      <c r="C1800" s="2" t="s">
        <v>594</v>
      </c>
      <c r="D1800" s="2" t="str">
        <f t="shared" si="27"/>
        <v>Error?</v>
      </c>
    </row>
    <row r="1801" spans="1:4" x14ac:dyDescent="0.2">
      <c r="A1801" s="5">
        <v>1740</v>
      </c>
      <c r="B1801" s="138">
        <f>'Tax Sched 23'!F12</f>
        <v>9958</v>
      </c>
      <c r="C1801" s="2" t="s">
        <v>594</v>
      </c>
      <c r="D1801" s="2" t="str">
        <f t="shared" si="27"/>
        <v>Error?</v>
      </c>
    </row>
    <row r="1802" spans="1:4" x14ac:dyDescent="0.2">
      <c r="A1802" s="5">
        <v>1741</v>
      </c>
      <c r="B1802" s="138">
        <f>'Tax Sched 23'!F14</f>
        <v>129105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13821794</v>
      </c>
      <c r="C1807" s="2" t="s">
        <v>594</v>
      </c>
      <c r="D1807" s="2" t="str">
        <f t="shared" si="27"/>
        <v>Error?</v>
      </c>
    </row>
    <row r="1808" spans="1:4" x14ac:dyDescent="0.2">
      <c r="A1808" s="5">
        <v>1747</v>
      </c>
      <c r="B1808" s="138">
        <f>'Tax Sched 23'!E4</f>
        <v>9134065</v>
      </c>
      <c r="D1808" s="2" t="str">
        <f t="shared" si="27"/>
        <v>Error?</v>
      </c>
    </row>
    <row r="1809" spans="1:4" x14ac:dyDescent="0.2">
      <c r="A1809" s="5">
        <v>1748</v>
      </c>
      <c r="B1809" s="138">
        <f>'Tax Sched 23'!E5</f>
        <v>2085044</v>
      </c>
      <c r="D1809" s="2" t="str">
        <f t="shared" si="27"/>
        <v>Error?</v>
      </c>
    </row>
    <row r="1810" spans="1:4" x14ac:dyDescent="0.2">
      <c r="A1810" s="5">
        <v>1749</v>
      </c>
      <c r="B1810" s="138">
        <f>'Tax Sched 23'!E6</f>
        <v>1281908</v>
      </c>
      <c r="D1810" s="2" t="str">
        <f t="shared" si="27"/>
        <v>Error?</v>
      </c>
    </row>
    <row r="1811" spans="1:4" x14ac:dyDescent="0.2">
      <c r="A1811" s="5">
        <v>1750</v>
      </c>
      <c r="B1811" s="138">
        <f>'Tax Sched 23'!E7</f>
        <v>561032</v>
      </c>
      <c r="D1811" s="2" t="str">
        <f t="shared" si="27"/>
        <v>Error?</v>
      </c>
    </row>
    <row r="1812" spans="1:4" x14ac:dyDescent="0.2">
      <c r="A1812" s="5">
        <v>1751</v>
      </c>
      <c r="B1812" s="138">
        <f>'Tax Sched 23'!E8</f>
        <v>158930</v>
      </c>
      <c r="D1812" s="2" t="str">
        <f t="shared" si="27"/>
        <v>Error?</v>
      </c>
    </row>
    <row r="1813" spans="1:4" x14ac:dyDescent="0.2">
      <c r="A1813" s="5">
        <v>1752</v>
      </c>
      <c r="B1813" s="138">
        <f>'Tax Sched 23'!E10</f>
        <v>198612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84394</v>
      </c>
      <c r="D1816" s="2" t="str">
        <f t="shared" si="27"/>
        <v>Error?</v>
      </c>
    </row>
    <row r="1817" spans="1:4" x14ac:dyDescent="0.2">
      <c r="A1817" s="5">
        <v>1756</v>
      </c>
      <c r="B1817" s="138">
        <f>'Tax Sched 23'!E12</f>
        <v>9958</v>
      </c>
      <c r="D1817" s="2" t="str">
        <f t="shared" si="27"/>
        <v>Error?</v>
      </c>
    </row>
    <row r="1818" spans="1:4" x14ac:dyDescent="0.2">
      <c r="A1818" s="5">
        <v>1757</v>
      </c>
      <c r="B1818" s="138">
        <f>'Tax Sched 23'!E14</f>
        <v>129105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13821794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16160000</v>
      </c>
      <c r="C1939" s="2" t="s">
        <v>594</v>
      </c>
      <c r="D1939" s="2" t="str">
        <f t="shared" si="29"/>
        <v>Error?</v>
      </c>
    </row>
    <row r="1940" spans="1:5" x14ac:dyDescent="0.2">
      <c r="A1940" s="5">
        <v>1879</v>
      </c>
      <c r="B1940" s="138">
        <f>'Short-Term Long-Term Debt 24'!F49</f>
        <v>3805000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118469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118469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118469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434584</v>
      </c>
      <c r="D2008" s="2" t="str">
        <f t="shared" si="30"/>
        <v>Error?</v>
      </c>
    </row>
    <row r="2009" spans="1:4" x14ac:dyDescent="0.2">
      <c r="A2009" s="5">
        <v>1948</v>
      </c>
      <c r="B2009" s="138">
        <f>'Cap Outlay Deprec 26'!C8</f>
        <v>8027498</v>
      </c>
      <c r="D2009" s="2" t="str">
        <f t="shared" si="30"/>
        <v>Error?</v>
      </c>
    </row>
    <row r="2010" spans="1:4" x14ac:dyDescent="0.2">
      <c r="A2010" s="5">
        <v>1949</v>
      </c>
      <c r="B2010" s="138">
        <f>'Cap Outlay Deprec 26'!C10</f>
        <v>22980606</v>
      </c>
      <c r="D2010" s="2" t="str">
        <f t="shared" si="30"/>
        <v>Error?</v>
      </c>
    </row>
    <row r="2011" spans="1:4" x14ac:dyDescent="0.2">
      <c r="A2011" s="5">
        <v>1950</v>
      </c>
      <c r="B2011" s="138">
        <f>'Cap Outlay Deprec 26'!C12</f>
        <v>2692451</v>
      </c>
      <c r="D2011" s="2" t="str">
        <f t="shared" si="30"/>
        <v>Error?</v>
      </c>
    </row>
    <row r="2012" spans="1:4" x14ac:dyDescent="0.2">
      <c r="A2012" s="5">
        <v>1951</v>
      </c>
      <c r="B2012" s="138">
        <f>'Cap Outlay Deprec 26'!C13</f>
        <v>61143</v>
      </c>
      <c r="D2012" s="2" t="str">
        <f t="shared" si="30"/>
        <v>Error?</v>
      </c>
    </row>
    <row r="2013" spans="1:4" x14ac:dyDescent="0.2">
      <c r="A2013" s="5">
        <v>1952</v>
      </c>
      <c r="B2013" s="138">
        <f>'Cap Outlay Deprec 26'!C16</f>
        <v>34196282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413933</v>
      </c>
      <c r="D2016" s="2" t="str">
        <f t="shared" si="30"/>
        <v>Error?</v>
      </c>
    </row>
    <row r="2017" spans="1:4" x14ac:dyDescent="0.2">
      <c r="A2017" s="5">
        <v>1956</v>
      </c>
      <c r="B2017" s="138">
        <f>'Cap Outlay Deprec 26'!D12</f>
        <v>258011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671944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262150</v>
      </c>
      <c r="D2023" s="2" t="str">
        <f t="shared" si="30"/>
        <v>Error?</v>
      </c>
    </row>
    <row r="2024" spans="1:4" x14ac:dyDescent="0.2">
      <c r="A2024" s="5">
        <v>1963</v>
      </c>
      <c r="B2024" s="138">
        <f>'Cap Outlay Deprec 26'!E13</f>
        <v>8699</v>
      </c>
      <c r="D2024" s="2" t="str">
        <f t="shared" si="30"/>
        <v>Error?</v>
      </c>
    </row>
    <row r="2025" spans="1:4" x14ac:dyDescent="0.2">
      <c r="A2025" s="5">
        <v>1964</v>
      </c>
      <c r="B2025" s="138">
        <f>'Cap Outlay Deprec 26'!E16</f>
        <v>270849</v>
      </c>
      <c r="C2025" s="2" t="s">
        <v>594</v>
      </c>
      <c r="D2025" s="2" t="str">
        <f t="shared" si="30"/>
        <v>Error?</v>
      </c>
    </row>
    <row r="2026" spans="1:4" x14ac:dyDescent="0.2">
      <c r="A2026" s="5">
        <v>1965</v>
      </c>
      <c r="B2026" s="138">
        <f>'Cap Outlay Deprec 26'!F5</f>
        <v>434584</v>
      </c>
      <c r="C2026" s="2" t="s">
        <v>594</v>
      </c>
      <c r="D2026" s="2" t="str">
        <f t="shared" si="30"/>
        <v>Error?</v>
      </c>
    </row>
    <row r="2027" spans="1:4" x14ac:dyDescent="0.2">
      <c r="A2027" s="5">
        <v>1966</v>
      </c>
      <c r="B2027" s="138">
        <f>'Cap Outlay Deprec 26'!F8</f>
        <v>8027498</v>
      </c>
      <c r="C2027" s="2" t="s">
        <v>594</v>
      </c>
      <c r="D2027" s="2" t="str">
        <f t="shared" si="30"/>
        <v>Error?</v>
      </c>
    </row>
    <row r="2028" spans="1:4" x14ac:dyDescent="0.2">
      <c r="A2028" s="5">
        <v>1967</v>
      </c>
      <c r="B2028" s="138">
        <f>'Cap Outlay Deprec 26'!F10</f>
        <v>23394539</v>
      </c>
      <c r="C2028" s="2" t="s">
        <v>594</v>
      </c>
      <c r="D2028" s="2" t="str">
        <f t="shared" si="30"/>
        <v>Error?</v>
      </c>
    </row>
    <row r="2029" spans="1:4" x14ac:dyDescent="0.2">
      <c r="A2029" s="5">
        <v>1968</v>
      </c>
      <c r="B2029" s="138">
        <f>'Cap Outlay Deprec 26'!F12</f>
        <v>2688312</v>
      </c>
      <c r="C2029" s="2" t="s">
        <v>594</v>
      </c>
      <c r="D2029" s="2" t="str">
        <f t="shared" si="30"/>
        <v>Error?</v>
      </c>
    </row>
    <row r="2030" spans="1:4" x14ac:dyDescent="0.2">
      <c r="A2030" s="5">
        <v>1969</v>
      </c>
      <c r="B2030" s="138">
        <f>'Cap Outlay Deprec 26'!F13</f>
        <v>52444</v>
      </c>
      <c r="C2030" s="2" t="s">
        <v>594</v>
      </c>
      <c r="D2030" s="2" t="str">
        <f t="shared" si="30"/>
        <v>Error?</v>
      </c>
    </row>
    <row r="2031" spans="1:4" x14ac:dyDescent="0.2">
      <c r="A2031" s="5">
        <v>1970</v>
      </c>
      <c r="B2031" s="138">
        <f>'Cap Outlay Deprec 26'!F16</f>
        <v>34597377</v>
      </c>
      <c r="C2031" s="2" t="s">
        <v>594</v>
      </c>
      <c r="D2031" s="2" t="str">
        <f t="shared" si="30"/>
        <v>Error?</v>
      </c>
    </row>
    <row r="2032" spans="1:4" x14ac:dyDescent="0.2">
      <c r="A2032" s="10">
        <v>1971</v>
      </c>
      <c r="D2032" s="2" t="str">
        <f t="shared" si="30"/>
        <v>OK</v>
      </c>
    </row>
    <row r="2033" spans="1:4" x14ac:dyDescent="0.2">
      <c r="A2033" s="5">
        <v>1972</v>
      </c>
      <c r="B2033" s="138">
        <f>'Cap Outlay Deprec 26'!H8</f>
        <v>5783045</v>
      </c>
      <c r="D2033" s="2" t="str">
        <f t="shared" si="30"/>
        <v>Error?</v>
      </c>
    </row>
    <row r="2034" spans="1:4" x14ac:dyDescent="0.2">
      <c r="A2034" s="5">
        <v>1973</v>
      </c>
      <c r="B2034" s="138">
        <f>'Cap Outlay Deprec 26'!H10</f>
        <v>6105954</v>
      </c>
      <c r="D2034" s="2" t="str">
        <f t="shared" si="30"/>
        <v>Error?</v>
      </c>
    </row>
    <row r="2035" spans="1:4" x14ac:dyDescent="0.2">
      <c r="A2035" s="5">
        <v>1974</v>
      </c>
      <c r="B2035" s="138">
        <f>'Cap Outlay Deprec 26'!H12</f>
        <v>1655818</v>
      </c>
      <c r="D2035" s="2" t="str">
        <f t="shared" si="30"/>
        <v>Error?</v>
      </c>
    </row>
    <row r="2036" spans="1:4" x14ac:dyDescent="0.2">
      <c r="A2036" s="5">
        <v>1975</v>
      </c>
      <c r="B2036" s="138">
        <f>'Cap Outlay Deprec 26'!H13</f>
        <v>50958</v>
      </c>
      <c r="D2036" s="2" t="str">
        <f t="shared" si="30"/>
        <v>Error?</v>
      </c>
    </row>
    <row r="2037" spans="1:4" x14ac:dyDescent="0.2">
      <c r="A2037" s="5">
        <v>1976</v>
      </c>
      <c r="B2037" s="138">
        <f>'Cap Outlay Deprec 26'!H16</f>
        <v>13595775</v>
      </c>
      <c r="C2037" s="2" t="s">
        <v>594</v>
      </c>
      <c r="D2037" s="2" t="str">
        <f t="shared" si="30"/>
        <v>Error?</v>
      </c>
    </row>
    <row r="2038" spans="1:4" x14ac:dyDescent="0.2">
      <c r="A2038" s="10">
        <v>1977</v>
      </c>
      <c r="D2038" s="2" t="str">
        <f t="shared" si="30"/>
        <v>OK</v>
      </c>
    </row>
    <row r="2039" spans="1:4" x14ac:dyDescent="0.2">
      <c r="A2039" s="5">
        <v>1978</v>
      </c>
      <c r="B2039" s="138">
        <f>'Cap Outlay Deprec 26'!I8</f>
        <v>160550</v>
      </c>
      <c r="D2039" s="2" t="str">
        <f t="shared" si="30"/>
        <v>Error?</v>
      </c>
    </row>
    <row r="2040" spans="1:4" x14ac:dyDescent="0.2">
      <c r="A2040" s="5">
        <v>1979</v>
      </c>
      <c r="B2040" s="138">
        <f>'Cap Outlay Deprec 26'!I10</f>
        <v>1141726</v>
      </c>
      <c r="D2040" s="2" t="str">
        <f t="shared" si="30"/>
        <v>Error?</v>
      </c>
    </row>
    <row r="2041" spans="1:4" x14ac:dyDescent="0.2">
      <c r="A2041" s="5">
        <v>1980</v>
      </c>
      <c r="B2041" s="138">
        <f>'Cap Outlay Deprec 26'!I12</f>
        <v>268833</v>
      </c>
      <c r="D2041" s="2" t="str">
        <f t="shared" si="30"/>
        <v>Error?</v>
      </c>
    </row>
    <row r="2042" spans="1:4" x14ac:dyDescent="0.2">
      <c r="A2042" s="5">
        <v>1981</v>
      </c>
      <c r="B2042" s="138">
        <f>'Cap Outlay Deprec 26'!I13</f>
        <v>877</v>
      </c>
      <c r="D2042" s="2" t="str">
        <f t="shared" si="30"/>
        <v>Error?</v>
      </c>
    </row>
    <row r="2043" spans="1:4" x14ac:dyDescent="0.2">
      <c r="A2043" s="5">
        <v>1982</v>
      </c>
      <c r="B2043" s="138">
        <f>'Cap Outlay Deprec 26'!I16</f>
        <v>1571986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262150</v>
      </c>
      <c r="D2047" s="2" t="str">
        <f t="shared" ref="D2047:D2110" si="31">IF(ISBLANK(B2047),"OK",IF(A2047-B2047=0,"OK","Error?"))</f>
        <v>Error?</v>
      </c>
    </row>
    <row r="2048" spans="1:4" x14ac:dyDescent="0.2">
      <c r="A2048" s="5">
        <v>1987</v>
      </c>
      <c r="B2048" s="138">
        <f>'Cap Outlay Deprec 26'!J13</f>
        <v>8699</v>
      </c>
      <c r="D2048" s="2" t="str">
        <f t="shared" si="31"/>
        <v>Error?</v>
      </c>
    </row>
    <row r="2049" spans="1:4" x14ac:dyDescent="0.2">
      <c r="A2049" s="5">
        <v>1988</v>
      </c>
      <c r="B2049" s="138">
        <f>'Cap Outlay Deprec 26'!J16</f>
        <v>270849</v>
      </c>
      <c r="C2049" s="2" t="s">
        <v>594</v>
      </c>
      <c r="D2049" s="2" t="str">
        <f t="shared" si="31"/>
        <v>Error?</v>
      </c>
    </row>
    <row r="2050" spans="1:4" x14ac:dyDescent="0.2">
      <c r="A2050" s="10">
        <v>1989</v>
      </c>
      <c r="D2050" s="2" t="str">
        <f t="shared" si="31"/>
        <v>OK</v>
      </c>
    </row>
    <row r="2051" spans="1:4" x14ac:dyDescent="0.2">
      <c r="A2051" s="5">
        <v>1990</v>
      </c>
      <c r="B2051" s="138">
        <f>'Cap Outlay Deprec 26'!K8</f>
        <v>5943595</v>
      </c>
      <c r="C2051" s="2" t="s">
        <v>594</v>
      </c>
      <c r="D2051" s="2" t="str">
        <f t="shared" si="31"/>
        <v>Error?</v>
      </c>
    </row>
    <row r="2052" spans="1:4" x14ac:dyDescent="0.2">
      <c r="A2052" s="5">
        <v>1991</v>
      </c>
      <c r="B2052" s="138">
        <f>'Cap Outlay Deprec 26'!K10</f>
        <v>7247680</v>
      </c>
      <c r="C2052" s="2" t="s">
        <v>594</v>
      </c>
      <c r="D2052" s="2" t="str">
        <f t="shared" si="31"/>
        <v>Error?</v>
      </c>
    </row>
    <row r="2053" spans="1:4" x14ac:dyDescent="0.2">
      <c r="A2053" s="5">
        <v>1992</v>
      </c>
      <c r="B2053" s="138">
        <f>'Cap Outlay Deprec 26'!K12</f>
        <v>1662501</v>
      </c>
      <c r="C2053" s="2" t="s">
        <v>594</v>
      </c>
      <c r="D2053" s="2" t="str">
        <f t="shared" si="31"/>
        <v>Error?</v>
      </c>
    </row>
    <row r="2054" spans="1:4" x14ac:dyDescent="0.2">
      <c r="A2054" s="5">
        <v>1993</v>
      </c>
      <c r="B2054" s="138">
        <f>'Cap Outlay Deprec 26'!K13</f>
        <v>43136</v>
      </c>
      <c r="C2054" s="2" t="s">
        <v>594</v>
      </c>
      <c r="D2054" s="2" t="str">
        <f t="shared" si="31"/>
        <v>Error?</v>
      </c>
    </row>
    <row r="2055" spans="1:4" x14ac:dyDescent="0.2">
      <c r="A2055" s="5">
        <v>1994</v>
      </c>
      <c r="B2055" s="138">
        <f>'Cap Outlay Deprec 26'!K16</f>
        <v>14896912</v>
      </c>
      <c r="C2055" s="2" t="s">
        <v>594</v>
      </c>
      <c r="D2055" s="2" t="str">
        <f t="shared" si="31"/>
        <v>Error?</v>
      </c>
    </row>
    <row r="2056" spans="1:4" x14ac:dyDescent="0.2">
      <c r="A2056" s="5">
        <v>1995</v>
      </c>
      <c r="B2056" s="138">
        <f>'Cap Outlay Deprec 26'!L5</f>
        <v>434584</v>
      </c>
      <c r="C2056" s="2" t="s">
        <v>594</v>
      </c>
      <c r="D2056" s="2" t="str">
        <f t="shared" si="31"/>
        <v>Error?</v>
      </c>
    </row>
    <row r="2057" spans="1:4" x14ac:dyDescent="0.2">
      <c r="A2057" s="5">
        <v>1996</v>
      </c>
      <c r="B2057" s="138">
        <f>'Cap Outlay Deprec 26'!L8</f>
        <v>2083903</v>
      </c>
      <c r="C2057" s="2" t="s">
        <v>594</v>
      </c>
      <c r="D2057" s="2" t="str">
        <f t="shared" si="31"/>
        <v>Error?</v>
      </c>
    </row>
    <row r="2058" spans="1:4" x14ac:dyDescent="0.2">
      <c r="A2058" s="5">
        <v>1997</v>
      </c>
      <c r="B2058" s="138">
        <f>'Cap Outlay Deprec 26'!L10</f>
        <v>16146859</v>
      </c>
      <c r="C2058" s="2" t="s">
        <v>594</v>
      </c>
      <c r="D2058" s="2" t="str">
        <f t="shared" si="31"/>
        <v>Error?</v>
      </c>
    </row>
    <row r="2059" spans="1:4" x14ac:dyDescent="0.2">
      <c r="A2059" s="5">
        <v>1998</v>
      </c>
      <c r="B2059" s="138">
        <f>'Cap Outlay Deprec 26'!L12</f>
        <v>1025811</v>
      </c>
      <c r="C2059" s="2" t="s">
        <v>594</v>
      </c>
      <c r="D2059" s="2" t="str">
        <f t="shared" si="31"/>
        <v>Error?</v>
      </c>
    </row>
    <row r="2060" spans="1:4" x14ac:dyDescent="0.2">
      <c r="A2060" s="5">
        <v>1999</v>
      </c>
      <c r="B2060" s="138">
        <f>'Cap Outlay Deprec 26'!L13</f>
        <v>9308</v>
      </c>
      <c r="C2060" s="2" t="s">
        <v>594</v>
      </c>
      <c r="D2060" s="2" t="str">
        <f t="shared" si="31"/>
        <v>Error?</v>
      </c>
    </row>
    <row r="2061" spans="1:4" x14ac:dyDescent="0.2">
      <c r="A2061" s="5">
        <v>2000</v>
      </c>
      <c r="B2061" s="138">
        <f>'Cap Outlay Deprec 26'!L16</f>
        <v>19700465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39368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215103</v>
      </c>
      <c r="C2088" s="2" t="s">
        <v>594</v>
      </c>
      <c r="D2088" s="2" t="str">
        <f t="shared" si="31"/>
        <v>Error?</v>
      </c>
    </row>
    <row r="2089" spans="1:4" x14ac:dyDescent="0.2">
      <c r="A2089" s="5">
        <v>2028</v>
      </c>
      <c r="B2089" s="138">
        <f>'Expenditures 15-22'!K92</f>
        <v>100163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181797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10408715</v>
      </c>
      <c r="C2551" s="2" t="s">
        <v>594</v>
      </c>
      <c r="D2551" s="2" t="str">
        <f t="shared" si="38"/>
        <v>Error?</v>
      </c>
    </row>
    <row r="2552" spans="1:4" x14ac:dyDescent="0.2">
      <c r="A2552" s="10">
        <v>2491</v>
      </c>
      <c r="D2552" s="2" t="str">
        <f t="shared" si="38"/>
        <v>OK</v>
      </c>
    </row>
    <row r="2553" spans="1:4" x14ac:dyDescent="0.2">
      <c r="A2553" s="5">
        <v>2492</v>
      </c>
      <c r="B2553" s="138">
        <f>'Acct Summary 7-8'!C6</f>
        <v>3246873</v>
      </c>
      <c r="C2553" s="2" t="s">
        <v>594</v>
      </c>
      <c r="D2553" s="2" t="str">
        <f t="shared" si="38"/>
        <v>Error?</v>
      </c>
    </row>
    <row r="2554" spans="1:4" x14ac:dyDescent="0.2">
      <c r="A2554" s="5">
        <v>2493</v>
      </c>
      <c r="B2554" s="138">
        <f>'Acct Summary 7-8'!C7</f>
        <v>389033</v>
      </c>
      <c r="C2554" s="2" t="s">
        <v>594</v>
      </c>
      <c r="D2554" s="2" t="str">
        <f t="shared" si="38"/>
        <v>Error?</v>
      </c>
    </row>
    <row r="2555" spans="1:4" x14ac:dyDescent="0.2">
      <c r="A2555" s="5">
        <v>2494</v>
      </c>
      <c r="B2555" s="138">
        <f>'Acct Summary 7-8'!C8</f>
        <v>14044621</v>
      </c>
      <c r="C2555" s="2" t="s">
        <v>594</v>
      </c>
      <c r="D2555" s="2" t="str">
        <f t="shared" si="38"/>
        <v>Error?</v>
      </c>
    </row>
    <row r="2556" spans="1:4" x14ac:dyDescent="0.2">
      <c r="A2556" s="5">
        <v>2495</v>
      </c>
      <c r="B2556" s="138">
        <f>'Acct Summary 7-8'!C12</f>
        <v>10578623</v>
      </c>
      <c r="C2556" s="2" t="s">
        <v>594</v>
      </c>
      <c r="D2556" s="2" t="str">
        <f t="shared" si="38"/>
        <v>Error?</v>
      </c>
    </row>
    <row r="2557" spans="1:4" x14ac:dyDescent="0.2">
      <c r="A2557" s="5">
        <v>2496</v>
      </c>
      <c r="B2557" s="138">
        <f>'Acct Summary 7-8'!C13</f>
        <v>2882279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315266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13776168</v>
      </c>
      <c r="C2561" s="2" t="s">
        <v>594</v>
      </c>
      <c r="D2561" s="2" t="str">
        <f t="shared" si="39"/>
        <v>Error?</v>
      </c>
    </row>
    <row r="2562" spans="1:4" x14ac:dyDescent="0.2">
      <c r="A2562" s="5">
        <v>2501</v>
      </c>
      <c r="B2562" s="138">
        <f>'Acct Summary 7-8'!C20</f>
        <v>268453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2135870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2135870</v>
      </c>
      <c r="C2568" s="2" t="s">
        <v>594</v>
      </c>
      <c r="D2568" s="2" t="str">
        <f t="shared" si="39"/>
        <v>Error?</v>
      </c>
    </row>
    <row r="2569" spans="1:4" x14ac:dyDescent="0.2">
      <c r="A2569" s="5">
        <v>2508</v>
      </c>
      <c r="B2569" s="138">
        <f>'Acct Summary 7-8'!D13</f>
        <v>1630635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1630635</v>
      </c>
      <c r="C2573" s="2" t="s">
        <v>594</v>
      </c>
      <c r="D2573" s="2" t="str">
        <f t="shared" si="39"/>
        <v>Error?</v>
      </c>
    </row>
    <row r="2574" spans="1:4" x14ac:dyDescent="0.2">
      <c r="A2574" s="5">
        <v>2513</v>
      </c>
      <c r="B2574" s="138">
        <f>'Acct Summary 7-8'!D20</f>
        <v>505235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543859</v>
      </c>
      <c r="C2591" s="2" t="s">
        <v>594</v>
      </c>
      <c r="D2591" s="2" t="str">
        <f t="shared" si="39"/>
        <v>Error?</v>
      </c>
    </row>
    <row r="2592" spans="1:4" x14ac:dyDescent="0.2">
      <c r="A2592" s="10">
        <v>2531</v>
      </c>
      <c r="D2592" s="2" t="str">
        <f t="shared" si="39"/>
        <v>OK</v>
      </c>
    </row>
    <row r="2593" spans="1:4" x14ac:dyDescent="0.2">
      <c r="A2593" s="5">
        <v>2532</v>
      </c>
      <c r="B2593" s="138">
        <f>'Acct Summary 7-8'!F6</f>
        <v>184388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728247</v>
      </c>
      <c r="C2595" s="2" t="s">
        <v>594</v>
      </c>
      <c r="D2595" s="2" t="str">
        <f t="shared" si="39"/>
        <v>Error?</v>
      </c>
    </row>
    <row r="2596" spans="1:4" x14ac:dyDescent="0.2">
      <c r="A2596" s="5">
        <v>2535</v>
      </c>
      <c r="B2596" s="138">
        <f>'Acct Summary 7-8'!F13</f>
        <v>500029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500029</v>
      </c>
      <c r="C2600" s="2" t="s">
        <v>594</v>
      </c>
      <c r="D2600" s="2" t="str">
        <f t="shared" si="39"/>
        <v>Error?</v>
      </c>
    </row>
    <row r="2601" spans="1:4" x14ac:dyDescent="0.2">
      <c r="A2601" s="5">
        <v>2540</v>
      </c>
      <c r="B2601" s="138">
        <f>'Acct Summary 7-8'!F20</f>
        <v>228218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350076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350076</v>
      </c>
      <c r="C2606" s="2" t="s">
        <v>594</v>
      </c>
      <c r="D2606" s="2" t="str">
        <f t="shared" si="39"/>
        <v>Error?</v>
      </c>
    </row>
    <row r="2607" spans="1:4" x14ac:dyDescent="0.2">
      <c r="A2607" s="5">
        <v>2546</v>
      </c>
      <c r="B2607" s="138">
        <f>'Acct Summary 7-8'!G12</f>
        <v>199133</v>
      </c>
      <c r="C2607" s="2" t="s">
        <v>594</v>
      </c>
      <c r="D2607" s="2" t="str">
        <f t="shared" si="39"/>
        <v>Error?</v>
      </c>
    </row>
    <row r="2608" spans="1:4" x14ac:dyDescent="0.2">
      <c r="A2608" s="5">
        <v>2547</v>
      </c>
      <c r="B2608" s="138">
        <f>'Acct Summary 7-8'!G13</f>
        <v>216974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416107</v>
      </c>
      <c r="C2612" s="2" t="s">
        <v>594</v>
      </c>
      <c r="D2612" s="2" t="str">
        <f t="shared" si="39"/>
        <v>Error?</v>
      </c>
    </row>
    <row r="2613" spans="1:4" x14ac:dyDescent="0.2">
      <c r="A2613" s="5">
        <v>2552</v>
      </c>
      <c r="B2613" s="138">
        <f>'Acct Summary 7-8'!G20</f>
        <v>-66031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1253265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1253265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1247475</v>
      </c>
      <c r="C2634" s="2" t="s">
        <v>594</v>
      </c>
      <c r="D2634" s="2" t="str">
        <f t="shared" si="40"/>
        <v>Error?</v>
      </c>
    </row>
    <row r="2635" spans="1:4" x14ac:dyDescent="0.2">
      <c r="A2635" s="5">
        <v>2574</v>
      </c>
      <c r="B2635" s="138">
        <f>'Acct Summary 7-8'!E17</f>
        <v>1247475</v>
      </c>
      <c r="C2635" s="2" t="s">
        <v>594</v>
      </c>
      <c r="D2635" s="2" t="str">
        <f t="shared" si="40"/>
        <v>Error?</v>
      </c>
    </row>
    <row r="2636" spans="1:4" x14ac:dyDescent="0.2">
      <c r="A2636" s="5">
        <v>2575</v>
      </c>
      <c r="B2636" s="138">
        <f>'Acct Summary 7-8'!E20</f>
        <v>5790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175735</v>
      </c>
      <c r="C2789" s="2" t="s">
        <v>594</v>
      </c>
      <c r="D2789" s="2" t="str">
        <f t="shared" si="42"/>
        <v>Error?</v>
      </c>
    </row>
    <row r="2790" spans="1:4" x14ac:dyDescent="0.2">
      <c r="A2790" s="5">
        <v>2729</v>
      </c>
      <c r="B2790" s="138">
        <f>'Expenditures 15-22'!E102</f>
        <v>175735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3629666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4630378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46817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1528325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4630378</v>
      </c>
      <c r="D2912" s="2" t="str">
        <f t="shared" si="44"/>
        <v>Error?</v>
      </c>
    </row>
    <row r="2913" spans="1:4" x14ac:dyDescent="0.2">
      <c r="A2913" s="5">
        <v>2852</v>
      </c>
      <c r="B2913" s="138">
        <f>'Assets-Liab 5-6'!I41</f>
        <v>4630378</v>
      </c>
      <c r="C2913" s="2" t="s">
        <v>594</v>
      </c>
      <c r="D2913" s="2" t="str">
        <f t="shared" si="44"/>
        <v>Error?</v>
      </c>
    </row>
    <row r="2914" spans="1:4" x14ac:dyDescent="0.2">
      <c r="A2914" s="5">
        <v>2853</v>
      </c>
      <c r="B2914" s="138">
        <f>'Assets-Liab 5-6'!L33</f>
        <v>462018</v>
      </c>
      <c r="D2914" s="2" t="str">
        <f t="shared" si="44"/>
        <v>Error?</v>
      </c>
    </row>
    <row r="2915" spans="1:4" x14ac:dyDescent="0.2">
      <c r="A2915" s="10">
        <v>2854</v>
      </c>
      <c r="D2915" s="2" t="str">
        <f t="shared" si="44"/>
        <v>OK</v>
      </c>
    </row>
    <row r="2916" spans="1:4" x14ac:dyDescent="0.2">
      <c r="A2916" s="5">
        <v>2855</v>
      </c>
      <c r="B2916" s="138">
        <f>'Assets-Liab 5-6'!L34</f>
        <v>462018</v>
      </c>
      <c r="C2916" s="2" t="s">
        <v>594</v>
      </c>
      <c r="D2916" s="2" t="str">
        <f t="shared" si="44"/>
        <v>Error?</v>
      </c>
    </row>
    <row r="2917" spans="1:4" x14ac:dyDescent="0.2">
      <c r="A2917" s="5">
        <v>2856</v>
      </c>
      <c r="B2917" s="138">
        <f>'Assets-Liab 5-6'!L41</f>
        <v>1528325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74844</v>
      </c>
      <c r="D2949" s="2" t="str">
        <f t="shared" si="45"/>
        <v>Error?</v>
      </c>
    </row>
    <row r="2950" spans="1:4" x14ac:dyDescent="0.2">
      <c r="A2950" s="5">
        <v>2889</v>
      </c>
      <c r="B2950" s="138">
        <f>'Expenditures 15-22'!E79</f>
        <v>100891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39368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74844</v>
      </c>
      <c r="C2973" s="2" t="s">
        <v>594</v>
      </c>
      <c r="D2973" s="2" t="str">
        <f t="shared" si="45"/>
        <v>Error?</v>
      </c>
    </row>
    <row r="2974" spans="1:4" x14ac:dyDescent="0.2">
      <c r="A2974" s="5">
        <v>2913</v>
      </c>
      <c r="B2974" s="138">
        <f>'Expenditures 15-22'!K79</f>
        <v>140259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42701</v>
      </c>
      <c r="D3055" s="2" t="str">
        <f t="shared" si="46"/>
        <v>Error?</v>
      </c>
    </row>
    <row r="3056" spans="1:4" x14ac:dyDescent="0.2">
      <c r="A3056" s="5">
        <v>2995</v>
      </c>
      <c r="B3056" s="138">
        <f>'Expenditures 15-22'!D10</f>
        <v>15710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58411</v>
      </c>
      <c r="C3062" s="2" t="s">
        <v>594</v>
      </c>
      <c r="D3062" s="2" t="str">
        <f t="shared" si="46"/>
        <v>Error?</v>
      </c>
    </row>
    <row r="3063" spans="1:4" x14ac:dyDescent="0.2">
      <c r="A3063" s="10">
        <v>3002</v>
      </c>
      <c r="D3063" s="2" t="str">
        <f t="shared" si="46"/>
        <v>OK</v>
      </c>
    </row>
    <row r="3064" spans="1:4" x14ac:dyDescent="0.2">
      <c r="A3064" s="5">
        <v>3003</v>
      </c>
      <c r="B3064" s="138">
        <f>'Expenditures 15-22'!D219</f>
        <v>665</v>
      </c>
      <c r="D3064" s="2" t="str">
        <f t="shared" si="46"/>
        <v>Error?</v>
      </c>
    </row>
    <row r="3065" spans="1:4" x14ac:dyDescent="0.2">
      <c r="A3065" s="5">
        <v>3004</v>
      </c>
      <c r="B3065" s="138">
        <f>'Expenditures 15-22'!K219</f>
        <v>665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1066307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239612</v>
      </c>
      <c r="C3225" s="2" t="s">
        <v>594</v>
      </c>
      <c r="D3225" s="2" t="str">
        <f t="shared" si="49"/>
        <v>Error?</v>
      </c>
    </row>
    <row r="3226" spans="1:4" x14ac:dyDescent="0.2">
      <c r="A3226" s="5">
        <v>3165</v>
      </c>
      <c r="B3226" s="138">
        <f>'Acct Summary 7-8'!I8</f>
        <v>239612</v>
      </c>
      <c r="C3226" s="2" t="s">
        <v>594</v>
      </c>
      <c r="D3226" s="2" t="str">
        <f t="shared" si="49"/>
        <v>Error?</v>
      </c>
    </row>
    <row r="3227" spans="1:4" x14ac:dyDescent="0.2">
      <c r="A3227" s="5">
        <v>3166</v>
      </c>
      <c r="B3227" s="138">
        <f>'Acct Summary 7-8'!I20</f>
        <v>239612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1540658</v>
      </c>
      <c r="C3231" s="2" t="s">
        <v>594</v>
      </c>
      <c r="D3231" s="2" t="str">
        <f t="shared" si="49"/>
        <v>Error?</v>
      </c>
    </row>
    <row r="3232" spans="1:4" x14ac:dyDescent="0.2">
      <c r="A3232" s="5">
        <v>3171</v>
      </c>
      <c r="B3232" s="138">
        <f>'Acct Summary 7-8'!C77</f>
        <v>-1540658</v>
      </c>
      <c r="C3232" s="2" t="s">
        <v>594</v>
      </c>
      <c r="D3232" s="2" t="str">
        <f t="shared" si="49"/>
        <v>Error?</v>
      </c>
    </row>
    <row r="3233" spans="1:4" x14ac:dyDescent="0.2">
      <c r="A3233" s="5">
        <v>3172</v>
      </c>
      <c r="B3233" s="138">
        <f>'Acct Summary 7-8'!C78</f>
        <v>-1272205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1540658</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1540658</v>
      </c>
      <c r="C3238" s="2" t="s">
        <v>594</v>
      </c>
      <c r="D3238" s="2" t="str">
        <f t="shared" si="49"/>
        <v>Error?</v>
      </c>
    </row>
    <row r="3239" spans="1:4" x14ac:dyDescent="0.2">
      <c r="A3239" s="5">
        <v>3178</v>
      </c>
      <c r="B3239" s="138">
        <f>'Acct Summary 7-8'!D78</f>
        <v>2045893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228218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-66031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5790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3884109</v>
      </c>
      <c r="C3317" s="2" t="s">
        <v>594</v>
      </c>
      <c r="D3317" s="2" t="str">
        <f t="shared" si="50"/>
        <v>Error?</v>
      </c>
    </row>
    <row r="3318" spans="1:4" x14ac:dyDescent="0.2">
      <c r="A3318" s="5">
        <v>3257</v>
      </c>
      <c r="B3318" s="138">
        <f>'Acct Summary 7-8'!I76</f>
        <v>382262</v>
      </c>
      <c r="C3318" s="2" t="s">
        <v>594</v>
      </c>
      <c r="D3318" s="2" t="str">
        <f t="shared" si="50"/>
        <v>Error?</v>
      </c>
    </row>
    <row r="3319" spans="1:4" x14ac:dyDescent="0.2">
      <c r="A3319" s="5">
        <v>3258</v>
      </c>
      <c r="B3319" s="138">
        <f>'Acct Summary 7-8'!I77</f>
        <v>3501847</v>
      </c>
      <c r="C3319" s="2" t="s">
        <v>594</v>
      </c>
      <c r="D3319" s="2" t="str">
        <f t="shared" si="50"/>
        <v>Error?</v>
      </c>
    </row>
    <row r="3320" spans="1:4" x14ac:dyDescent="0.2">
      <c r="A3320" s="5">
        <v>3259</v>
      </c>
      <c r="B3320" s="138">
        <f>'Acct Summary 7-8'!I78</f>
        <v>3741459</v>
      </c>
      <c r="C3320" s="2" t="s">
        <v>594</v>
      </c>
      <c r="D3320" s="2" t="str">
        <f t="shared" si="50"/>
        <v>Error?</v>
      </c>
    </row>
    <row r="3321" spans="1:4" x14ac:dyDescent="0.2">
      <c r="A3321" s="5">
        <v>3260</v>
      </c>
      <c r="B3321" s="138">
        <f>'Acct Summary 7-8'!I79</f>
        <v>888919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4630378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1510677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599463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15796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27617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2909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5586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2162048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119045</v>
      </c>
      <c r="D3387" s="2" t="str">
        <f t="shared" si="51"/>
        <v>Error?</v>
      </c>
    </row>
    <row r="3388" spans="1:4" x14ac:dyDescent="0.2">
      <c r="A3388" s="5">
        <v>3327</v>
      </c>
      <c r="B3388" s="138">
        <f>'Expenditures 15-22'!D217</f>
        <v>61156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119045</v>
      </c>
      <c r="C3390" s="2" t="s">
        <v>594</v>
      </c>
      <c r="D3390" s="2" t="str">
        <f t="shared" si="51"/>
        <v>Error?</v>
      </c>
    </row>
    <row r="3391" spans="1:4" x14ac:dyDescent="0.2">
      <c r="A3391" s="5">
        <v>3330</v>
      </c>
      <c r="B3391" s="138">
        <f>'Expenditures 15-22'!K217</f>
        <v>61156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1237284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2638526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16878</v>
      </c>
      <c r="D3417" s="2" t="str">
        <f t="shared" si="52"/>
        <v>Error?</v>
      </c>
    </row>
    <row r="3418" spans="1:4" x14ac:dyDescent="0.2">
      <c r="A3418" s="10">
        <v>3357</v>
      </c>
      <c r="D3418" s="2" t="str">
        <f t="shared" si="52"/>
        <v>OK</v>
      </c>
    </row>
    <row r="3419" spans="1:4" x14ac:dyDescent="0.2">
      <c r="A3419" s="5">
        <v>3358</v>
      </c>
      <c r="B3419" s="138">
        <f>'Assets-Liab 5-6'!F4</f>
        <v>913283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325890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1000712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1481508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177670</v>
      </c>
      <c r="C3446" s="2" t="s">
        <v>594</v>
      </c>
      <c r="D3446" s="2" t="str">
        <f t="shared" si="52"/>
        <v>Error?</v>
      </c>
    </row>
    <row r="3447" spans="1:4" x14ac:dyDescent="0.2">
      <c r="A3447" s="5">
        <v>3386</v>
      </c>
      <c r="B3447" s="138">
        <f>'Tax Sched 23'!D16</f>
        <v>177670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178746</v>
      </c>
      <c r="C3449" s="2" t="s">
        <v>594</v>
      </c>
      <c r="D3449" s="2" t="str">
        <f t="shared" si="52"/>
        <v>Error?</v>
      </c>
    </row>
    <row r="3450" spans="1:4" x14ac:dyDescent="0.2">
      <c r="A3450" s="5">
        <v>3389</v>
      </c>
      <c r="B3450" s="138">
        <f>'Tax Sched 23'!E16</f>
        <v>178746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124525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124578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124578</v>
      </c>
      <c r="D3567" s="2" t="str">
        <f t="shared" si="54"/>
        <v>Error?</v>
      </c>
    </row>
    <row r="3568" spans="1:4" x14ac:dyDescent="0.2">
      <c r="A3568" s="5">
        <v>3507</v>
      </c>
      <c r="B3568" s="138">
        <f>'Assets-Liab 5-6'!K41</f>
        <v>124578</v>
      </c>
      <c r="C3568" s="2" t="s">
        <v>594</v>
      </c>
      <c r="D3568" s="2" t="str">
        <f t="shared" si="54"/>
        <v>Error?</v>
      </c>
    </row>
    <row r="3569" spans="1:4" x14ac:dyDescent="0.2">
      <c r="A3569" s="5">
        <v>3508</v>
      </c>
      <c r="B3569" s="138">
        <f>'Acct Summary 7-8'!K4</f>
        <v>9936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9936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9936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9936</v>
      </c>
      <c r="C3588" s="2" t="s">
        <v>594</v>
      </c>
      <c r="D3588" s="2" t="str">
        <f t="shared" si="55"/>
        <v>Error?</v>
      </c>
    </row>
    <row r="3589" spans="1:4" x14ac:dyDescent="0.2">
      <c r="A3589" s="5">
        <v>3528</v>
      </c>
      <c r="B3589" s="138">
        <f>'Acct Summary 7-8'!K79</f>
        <v>114642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124578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9936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128404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5998541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20043162</v>
      </c>
      <c r="C4122" s="2" t="s">
        <v>594</v>
      </c>
      <c r="D4122" s="2" t="str">
        <f t="shared" si="63"/>
        <v>Error?</v>
      </c>
    </row>
    <row r="4123" spans="1:4" x14ac:dyDescent="0.2">
      <c r="A4123" s="5">
        <v>4062</v>
      </c>
      <c r="B4123" s="138">
        <f>'Acct Summary 7-8'!D10</f>
        <v>2135870</v>
      </c>
      <c r="C4123" s="2" t="s">
        <v>594</v>
      </c>
      <c r="D4123" s="2" t="str">
        <f t="shared" si="63"/>
        <v>Error?</v>
      </c>
    </row>
    <row r="4124" spans="1:4" x14ac:dyDescent="0.2">
      <c r="A4124" s="5">
        <v>4063</v>
      </c>
      <c r="B4124" s="138">
        <f>'Acct Summary 7-8'!E10</f>
        <v>1253265</v>
      </c>
      <c r="C4124" s="2" t="s">
        <v>594</v>
      </c>
      <c r="D4124" s="2" t="str">
        <f t="shared" si="63"/>
        <v>Error?</v>
      </c>
    </row>
    <row r="4125" spans="1:4" x14ac:dyDescent="0.2">
      <c r="A4125" s="5">
        <v>4064</v>
      </c>
      <c r="B4125" s="138">
        <f>'Acct Summary 7-8'!F10</f>
        <v>728247</v>
      </c>
      <c r="C4125" s="2" t="s">
        <v>594</v>
      </c>
      <c r="D4125" s="2" t="str">
        <f t="shared" si="63"/>
        <v>Error?</v>
      </c>
    </row>
    <row r="4126" spans="1:4" x14ac:dyDescent="0.2">
      <c r="A4126" s="5">
        <v>4065</v>
      </c>
      <c r="B4126" s="138">
        <f>'Acct Summary 7-8'!G10</f>
        <v>350076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239612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9936</v>
      </c>
      <c r="C4130" s="2" t="s">
        <v>594</v>
      </c>
      <c r="D4130" s="2" t="str">
        <f t="shared" si="63"/>
        <v>Error?</v>
      </c>
    </row>
    <row r="4131" spans="1:4" x14ac:dyDescent="0.2">
      <c r="A4131" s="5">
        <v>4070</v>
      </c>
      <c r="B4131" s="138">
        <f>'Acct Summary 7-8'!C18</f>
        <v>5998541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19774709</v>
      </c>
      <c r="C4136" s="2" t="s">
        <v>594</v>
      </c>
      <c r="D4136" s="2" t="str">
        <f t="shared" si="63"/>
        <v>Error?</v>
      </c>
    </row>
    <row r="4137" spans="1:4" x14ac:dyDescent="0.2">
      <c r="A4137" s="5">
        <v>4076</v>
      </c>
      <c r="B4137" s="138">
        <f>'Acct Summary 7-8'!D19</f>
        <v>1630635</v>
      </c>
      <c r="C4137" s="2" t="s">
        <v>594</v>
      </c>
      <c r="D4137" s="2" t="str">
        <f t="shared" si="63"/>
        <v>Error?</v>
      </c>
    </row>
    <row r="4138" spans="1:4" x14ac:dyDescent="0.2">
      <c r="A4138" s="5">
        <v>4077</v>
      </c>
      <c r="B4138" s="138">
        <f>'Acct Summary 7-8'!E19</f>
        <v>1247475</v>
      </c>
      <c r="C4138" s="2" t="s">
        <v>594</v>
      </c>
      <c r="D4138" s="2" t="str">
        <f t="shared" si="63"/>
        <v>Error?</v>
      </c>
    </row>
    <row r="4139" spans="1:4" x14ac:dyDescent="0.2">
      <c r="A4139" s="5">
        <v>4078</v>
      </c>
      <c r="B4139" s="138">
        <f>'Acct Summary 7-8'!F19</f>
        <v>500029</v>
      </c>
      <c r="C4139" s="2" t="s">
        <v>594</v>
      </c>
      <c r="D4139" s="2" t="str">
        <f t="shared" si="63"/>
        <v>Error?</v>
      </c>
    </row>
    <row r="4140" spans="1:4" x14ac:dyDescent="0.2">
      <c r="A4140" s="5">
        <v>4079</v>
      </c>
      <c r="B4140" s="138">
        <f>'Acct Summary 7-8'!G19</f>
        <v>416107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18925000</v>
      </c>
      <c r="C4171" s="2" t="s">
        <v>594</v>
      </c>
      <c r="D4171" s="2" t="str">
        <f t="shared" si="64"/>
        <v>Error?</v>
      </c>
    </row>
    <row r="4172" spans="1:4" x14ac:dyDescent="0.2">
      <c r="A4172" s="5">
        <v>4111</v>
      </c>
      <c r="B4172" s="138">
        <f>'Short-Term Long-Term Debt 24'!J49</f>
        <v>18893898</v>
      </c>
      <c r="C4172" s="2" t="s">
        <v>594</v>
      </c>
      <c r="D4172" s="2" t="str">
        <f t="shared" si="64"/>
        <v>Error?</v>
      </c>
    </row>
    <row r="4173" spans="1:4" x14ac:dyDescent="0.2">
      <c r="A4173" s="5">
        <v>4112</v>
      </c>
      <c r="B4173" s="138">
        <f>'Short-Term Long-Term Debt 24'!H49</f>
        <v>795000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-245000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1797.7300000000002</v>
      </c>
      <c r="C4265" s="2" t="s">
        <v>594</v>
      </c>
      <c r="D4265" s="2" t="str">
        <f t="shared" si="65"/>
        <v>Error?</v>
      </c>
      <c r="E4265" s="128"/>
    </row>
    <row r="4266" spans="1:5" x14ac:dyDescent="0.2">
      <c r="A4266" s="12">
        <v>4205</v>
      </c>
      <c r="B4266" s="138">
        <f>('FP Info 3'!F10)*100000</f>
        <v>410.37</v>
      </c>
      <c r="C4266" s="2" t="s">
        <v>594</v>
      </c>
      <c r="D4266" s="2" t="str">
        <f t="shared" si="65"/>
        <v>Error?</v>
      </c>
      <c r="E4266" s="128"/>
    </row>
    <row r="4267" spans="1:5" x14ac:dyDescent="0.2">
      <c r="A4267" s="12">
        <v>4206</v>
      </c>
      <c r="B4267" s="138">
        <f>('FP Info 3'!H10)*100000</f>
        <v>110.42</v>
      </c>
      <c r="C4267" s="2" t="s">
        <v>594</v>
      </c>
      <c r="D4267" s="2" t="str">
        <f t="shared" si="65"/>
        <v>Error?</v>
      </c>
      <c r="E4267" s="128"/>
    </row>
    <row r="4268" spans="1:5" x14ac:dyDescent="0.2">
      <c r="A4268" s="12">
        <v>4207</v>
      </c>
      <c r="B4268" s="138">
        <f>('FP Info 3'!J10)*100000</f>
        <v>2319</v>
      </c>
      <c r="C4268" s="2" t="s">
        <v>594</v>
      </c>
      <c r="D4268" s="2" t="str">
        <f t="shared" si="65"/>
        <v>Error?</v>
      </c>
    </row>
    <row r="4269" spans="1:5" x14ac:dyDescent="0.2">
      <c r="A4269" s="12">
        <v>4208</v>
      </c>
      <c r="B4269" s="138">
        <f>'FP Info 3'!J16</f>
        <v>14681891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18318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8881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22943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39.090000000000003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24031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508088829</v>
      </c>
      <c r="D4995" s="2" t="str">
        <f t="shared" si="77"/>
        <v>Error?</v>
      </c>
    </row>
    <row r="4996" spans="1:4" x14ac:dyDescent="0.2">
      <c r="A4996" s="12">
        <v>4935</v>
      </c>
      <c r="B4996" s="138">
        <f>'FP Info 3'!H31</f>
        <v>35058129.201000005</v>
      </c>
      <c r="D4996" s="2" t="str">
        <f t="shared" si="77"/>
        <v>Error?</v>
      </c>
    </row>
    <row r="4997" spans="1:4" x14ac:dyDescent="0.2">
      <c r="A4997" s="12">
        <v>4936</v>
      </c>
      <c r="B4997" s="138">
        <f>'FP Info 3'!H37</f>
        <v>18925000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1540658</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1540658</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8682277</v>
      </c>
      <c r="D5061" s="2" t="str">
        <f t="shared" si="78"/>
        <v>Error?</v>
      </c>
    </row>
    <row r="5062" spans="1:4" x14ac:dyDescent="0.2">
      <c r="A5062" s="10">
        <v>5001</v>
      </c>
      <c r="D5062" s="2" t="str">
        <f t="shared" si="78"/>
        <v>OK</v>
      </c>
    </row>
    <row r="5063" spans="1:4" x14ac:dyDescent="0.2">
      <c r="A5063" s="5">
        <v>5002</v>
      </c>
      <c r="B5063" s="138">
        <f>'Revenues 9-14'!C7</f>
        <v>118469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8800746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82901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82901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16745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16745</v>
      </c>
      <c r="C5087" s="2" t="s">
        <v>594</v>
      </c>
      <c r="D5087" s="2" t="str">
        <f t="shared" si="78"/>
        <v>Error?</v>
      </c>
    </row>
    <row r="5088" spans="1:4" x14ac:dyDescent="0.2">
      <c r="A5088" s="5">
        <v>5027</v>
      </c>
      <c r="B5088" s="138">
        <f>'Revenues 9-14'!C65</f>
        <v>160799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160799</v>
      </c>
      <c r="C5090" s="2" t="s">
        <v>594</v>
      </c>
      <c r="D5090" s="2" t="str">
        <f t="shared" si="78"/>
        <v>Error?</v>
      </c>
    </row>
    <row r="5091" spans="1:4" x14ac:dyDescent="0.2">
      <c r="A5091" s="5">
        <v>5030</v>
      </c>
      <c r="B5091" s="138">
        <f>'Revenues 9-14'!C70</f>
        <v>2099</v>
      </c>
      <c r="D5091" s="2" t="str">
        <f t="shared" si="78"/>
        <v>Error?</v>
      </c>
    </row>
    <row r="5092" spans="1:4" x14ac:dyDescent="0.2">
      <c r="A5092" s="5">
        <v>5031</v>
      </c>
      <c r="B5092" s="138">
        <f>'Revenues 9-14'!C71</f>
        <v>491350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4551</v>
      </c>
      <c r="D5094" s="2" t="str">
        <f t="shared" si="78"/>
        <v>Error?</v>
      </c>
    </row>
    <row r="5095" spans="1:4" x14ac:dyDescent="0.2">
      <c r="A5095" s="5">
        <v>5034</v>
      </c>
      <c r="B5095" s="138">
        <f>'Revenues 9-14'!C74</f>
        <v>4647</v>
      </c>
      <c r="D5095" s="2" t="str">
        <f t="shared" si="78"/>
        <v>Error?</v>
      </c>
    </row>
    <row r="5096" spans="1:4" x14ac:dyDescent="0.2">
      <c r="A5096" s="5">
        <v>5035</v>
      </c>
      <c r="B5096" s="138">
        <f>'Revenues 9-14'!C75</f>
        <v>564735</v>
      </c>
      <c r="C5096" s="2" t="s">
        <v>594</v>
      </c>
      <c r="D5096" s="2" t="str">
        <f t="shared" si="78"/>
        <v>Error?</v>
      </c>
    </row>
    <row r="5097" spans="1:4" x14ac:dyDescent="0.2">
      <c r="A5097" s="5">
        <v>5036</v>
      </c>
      <c r="B5097" s="138">
        <f>'Revenues 9-14'!C77</f>
        <v>47758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24466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72224</v>
      </c>
      <c r="C5102" s="2" t="s">
        <v>594</v>
      </c>
      <c r="D5102" s="2" t="str">
        <f t="shared" si="78"/>
        <v>Error?</v>
      </c>
    </row>
    <row r="5103" spans="1:4" x14ac:dyDescent="0.2">
      <c r="A5103" s="5">
        <v>5042</v>
      </c>
      <c r="B5103" s="138">
        <f>'Revenues 9-14'!C84</f>
        <v>86922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805</v>
      </c>
      <c r="D5111" s="2" t="str">
        <f t="shared" si="78"/>
        <v>Error?</v>
      </c>
    </row>
    <row r="5112" spans="1:4" x14ac:dyDescent="0.2">
      <c r="A5112" s="5">
        <v>5051</v>
      </c>
      <c r="B5112" s="138">
        <f>'Revenues 9-14'!C93</f>
        <v>87727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498210</v>
      </c>
      <c r="D5115" s="2" t="str">
        <f t="shared" si="78"/>
        <v>Error?</v>
      </c>
    </row>
    <row r="5116" spans="1:4" x14ac:dyDescent="0.2">
      <c r="A5116" s="5">
        <v>5055</v>
      </c>
      <c r="B5116" s="138">
        <f>'Revenues 9-14'!C99</f>
        <v>93397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16390</v>
      </c>
      <c r="D5118" s="2" t="str">
        <f t="shared" si="78"/>
        <v>Error?</v>
      </c>
    </row>
    <row r="5119" spans="1:4" x14ac:dyDescent="0.2">
      <c r="A5119" s="5">
        <v>5058</v>
      </c>
      <c r="B5119" s="138">
        <f>'Revenues 9-14'!C107</f>
        <v>481</v>
      </c>
      <c r="D5119" s="2" t="str">
        <f t="shared" ref="D5119:D5182" si="79">IF(ISBLANK(B5119),"OK",IF(A5119-B5119=0,"OK","Error?"))</f>
        <v>Error?</v>
      </c>
    </row>
    <row r="5120" spans="1:4" x14ac:dyDescent="0.2">
      <c r="A5120" s="5">
        <v>5059</v>
      </c>
      <c r="B5120" s="138">
        <f>'Revenues 9-14'!C108</f>
        <v>622838</v>
      </c>
      <c r="C5120" s="2" t="s">
        <v>594</v>
      </c>
      <c r="D5120" s="2" t="str">
        <f t="shared" si="79"/>
        <v>Error?</v>
      </c>
    </row>
    <row r="5121" spans="1:4" x14ac:dyDescent="0.2">
      <c r="A5121" s="5">
        <v>5060</v>
      </c>
      <c r="B5121" s="138">
        <f>'Revenues 9-14'!C109</f>
        <v>10408715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2877407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2877407</v>
      </c>
      <c r="C5132" s="2" t="s">
        <v>594</v>
      </c>
      <c r="D5132" s="2" t="str">
        <f t="shared" si="79"/>
        <v>Error?</v>
      </c>
    </row>
    <row r="5133" spans="1:4" x14ac:dyDescent="0.2">
      <c r="A5133" s="5">
        <v>5072</v>
      </c>
      <c r="B5133" s="138">
        <f>'Revenues 9-14'!C124</f>
        <v>36727</v>
      </c>
      <c r="D5133" s="2" t="str">
        <f t="shared" si="79"/>
        <v>Error?</v>
      </c>
    </row>
    <row r="5134" spans="1:4" x14ac:dyDescent="0.2">
      <c r="A5134" s="5">
        <v>5073</v>
      </c>
      <c r="B5134" s="138">
        <f>'Revenues 9-14'!C125</f>
        <v>75922</v>
      </c>
      <c r="D5134" s="2" t="str">
        <f t="shared" si="79"/>
        <v>Error?</v>
      </c>
    </row>
    <row r="5135" spans="1:4" x14ac:dyDescent="0.2">
      <c r="A5135" s="5">
        <v>5074</v>
      </c>
      <c r="B5135" s="138">
        <f>'Revenues 9-14'!C126</f>
        <v>94916</v>
      </c>
      <c r="D5135" s="2" t="str">
        <f t="shared" si="79"/>
        <v>Error?</v>
      </c>
    </row>
    <row r="5136" spans="1:4" x14ac:dyDescent="0.2">
      <c r="A5136" s="10">
        <v>5075</v>
      </c>
      <c r="D5136" s="2" t="str">
        <f t="shared" si="79"/>
        <v>OK</v>
      </c>
    </row>
    <row r="5137" spans="1:4" x14ac:dyDescent="0.2">
      <c r="A5137" s="5">
        <v>5076</v>
      </c>
      <c r="B5137" s="138">
        <f>'Revenues 9-14'!C127</f>
        <v>7810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1215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216590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60675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60675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1582</v>
      </c>
      <c r="D5167" s="2" t="str">
        <f t="shared" si="79"/>
        <v>Error?</v>
      </c>
    </row>
    <row r="5168" spans="1:4" x14ac:dyDescent="0.2">
      <c r="A5168" s="5">
        <v>5107</v>
      </c>
      <c r="B5168" s="138">
        <f>'Revenues 9-14'!C147</f>
        <v>66588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369466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3246873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110261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18143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128404</v>
      </c>
      <c r="C5246" s="2" t="s">
        <v>594</v>
      </c>
      <c r="D5246" s="2" t="str">
        <f t="shared" si="80"/>
        <v>Error?</v>
      </c>
    </row>
    <row r="5247" spans="1:4" x14ac:dyDescent="0.2">
      <c r="A5247" s="5">
        <v>5186</v>
      </c>
      <c r="B5247" s="138">
        <f>'Revenues 9-14'!C203</f>
        <v>97206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97206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113281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113281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389033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389033</v>
      </c>
      <c r="C5326" s="2" t="s">
        <v>594</v>
      </c>
      <c r="D5326" s="2" t="str">
        <f t="shared" si="82"/>
        <v>Error?</v>
      </c>
    </row>
    <row r="5327" spans="1:4" x14ac:dyDescent="0.2">
      <c r="A5327" s="5">
        <v>5266</v>
      </c>
      <c r="B5327" s="138">
        <f>'Revenues 9-14'!C275</f>
        <v>14044621</v>
      </c>
      <c r="C5327" s="2" t="s">
        <v>594</v>
      </c>
      <c r="D5327" s="2" t="str">
        <f t="shared" si="82"/>
        <v>Error?</v>
      </c>
    </row>
    <row r="5328" spans="1:4" x14ac:dyDescent="0.2">
      <c r="A5328" s="5">
        <v>5267</v>
      </c>
      <c r="B5328" s="138">
        <f>'Revenues 9-14'!D5</f>
        <v>1973353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1973353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41194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41194</v>
      </c>
      <c r="C5339" s="2" t="s">
        <v>594</v>
      </c>
      <c r="D5339" s="2" t="str">
        <f t="shared" si="82"/>
        <v>Error?</v>
      </c>
    </row>
    <row r="5340" spans="1:4" x14ac:dyDescent="0.2">
      <c r="A5340" s="5">
        <v>5279</v>
      </c>
      <c r="B5340" s="138">
        <f>'Revenues 9-14'!D65</f>
        <v>18626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97256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5441</v>
      </c>
      <c r="D5354" s="2" t="str">
        <f t="shared" si="82"/>
        <v>Error?</v>
      </c>
    </row>
    <row r="5355" spans="1:4" x14ac:dyDescent="0.2">
      <c r="A5355" s="5">
        <v>5294</v>
      </c>
      <c r="B5355" s="138">
        <f>'Revenues 9-14'!D108</f>
        <v>102697</v>
      </c>
      <c r="C5355" s="2" t="s">
        <v>594</v>
      </c>
      <c r="D5355" s="2" t="str">
        <f t="shared" si="82"/>
        <v>Error?</v>
      </c>
    </row>
    <row r="5356" spans="1:4" x14ac:dyDescent="0.2">
      <c r="A5356" s="5">
        <v>5295</v>
      </c>
      <c r="B5356" s="138">
        <f>'Revenues 9-14'!D109</f>
        <v>2135870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2135870</v>
      </c>
      <c r="C5508" s="2" t="s">
        <v>594</v>
      </c>
      <c r="D5508" s="2" t="str">
        <f t="shared" si="85"/>
        <v>Error?</v>
      </c>
    </row>
    <row r="5509" spans="1:4" x14ac:dyDescent="0.2">
      <c r="A5509" s="5">
        <v>5448</v>
      </c>
      <c r="B5509" s="138">
        <f>'Revenues 9-14'!E5</f>
        <v>1252216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1252216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1253265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1253265</v>
      </c>
      <c r="C5552" s="2" t="s">
        <v>594</v>
      </c>
      <c r="D5552" s="2" t="str">
        <f t="shared" si="85"/>
        <v>Error?</v>
      </c>
    </row>
    <row r="5553" spans="1:4" x14ac:dyDescent="0.2">
      <c r="A5553" s="5">
        <v>5492</v>
      </c>
      <c r="B5553" s="138">
        <f>'Revenues 9-14'!F5</f>
        <v>542713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542713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543859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9688</v>
      </c>
      <c r="D5615" s="2" t="str">
        <f t="shared" si="86"/>
        <v>Error?</v>
      </c>
    </row>
    <row r="5616" spans="1:4" x14ac:dyDescent="0.2">
      <c r="A5616" s="10">
        <v>5555</v>
      </c>
      <c r="D5616" s="2" t="str">
        <f t="shared" si="86"/>
        <v>OK</v>
      </c>
    </row>
    <row r="5617" spans="1:4" x14ac:dyDescent="0.2">
      <c r="A5617" s="5">
        <v>5556</v>
      </c>
      <c r="B5617" s="138">
        <f>'Revenues 9-14'!F152</f>
        <v>174700</v>
      </c>
      <c r="D5617" s="2" t="str">
        <f t="shared" si="86"/>
        <v>Error?</v>
      </c>
    </row>
    <row r="5618" spans="1:4" x14ac:dyDescent="0.2">
      <c r="A5618" s="5">
        <v>5557</v>
      </c>
      <c r="B5618" s="138">
        <f>'Revenues 9-14'!F154</f>
        <v>184388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184388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184388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728247</v>
      </c>
      <c r="C5720" s="2" t="s">
        <v>594</v>
      </c>
      <c r="D5720" s="2" t="str">
        <f t="shared" si="88"/>
        <v>Error?</v>
      </c>
    </row>
    <row r="5721" spans="1:4" x14ac:dyDescent="0.2">
      <c r="A5721" s="5">
        <v>5660</v>
      </c>
      <c r="B5721" s="138">
        <f>'Revenues 9-14'!G5</f>
        <v>157905</v>
      </c>
      <c r="D5721" s="2" t="str">
        <f t="shared" si="88"/>
        <v>Error?</v>
      </c>
    </row>
    <row r="5722" spans="1:4" x14ac:dyDescent="0.2">
      <c r="A5722" s="5">
        <v>5661</v>
      </c>
      <c r="B5722" s="138">
        <f>'Revenues 9-14'!G7</f>
        <v>0</v>
      </c>
      <c r="D5722" s="2" t="str">
        <f t="shared" si="88"/>
        <v>Error?</v>
      </c>
    </row>
    <row r="5723" spans="1:4" x14ac:dyDescent="0.2">
      <c r="A5723" s="5">
        <v>5662</v>
      </c>
      <c r="B5723" s="138">
        <f>'Revenues 9-14'!G8</f>
        <v>177670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335575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14187</v>
      </c>
      <c r="C5730" s="2" t="s">
        <v>594</v>
      </c>
      <c r="D5730" s="2" t="str">
        <f t="shared" si="88"/>
        <v>Error?</v>
      </c>
    </row>
    <row r="5731" spans="1:4" x14ac:dyDescent="0.2">
      <c r="A5731" s="5">
        <v>5670</v>
      </c>
      <c r="B5731" s="138">
        <f>'Revenues 9-14'!G65</f>
        <v>314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350076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226956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226956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12656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12656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239612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9929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9929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9936</v>
      </c>
      <c r="C6023" s="2" t="s">
        <v>594</v>
      </c>
      <c r="D6023" s="2" t="str">
        <f t="shared" si="93"/>
        <v>Error?</v>
      </c>
    </row>
    <row r="6024" spans="1:5" x14ac:dyDescent="0.2">
      <c r="A6024" s="5">
        <v>5963</v>
      </c>
      <c r="B6024" s="138">
        <f>'Revenues 9-14'!G109</f>
        <v>350076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239612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9936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62088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18172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1207.78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27932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27932</v>
      </c>
      <c r="D6215" s="2" t="str">
        <f t="shared" si="96"/>
        <v>Error?</v>
      </c>
      <c r="E6215" s="2" t="s">
        <v>199</v>
      </c>
    </row>
    <row r="6216" spans="1:5" x14ac:dyDescent="0.2">
      <c r="A6216">
        <v>6155</v>
      </c>
      <c r="B6216" s="138">
        <f>'Assets-Liab 5-6'!J41</f>
        <v>27932</v>
      </c>
      <c r="D6216" s="2" t="str">
        <f t="shared" si="96"/>
        <v>Error?</v>
      </c>
      <c r="E6216" s="2" t="s">
        <v>199</v>
      </c>
    </row>
    <row r="6217" spans="1:5" x14ac:dyDescent="0.2">
      <c r="A6217">
        <v>6156</v>
      </c>
      <c r="B6217" s="138">
        <f>'Assets-Liab 5-6'!J4</f>
        <v>27932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79036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79036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79036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64679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64679</v>
      </c>
      <c r="D6229" s="2" t="str">
        <f t="shared" si="96"/>
        <v>Error?</v>
      </c>
      <c r="E6229" s="2" t="s">
        <v>199</v>
      </c>
    </row>
    <row r="6230" spans="1:5" x14ac:dyDescent="0.2">
      <c r="A6230">
        <v>6169</v>
      </c>
      <c r="B6230" s="138">
        <f>'Acct Summary 7-8'!J20</f>
        <v>14357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382262</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14357</v>
      </c>
      <c r="D6263" s="2" t="str">
        <f t="shared" si="96"/>
        <v>Error?</v>
      </c>
      <c r="E6263" s="2" t="s">
        <v>199</v>
      </c>
    </row>
    <row r="6264" spans="1:5" x14ac:dyDescent="0.2">
      <c r="A6264">
        <v>6203</v>
      </c>
      <c r="B6264" s="138">
        <f>'Acct Summary 7-8'!J79</f>
        <v>13575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27932</v>
      </c>
      <c r="D6266" s="2" t="str">
        <f t="shared" si="96"/>
        <v>Error?</v>
      </c>
      <c r="E6266" s="2" t="s">
        <v>199</v>
      </c>
    </row>
    <row r="6267" spans="1:5" x14ac:dyDescent="0.2">
      <c r="A6267">
        <v>6206</v>
      </c>
      <c r="B6267" s="138">
        <f>'Acct Summary 7-8'!C82</f>
        <v>-1272205</v>
      </c>
      <c r="D6267" s="2" t="str">
        <f t="shared" si="96"/>
        <v>Error?</v>
      </c>
      <c r="E6267" s="2" t="s">
        <v>199</v>
      </c>
    </row>
    <row r="6268" spans="1:5" x14ac:dyDescent="0.2">
      <c r="A6268">
        <v>6207</v>
      </c>
      <c r="B6268" s="138">
        <f>'Acct Summary 7-8'!D82</f>
        <v>2045893</v>
      </c>
      <c r="D6268" s="2" t="str">
        <f t="shared" si="96"/>
        <v>Error?</v>
      </c>
      <c r="E6268" s="2" t="s">
        <v>199</v>
      </c>
    </row>
    <row r="6269" spans="1:5" x14ac:dyDescent="0.2">
      <c r="A6269">
        <v>6208</v>
      </c>
      <c r="B6269" s="138">
        <f>'Acct Summary 7-8'!E82</f>
        <v>5790</v>
      </c>
      <c r="D6269" s="2" t="str">
        <f t="shared" si="96"/>
        <v>Error?</v>
      </c>
      <c r="E6269" s="2" t="s">
        <v>199</v>
      </c>
    </row>
    <row r="6270" spans="1:5" x14ac:dyDescent="0.2">
      <c r="A6270">
        <v>6209</v>
      </c>
      <c r="B6270" s="138">
        <f>'Acct Summary 7-8'!F82</f>
        <v>228218</v>
      </c>
      <c r="D6270" s="2" t="str">
        <f t="shared" si="96"/>
        <v>Error?</v>
      </c>
      <c r="E6270" s="2" t="s">
        <v>199</v>
      </c>
    </row>
    <row r="6271" spans="1:5" x14ac:dyDescent="0.2">
      <c r="A6271">
        <v>6210</v>
      </c>
      <c r="B6271" s="138">
        <f>'Acct Summary 7-8'!G82</f>
        <v>-66031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3741459</v>
      </c>
      <c r="D6273" s="2" t="str">
        <f t="shared" si="97"/>
        <v>Error?</v>
      </c>
      <c r="E6273" s="2" t="s">
        <v>199</v>
      </c>
    </row>
    <row r="6274" spans="1:5" x14ac:dyDescent="0.2">
      <c r="A6274">
        <v>6213</v>
      </c>
      <c r="B6274" s="138">
        <f>'Acct Summary 7-8'!J82</f>
        <v>14357</v>
      </c>
      <c r="D6274" s="2" t="str">
        <f t="shared" si="97"/>
        <v>Error?</v>
      </c>
      <c r="E6274" s="2" t="s">
        <v>199</v>
      </c>
    </row>
    <row r="6275" spans="1:5" x14ac:dyDescent="0.2">
      <c r="A6275">
        <v>6214</v>
      </c>
      <c r="B6275" s="138">
        <f>'Acct Summary 7-8'!K82</f>
        <v>9936</v>
      </c>
      <c r="D6275" s="2" t="str">
        <f t="shared" si="97"/>
        <v>Error?</v>
      </c>
      <c r="E6275" s="2" t="s">
        <v>199</v>
      </c>
    </row>
    <row r="6276" spans="1:5" x14ac:dyDescent="0.2">
      <c r="A6276">
        <v>6215</v>
      </c>
      <c r="B6276" s="138">
        <f>'Acct Summary 7-8'!C83</f>
        <v>-0.35253811481247271</v>
      </c>
      <c r="D6276" s="2" t="str">
        <f t="shared" si="97"/>
        <v>Error?</v>
      </c>
      <c r="E6276" s="2" t="s">
        <v>199</v>
      </c>
    </row>
    <row r="6277" spans="1:5" x14ac:dyDescent="0.2">
      <c r="A6277">
        <v>6216</v>
      </c>
      <c r="B6277" s="138">
        <f>'Acct Summary 7-8'!D83</f>
        <v>0.37469359962023202</v>
      </c>
      <c r="D6277" s="2" t="str">
        <f t="shared" si="97"/>
        <v>Error?</v>
      </c>
      <c r="E6277" s="2" t="s">
        <v>199</v>
      </c>
    </row>
    <row r="6278" spans="1:5" x14ac:dyDescent="0.2">
      <c r="A6278">
        <v>6217</v>
      </c>
      <c r="B6278" s="138">
        <f>'Acct Summary 7-8'!E83</f>
        <v>0.1861616616294772</v>
      </c>
      <c r="D6278" s="2" t="str">
        <f t="shared" si="97"/>
        <v>Error?</v>
      </c>
      <c r="E6278" s="2" t="s">
        <v>199</v>
      </c>
    </row>
    <row r="6279" spans="1:5" x14ac:dyDescent="0.2">
      <c r="A6279">
        <v>6218</v>
      </c>
      <c r="B6279" s="138">
        <f>'Acct Summary 7-8'!F83</f>
        <v>0.23225103929739935</v>
      </c>
      <c r="D6279" s="2" t="str">
        <f t="shared" si="97"/>
        <v>Error?</v>
      </c>
      <c r="E6279" s="2" t="s">
        <v>199</v>
      </c>
    </row>
    <row r="6280" spans="1:5" x14ac:dyDescent="0.2">
      <c r="A6280">
        <v>6219</v>
      </c>
      <c r="B6280" s="138">
        <f>'Acct Summary 7-8'!G83</f>
        <v>-0.19844086683956977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0.8080245284510249</v>
      </c>
      <c r="D6282" s="2" t="str">
        <f t="shared" si="97"/>
        <v>Error?</v>
      </c>
      <c r="E6282" s="2" t="s">
        <v>199</v>
      </c>
    </row>
    <row r="6283" spans="1:5" x14ac:dyDescent="0.2">
      <c r="A6283">
        <v>6222</v>
      </c>
      <c r="B6283" s="138">
        <f>'Acct Summary 7-8'!J83</f>
        <v>0.513998281540885</v>
      </c>
      <c r="D6283" s="2" t="str">
        <f t="shared" si="97"/>
        <v>Error?</v>
      </c>
      <c r="E6283" s="2" t="s">
        <v>199</v>
      </c>
    </row>
    <row r="6284" spans="1:5" x14ac:dyDescent="0.2">
      <c r="A6284">
        <v>6223</v>
      </c>
      <c r="B6284" s="138">
        <f>'Acct Summary 7-8'!K83</f>
        <v>7.975726051148678E-2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78979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78979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14360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79036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316445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133339</v>
      </c>
      <c r="D6880" s="2" t="str">
        <f t="shared" si="106"/>
        <v>Error?</v>
      </c>
    </row>
    <row r="6881" spans="1:4" x14ac:dyDescent="0.2">
      <c r="A6881">
        <v>6820</v>
      </c>
      <c r="B6881" s="138">
        <f>'Expenditures 15-22'!K22</f>
        <v>133339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825</v>
      </c>
      <c r="D6981" s="2" t="str">
        <f t="shared" si="108"/>
        <v>Error?</v>
      </c>
    </row>
    <row r="6982" spans="1:4" x14ac:dyDescent="0.2">
      <c r="A6982">
        <v>6921</v>
      </c>
      <c r="B6982" s="138">
        <f>'Expenditures 15-22'!K85</f>
        <v>825</v>
      </c>
      <c r="D6982" s="2" t="str">
        <f t="shared" si="108"/>
        <v>Error?</v>
      </c>
    </row>
    <row r="6983" spans="1:4" x14ac:dyDescent="0.2">
      <c r="A6983">
        <v>6922</v>
      </c>
      <c r="B6983" s="138">
        <f>'Expenditures 15-22'!H86</f>
        <v>99338</v>
      </c>
      <c r="D6983" s="2" t="str">
        <f t="shared" si="108"/>
        <v>Error?</v>
      </c>
    </row>
    <row r="6984" spans="1:4" x14ac:dyDescent="0.2">
      <c r="A6984">
        <v>6923</v>
      </c>
      <c r="B6984" s="138">
        <f>'Expenditures 15-22'!K86</f>
        <v>99338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100163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64679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79036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3449</v>
      </c>
      <c r="D7079" s="2" t="str">
        <f t="shared" si="109"/>
        <v>Error?</v>
      </c>
    </row>
    <row r="7080" spans="1:4" x14ac:dyDescent="0.2">
      <c r="A7080">
        <v>7019</v>
      </c>
      <c r="B7080" s="138">
        <f>'Expenditures 15-22'!K226</f>
        <v>3449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64679</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64679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64679</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64679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64679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64679</v>
      </c>
      <c r="D7224" s="2" t="str">
        <f t="shared" si="111"/>
        <v>Error?</v>
      </c>
    </row>
    <row r="7225" spans="1:4" x14ac:dyDescent="0.2">
      <c r="A7225">
        <v>7164</v>
      </c>
      <c r="B7225" s="138">
        <f>'Expenditures 15-22'!K343</f>
        <v>14357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241082</v>
      </c>
      <c r="D7263" s="2" t="str">
        <f t="shared" si="112"/>
        <v>Error?</v>
      </c>
    </row>
    <row r="7264" spans="1:4" x14ac:dyDescent="0.2">
      <c r="A7264">
        <f t="shared" si="113"/>
        <v>7203</v>
      </c>
      <c r="B7264" s="138">
        <f>'Expenditures 15-22'!D17</f>
        <v>58374</v>
      </c>
      <c r="D7264" s="2" t="str">
        <f t="shared" si="112"/>
        <v>Error?</v>
      </c>
    </row>
    <row r="7265" spans="1:5" x14ac:dyDescent="0.2">
      <c r="A7265">
        <f t="shared" si="113"/>
        <v>7204</v>
      </c>
      <c r="B7265" s="138">
        <f>'Expenditures 15-22'!E17</f>
        <v>13858</v>
      </c>
      <c r="D7265" s="2" t="str">
        <f t="shared" si="112"/>
        <v>Error?</v>
      </c>
    </row>
    <row r="7266" spans="1:5" x14ac:dyDescent="0.2">
      <c r="A7266">
        <f t="shared" si="113"/>
        <v>7205</v>
      </c>
      <c r="B7266" s="138">
        <f>'Expenditures 15-22'!F17</f>
        <v>3131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1571986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14360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66588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80948</v>
      </c>
      <c r="D7719" s="2" t="str">
        <f t="shared" si="126"/>
        <v>Error?</v>
      </c>
      <c r="E7719" s="2" t="s">
        <v>881</v>
      </c>
    </row>
    <row r="7720" spans="1:6" x14ac:dyDescent="0.2">
      <c r="A7720">
        <v>7659</v>
      </c>
      <c r="B7720" s="138">
        <f>'Rest Tax Levies-Tort Im 25'!H14</f>
        <v>118469</v>
      </c>
      <c r="D7720" s="2" t="str">
        <f t="shared" si="126"/>
        <v>Error?</v>
      </c>
      <c r="E7720" s="2" t="s">
        <v>881</v>
      </c>
    </row>
    <row r="7721" spans="1:6" x14ac:dyDescent="0.2">
      <c r="A7721">
        <v>7660</v>
      </c>
      <c r="B7721" s="138">
        <f>'Rest Tax Levies-Tort Im 25'!K14</f>
        <v>80948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700776</v>
      </c>
      <c r="D7797" s="2" t="str">
        <f t="shared" si="127"/>
        <v>Error?</v>
      </c>
      <c r="E7797" s="4" t="s">
        <v>2019</v>
      </c>
    </row>
    <row r="7798" spans="1:5" x14ac:dyDescent="0.2">
      <c r="A7798">
        <v>7737</v>
      </c>
      <c r="B7798" s="138">
        <f>'Contracts Paid in CY 29'!F141</f>
        <v>200000</v>
      </c>
      <c r="D7798" s="2" t="str">
        <f t="shared" si="127"/>
        <v>Error?</v>
      </c>
      <c r="E7798" s="4" t="s">
        <v>2019</v>
      </c>
    </row>
    <row r="7799" spans="1:5" x14ac:dyDescent="0.2">
      <c r="A7799">
        <v>7738</v>
      </c>
      <c r="B7799" s="138">
        <f>'Contracts Paid in CY 29'!G141</f>
        <v>500776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17" t="s">
        <v>1252</v>
      </c>
      <c r="B3" s="2417"/>
      <c r="C3" s="2417"/>
      <c r="D3" s="2417"/>
      <c r="E3" s="2417"/>
      <c r="F3" s="2417"/>
      <c r="G3" s="2417"/>
      <c r="H3" s="2417"/>
      <c r="I3" s="2417"/>
      <c r="J3" s="2417"/>
      <c r="K3" s="2417"/>
      <c r="L3" s="2417"/>
    </row>
    <row r="4" spans="1:29" ht="13.5" customHeight="1" x14ac:dyDescent="0.2">
      <c r="A4" s="2431" t="s">
        <v>1799</v>
      </c>
      <c r="B4" s="2448"/>
      <c r="C4" s="2448"/>
      <c r="D4" s="2448"/>
      <c r="E4" s="2448"/>
      <c r="F4" s="2448"/>
      <c r="G4" s="2448"/>
      <c r="H4" s="2448"/>
      <c r="I4" s="2448"/>
      <c r="J4" s="2448"/>
      <c r="K4" s="2448"/>
      <c r="L4" s="244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1" t="str">
        <f>COVER!A17</f>
        <v>Washington CHSD 308</v>
      </c>
      <c r="B7" s="2412"/>
      <c r="C7" s="2412"/>
      <c r="D7" s="2449"/>
      <c r="E7" s="2450">
        <f>COVER!A13</f>
        <v>53090308016</v>
      </c>
      <c r="F7" s="2451"/>
      <c r="G7" s="2418" t="str">
        <f>COVER!T23</f>
        <v>065.027018</v>
      </c>
      <c r="H7" s="2419"/>
      <c r="I7" s="2419"/>
      <c r="J7" s="2419"/>
      <c r="K7" s="2419"/>
      <c r="L7" s="242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1"/>
      <c r="B9" s="2422"/>
      <c r="C9" s="2422"/>
      <c r="D9" s="2422"/>
      <c r="E9" s="2422"/>
      <c r="F9" s="2423"/>
      <c r="G9" s="2424" t="str">
        <f>COVER!T13</f>
        <v>Koch Consultants, Ltd.</v>
      </c>
      <c r="H9" s="2425"/>
      <c r="I9" s="2425"/>
      <c r="J9" s="2425"/>
      <c r="K9" s="2425"/>
      <c r="L9" s="2426"/>
    </row>
    <row r="10" spans="1:29" ht="13.5" customHeight="1" x14ac:dyDescent="0.2">
      <c r="A10" s="2408" t="str">
        <f>COVER!A38</f>
        <v>Dr. Kyle Freeman</v>
      </c>
      <c r="B10" s="2409"/>
      <c r="C10" s="2409"/>
      <c r="D10" s="2409"/>
      <c r="E10" s="2409"/>
      <c r="F10" s="2410"/>
      <c r="G10" s="2424" t="str">
        <f>COVER!T17</f>
        <v>PO Box 1400</v>
      </c>
      <c r="H10" s="2437"/>
      <c r="I10" s="2437"/>
      <c r="J10" s="2437"/>
      <c r="K10" s="2437"/>
      <c r="L10" s="2438"/>
    </row>
    <row r="11" spans="1:29" ht="13.5" customHeight="1" x14ac:dyDescent="0.2">
      <c r="A11" s="1185" t="s">
        <v>1599</v>
      </c>
      <c r="B11" s="1186"/>
      <c r="C11" s="1187"/>
      <c r="D11" s="1192"/>
      <c r="E11" s="1187"/>
      <c r="F11" s="1191"/>
      <c r="G11" s="2424" t="str">
        <f>COVER!T19</f>
        <v>Tremont</v>
      </c>
      <c r="H11" s="2437"/>
      <c r="I11" s="2437"/>
      <c r="J11" s="2437"/>
      <c r="K11" s="2437"/>
      <c r="L11" s="2438"/>
    </row>
    <row r="12" spans="1:29" ht="13.5" customHeight="1" x14ac:dyDescent="0.2">
      <c r="A12" s="2442" t="s">
        <v>1598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1600</v>
      </c>
      <c r="H13" s="2433"/>
      <c r="I13" s="2445" t="str">
        <f>COVER!T25</f>
        <v>nate@kochconsultants.com</v>
      </c>
      <c r="J13" s="2446"/>
      <c r="K13" s="2446"/>
      <c r="L13" s="2447"/>
    </row>
    <row r="14" spans="1:29" ht="13.5" customHeight="1" x14ac:dyDescent="0.2">
      <c r="A14" s="2424" t="str">
        <f>COVER!A19</f>
        <v>115 Bondurant Street</v>
      </c>
      <c r="B14" s="2437"/>
      <c r="C14" s="2437"/>
      <c r="D14" s="2437"/>
      <c r="E14" s="2437"/>
      <c r="F14" s="2438"/>
      <c r="G14" s="1196" t="s">
        <v>1247</v>
      </c>
      <c r="H14" s="1194"/>
      <c r="I14" s="1194"/>
      <c r="J14" s="1194"/>
      <c r="K14" s="1194"/>
      <c r="L14" s="1195"/>
    </row>
    <row r="15" spans="1:29" ht="13.5" customHeight="1" x14ac:dyDescent="0.2">
      <c r="A15" s="2424" t="str">
        <f>COVER!A21</f>
        <v>Washington</v>
      </c>
      <c r="B15" s="2437"/>
      <c r="C15" s="2437"/>
      <c r="D15" s="2437"/>
      <c r="E15" s="2437"/>
      <c r="F15" s="2438"/>
      <c r="G15" s="2434" t="str">
        <f>COVER!T15</f>
        <v>Nathan D. Koch</v>
      </c>
      <c r="H15" s="2435"/>
      <c r="I15" s="2435"/>
      <c r="J15" s="2435"/>
      <c r="K15" s="2435"/>
      <c r="L15" s="2436"/>
    </row>
    <row r="16" spans="1:29" ht="12.2" customHeight="1" x14ac:dyDescent="0.2">
      <c r="A16" s="2414" t="str">
        <f>COVER!A25</f>
        <v>61571-2499</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6" t="s">
        <v>1246</v>
      </c>
      <c r="H17" s="1194"/>
      <c r="I17" s="1194"/>
      <c r="J17" s="1194"/>
      <c r="K17" s="1198" t="s">
        <v>1245</v>
      </c>
      <c r="L17" s="1191"/>
      <c r="M17" s="1184"/>
    </row>
    <row r="18" spans="1:13" ht="12.2" customHeight="1" x14ac:dyDescent="0.2">
      <c r="A18" s="2408"/>
      <c r="B18" s="2409"/>
      <c r="C18" s="2409"/>
      <c r="D18" s="2409"/>
      <c r="E18" s="2409"/>
      <c r="F18" s="2410"/>
      <c r="G18" s="2411" t="str">
        <f>COVER!T21</f>
        <v>(309) 267-3796</v>
      </c>
      <c r="H18" s="2412"/>
      <c r="I18" s="2412"/>
      <c r="J18" s="2412"/>
      <c r="K18" s="2411" t="str">
        <f>COVER!X21</f>
        <v>(309) 216-3796</v>
      </c>
      <c r="L18" s="241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Washington CHSD 308</v>
      </c>
      <c r="B1" s="2448"/>
      <c r="C1" s="2448"/>
      <c r="D1" s="2448"/>
    </row>
    <row r="2" spans="1:11" s="1215" customFormat="1" ht="12.75" x14ac:dyDescent="0.2">
      <c r="A2" s="2453">
        <f>'Single Audit Cover'!E7</f>
        <v>53090308016</v>
      </c>
      <c r="B2" s="2454"/>
      <c r="C2" s="2454"/>
      <c r="D2" s="2454"/>
    </row>
    <row r="3" spans="1:11" s="1215" customFormat="1" ht="12.75" x14ac:dyDescent="0.2">
      <c r="A3" s="2452" t="s">
        <v>1593</v>
      </c>
      <c r="B3" s="2448"/>
      <c r="C3" s="2448"/>
      <c r="D3" s="244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Washington CHSD 308</v>
      </c>
      <c r="B1" s="2456"/>
      <c r="C1" s="2456"/>
      <c r="D1" s="2456"/>
      <c r="E1" s="2456"/>
    </row>
    <row r="2" spans="1:5" x14ac:dyDescent="0.2">
      <c r="A2" s="2457">
        <f>'Single Audit Cover'!E7</f>
        <v>53090308016</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60" t="s">
        <v>1305</v>
      </c>
    </row>
    <row r="10" spans="1:5" x14ac:dyDescent="0.2">
      <c r="A10" s="1261" t="s">
        <v>1304</v>
      </c>
      <c r="B10" s="1262" t="s">
        <v>1303</v>
      </c>
      <c r="C10" s="1262"/>
      <c r="D10" s="1263">
        <f>SUM('Acct Summary 7-8'!C7:K7)</f>
        <v>389033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18172</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-8881</v>
      </c>
    </row>
    <row r="19" spans="1:4" ht="13.5" thickBot="1" x14ac:dyDescent="0.25">
      <c r="A19" s="1265" t="s">
        <v>1297</v>
      </c>
      <c r="D19" s="1266">
        <f>SUM(D10:D17)</f>
        <v>398324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1295</v>
      </c>
      <c r="D32" s="1263">
        <f>SUM(D19:D30)</f>
        <v>398324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1289</v>
      </c>
      <c r="C47" s="1272"/>
      <c r="D47" s="1273">
        <f>SUM(D35:D45)</f>
        <v>0</v>
      </c>
    </row>
    <row r="49" spans="2:4" x14ac:dyDescent="0.2">
      <c r="B49" s="1272" t="s">
        <v>1288</v>
      </c>
      <c r="C49" s="1272"/>
      <c r="D49" s="1273">
        <f>D32-D47</f>
        <v>398324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Washington CHSD 308</v>
      </c>
      <c r="B1" s="2461"/>
      <c r="C1" s="2461"/>
      <c r="D1" s="2461"/>
      <c r="E1" s="2461"/>
      <c r="F1" s="2461"/>
    </row>
    <row r="2" spans="1:7" ht="13.5" customHeight="1" x14ac:dyDescent="0.2">
      <c r="A2" s="2462">
        <f>'Single Audit Cover'!E7</f>
        <v>53090308016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66" t="s">
        <v>1331</v>
      </c>
      <c r="E15" s="2466"/>
      <c r="F15" s="2466"/>
    </row>
    <row r="16" spans="1:7" ht="13.5" customHeight="1" x14ac:dyDescent="0.2">
      <c r="A16" s="1282"/>
      <c r="B16" s="1276" t="s">
        <v>1330</v>
      </c>
      <c r="C16" s="1871" t="s">
        <v>1329</v>
      </c>
      <c r="D16" s="2467" t="s">
        <v>1670</v>
      </c>
      <c r="E16" s="2467"/>
      <c r="F16" s="2467"/>
    </row>
    <row r="17" spans="1:6" ht="20.45" customHeight="1" x14ac:dyDescent="0.2">
      <c r="A17" s="1283"/>
      <c r="B17" s="1284"/>
      <c r="C17" s="1285"/>
      <c r="D17" s="2465"/>
      <c r="E17" s="2465"/>
      <c r="F17" s="2465"/>
    </row>
    <row r="18" spans="1:6" ht="20.65" customHeight="1" x14ac:dyDescent="0.2">
      <c r="A18" s="1283"/>
      <c r="B18" s="1284"/>
      <c r="C18" s="1285"/>
      <c r="D18" s="2465"/>
      <c r="E18" s="2465"/>
      <c r="F18" s="2465"/>
    </row>
    <row r="19" spans="1:6" ht="20.65" customHeight="1" x14ac:dyDescent="0.2">
      <c r="A19" s="1283"/>
      <c r="B19" s="1284"/>
      <c r="C19" s="1285"/>
      <c r="D19" s="2465"/>
      <c r="E19" s="2465"/>
      <c r="F19" s="2465"/>
    </row>
    <row r="20" spans="1:6" ht="20.65" customHeight="1" x14ac:dyDescent="0.2">
      <c r="A20" s="1283"/>
      <c r="B20" s="1284"/>
      <c r="C20" s="1285"/>
      <c r="D20" s="2465"/>
      <c r="E20" s="2465"/>
      <c r="F20" s="2465"/>
    </row>
    <row r="21" spans="1:6" ht="20.65" customHeight="1" x14ac:dyDescent="0.2">
      <c r="A21" s="1283"/>
      <c r="B21" s="1284"/>
      <c r="C21" s="1285"/>
      <c r="D21" s="2465"/>
      <c r="E21" s="2465"/>
      <c r="F21" s="2465"/>
    </row>
    <row r="22" spans="1:6" ht="20.65" customHeight="1" x14ac:dyDescent="0.2">
      <c r="A22" s="1283"/>
      <c r="B22" s="1284"/>
      <c r="C22" s="1285"/>
      <c r="D22" s="2465"/>
      <c r="E22" s="2465"/>
      <c r="F22" s="2465"/>
    </row>
    <row r="23" spans="1:6" ht="20.65" customHeight="1" x14ac:dyDescent="0.2">
      <c r="A23" s="1283"/>
      <c r="B23" s="1284"/>
      <c r="C23" s="1285"/>
      <c r="D23" s="2465"/>
      <c r="E23" s="2465"/>
      <c r="F23" s="2465"/>
    </row>
    <row r="24" spans="1:6" ht="20.65" customHeight="1" x14ac:dyDescent="0.2">
      <c r="A24" s="1283"/>
      <c r="B24" s="1284"/>
      <c r="C24" s="1285"/>
      <c r="D24" s="2465"/>
      <c r="E24" s="2465"/>
      <c r="F24" s="2465"/>
    </row>
    <row r="25" spans="1:6" ht="20.65" customHeight="1" x14ac:dyDescent="0.2">
      <c r="A25" s="1283"/>
      <c r="B25" s="1284"/>
      <c r="C25" s="1285"/>
      <c r="D25" s="2465"/>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1835</v>
      </c>
      <c r="B32" s="2469"/>
      <c r="C32" s="2469"/>
      <c r="D32" s="2469"/>
      <c r="E32" s="2469"/>
      <c r="F32" s="2469"/>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70">
        <f>+C33+C34</f>
        <v>0</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870"/>
      <c r="C50" s="1870"/>
      <c r="D50" s="1870"/>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Washington CHSD 308</v>
      </c>
      <c r="C1" s="2473"/>
      <c r="D1" s="2473"/>
      <c r="E1" s="2473"/>
      <c r="F1" s="2473"/>
      <c r="G1" s="2473"/>
      <c r="H1" s="2473"/>
      <c r="I1" s="2473"/>
      <c r="J1" s="2473"/>
      <c r="K1" s="2473"/>
      <c r="L1" s="2473"/>
      <c r="M1" s="2473"/>
    </row>
    <row r="2" spans="2:14" ht="15" x14ac:dyDescent="0.2">
      <c r="B2" s="2462">
        <f>'Single Audit Cover'!E7</f>
        <v>53090308016</v>
      </c>
      <c r="C2" s="2462"/>
      <c r="D2" s="2462"/>
      <c r="E2" s="2462"/>
      <c r="F2" s="2462"/>
      <c r="G2" s="2462"/>
      <c r="H2" s="2462"/>
      <c r="I2" s="2462"/>
      <c r="J2" s="2462"/>
      <c r="K2" s="2462"/>
      <c r="L2" s="2462"/>
      <c r="M2" s="2462"/>
      <c r="N2" s="1302"/>
    </row>
    <row r="3" spans="2:14" ht="15" x14ac:dyDescent="0.2">
      <c r="B3" s="2474" t="s">
        <v>1281</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t="s">
        <v>2096</v>
      </c>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2087</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Washington CHSD 308</v>
      </c>
      <c r="C1" s="2481"/>
      <c r="D1" s="2481"/>
      <c r="E1" s="2481"/>
      <c r="F1" s="2481"/>
      <c r="G1" s="2481"/>
      <c r="H1" s="2481"/>
      <c r="I1" s="2481"/>
      <c r="J1" s="1422"/>
    </row>
    <row r="2" spans="2:10" s="317" customFormat="1" ht="12.75" customHeight="1" x14ac:dyDescent="0.2">
      <c r="B2" s="2482">
        <f>'Single Audit Cover'!E7</f>
        <v>53090308016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94" t="s">
        <v>1675</v>
      </c>
      <c r="D43" s="2495"/>
      <c r="E43" s="2495"/>
      <c r="F43" s="2496"/>
      <c r="G43" s="2497">
        <f>SUM(G38:I42)</f>
        <v>0</v>
      </c>
      <c r="H43" s="2497"/>
      <c r="I43" s="2497"/>
    </row>
    <row r="44" spans="2:9" ht="12.75" customHeight="1" x14ac:dyDescent="0.2"/>
    <row r="45" spans="2:9" ht="12.75" customHeight="1" x14ac:dyDescent="0.2">
      <c r="B45" s="1435" t="s">
        <v>1951</v>
      </c>
      <c r="D45" s="2498">
        <v>0</v>
      </c>
      <c r="E45" s="249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0"/>
      <c r="F49" s="2500"/>
      <c r="G49" s="250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Washington CHSD 308</v>
      </c>
      <c r="C1" s="2480"/>
      <c r="D1" s="2480"/>
      <c r="E1" s="2480"/>
      <c r="F1" s="2480"/>
      <c r="G1" s="2480"/>
      <c r="H1" s="2480"/>
      <c r="I1" s="2480"/>
      <c r="J1" s="2480"/>
      <c r="K1" s="2480"/>
      <c r="L1" s="1374"/>
      <c r="M1" s="1374"/>
    </row>
    <row r="2" spans="1:13" ht="12" customHeight="1" x14ac:dyDescent="0.2">
      <c r="B2" s="2482">
        <f>'Single Audit Cover'!E7</f>
        <v>53090308016</v>
      </c>
      <c r="C2" s="2482"/>
      <c r="D2" s="2482"/>
      <c r="E2" s="2482"/>
      <c r="F2" s="2482"/>
      <c r="G2" s="2482"/>
      <c r="H2" s="2482"/>
      <c r="I2" s="2482"/>
      <c r="J2" s="2482"/>
      <c r="K2" s="2482"/>
      <c r="L2" s="1375"/>
      <c r="M2" s="1376"/>
    </row>
    <row r="3" spans="1:13" ht="10.35" customHeight="1" x14ac:dyDescent="0.2">
      <c r="B3" s="2503" t="s">
        <v>1347</v>
      </c>
      <c r="C3" s="2503"/>
      <c r="D3" s="2503"/>
      <c r="E3" s="2503"/>
      <c r="F3" s="2503"/>
      <c r="G3" s="2503"/>
      <c r="H3" s="2503"/>
      <c r="I3" s="2503"/>
      <c r="J3" s="2503"/>
      <c r="K3" s="2503"/>
      <c r="L3" s="1377"/>
      <c r="M3" s="1377"/>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1363</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19.5" customHeight="1" x14ac:dyDescent="0.2">
      <c r="B14" s="2502" t="s">
        <v>2120</v>
      </c>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6.75" customHeight="1" x14ac:dyDescent="0.2">
      <c r="B17" s="2502" t="s">
        <v>2125</v>
      </c>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19.5" customHeight="1" x14ac:dyDescent="0.2">
      <c r="B20" s="2506" t="s">
        <v>2121</v>
      </c>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18.75" customHeight="1" x14ac:dyDescent="0.2">
      <c r="B23" s="2502" t="s">
        <v>2122</v>
      </c>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28.5" customHeight="1" x14ac:dyDescent="0.2">
      <c r="B26" s="2502" t="s">
        <v>2123</v>
      </c>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119.25" customHeight="1" x14ac:dyDescent="0.2">
      <c r="B29" s="2501" t="s">
        <v>2126</v>
      </c>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74.25" customHeight="1" x14ac:dyDescent="0.2">
      <c r="B32" s="2501" t="s">
        <v>2124</v>
      </c>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Washington CHSD 308</v>
      </c>
      <c r="C1" s="2507"/>
      <c r="D1" s="2507"/>
      <c r="E1" s="2507"/>
      <c r="F1" s="2507"/>
      <c r="G1" s="2507"/>
      <c r="H1" s="2507"/>
      <c r="I1" s="2507"/>
      <c r="J1" s="2507"/>
      <c r="K1" s="2507"/>
      <c r="L1" s="1465"/>
    </row>
    <row r="2" spans="1:12" ht="12.75" customHeight="1" x14ac:dyDescent="0.2">
      <c r="B2" s="2508">
        <f>'Single Audit Cover'!E7</f>
        <v>53090308016</v>
      </c>
      <c r="C2" s="2508"/>
      <c r="D2" s="2508"/>
      <c r="E2" s="2508"/>
      <c r="F2" s="2508"/>
      <c r="G2" s="2508"/>
      <c r="H2" s="2508"/>
      <c r="I2" s="2508"/>
      <c r="J2" s="2508"/>
      <c r="K2" s="2508"/>
      <c r="L2" s="1466"/>
    </row>
    <row r="3" spans="1:12" ht="12.75" customHeight="1" x14ac:dyDescent="0.2">
      <c r="B3" s="2503" t="s">
        <v>1347</v>
      </c>
      <c r="C3" s="2503"/>
      <c r="D3" s="2503"/>
      <c r="E3" s="2503"/>
      <c r="F3" s="2503"/>
      <c r="G3" s="2503"/>
      <c r="H3" s="2503"/>
      <c r="I3" s="2503"/>
      <c r="J3" s="2503"/>
      <c r="K3" s="2503"/>
      <c r="L3" s="1377"/>
    </row>
    <row r="4" spans="1:12" ht="12.75" customHeight="1" x14ac:dyDescent="0.2">
      <c r="B4" s="2503" t="str">
        <f>'Single Audit Cover'!A4</f>
        <v>Year Ending June 30, 2018</v>
      </c>
      <c r="C4" s="2503"/>
      <c r="D4" s="2503"/>
      <c r="E4" s="2503"/>
      <c r="F4" s="2503"/>
      <c r="G4" s="2503"/>
      <c r="H4" s="2503"/>
      <c r="I4" s="2503"/>
      <c r="J4" s="2503"/>
      <c r="K4" s="2503"/>
      <c r="L4" s="1377"/>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0"/>
      <c r="E14" s="2510"/>
      <c r="F14" s="2510"/>
      <c r="H14" s="1475" t="s">
        <v>1370</v>
      </c>
      <c r="I14" s="2511"/>
      <c r="J14" s="2511"/>
      <c r="K14" s="251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1"/>
      <c r="E16" s="2511"/>
      <c r="F16" s="2511"/>
      <c r="G16" s="2511"/>
      <c r="H16" s="2511"/>
      <c r="I16" s="2511"/>
      <c r="J16" s="2511"/>
      <c r="K16" s="2511"/>
      <c r="L16" s="322"/>
    </row>
    <row r="17" spans="2:12" ht="13.5" customHeight="1" x14ac:dyDescent="0.2">
      <c r="B17" s="1387" t="s">
        <v>1368</v>
      </c>
      <c r="C17" s="1387"/>
      <c r="D17" s="2512"/>
      <c r="E17" s="2512"/>
      <c r="F17" s="2512"/>
      <c r="G17" s="2512"/>
      <c r="H17" s="2512"/>
      <c r="I17" s="2512"/>
      <c r="J17" s="2512"/>
      <c r="K17" s="251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2"/>
      <c r="C20" s="2502"/>
      <c r="D20" s="2502"/>
      <c r="E20" s="2502"/>
      <c r="F20" s="2502"/>
      <c r="G20" s="2502"/>
      <c r="H20" s="2502"/>
      <c r="I20" s="2502"/>
      <c r="J20" s="2502"/>
      <c r="K20" s="250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6"/>
  <sheetViews>
    <sheetView showGridLines="0" zoomScale="110" zoomScaleNormal="110" workbookViewId="0">
      <selection activeCell="D7" sqref="D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Washington CHSD 308</v>
      </c>
      <c r="C1" s="2480"/>
      <c r="D1" s="2480"/>
      <c r="E1" s="1491"/>
    </row>
    <row r="2" spans="2:5" s="1282" customFormat="1" ht="12.75" customHeight="1" x14ac:dyDescent="0.2">
      <c r="B2" s="2482">
        <f>'Single Audit Cover'!E7</f>
        <v>53090308016</v>
      </c>
      <c r="C2" s="2482"/>
      <c r="D2" s="2482"/>
      <c r="E2" s="1492"/>
    </row>
    <row r="3" spans="2:5" ht="12.75" customHeight="1" x14ac:dyDescent="0.2">
      <c r="B3" s="2503" t="s">
        <v>1869</v>
      </c>
      <c r="C3" s="2503"/>
      <c r="D3" s="2503"/>
      <c r="E3" s="1274"/>
    </row>
    <row r="4" spans="2:5" s="1282" customFormat="1" ht="12.75" customHeight="1" x14ac:dyDescent="0.2">
      <c r="B4" s="2513" t="str">
        <f>'Single Audit Cover'!A4</f>
        <v>Year Ending June 30, 2018</v>
      </c>
      <c r="C4" s="2513"/>
      <c r="D4" s="251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2157</v>
      </c>
      <c r="C8" s="2501" t="s">
        <v>2159</v>
      </c>
      <c r="D8" s="324" t="s">
        <v>2158</v>
      </c>
      <c r="E8" s="324"/>
    </row>
    <row r="9" spans="2:5" ht="13.5" customHeight="1" x14ac:dyDescent="0.2">
      <c r="B9" s="1497"/>
      <c r="C9" s="2501"/>
      <c r="D9" s="323"/>
      <c r="E9" s="323"/>
    </row>
    <row r="10" spans="2:5" ht="13.5" customHeight="1" x14ac:dyDescent="0.2">
      <c r="B10" s="1497"/>
      <c r="C10" s="2501"/>
      <c r="D10" s="323"/>
      <c r="E10" s="323"/>
    </row>
    <row r="11" spans="2:5" ht="13.5" customHeight="1" x14ac:dyDescent="0.2">
      <c r="B11" s="1497"/>
      <c r="C11" s="2501"/>
      <c r="D11" s="323"/>
      <c r="E11" s="323"/>
    </row>
    <row r="12" spans="2:5" ht="13.5" customHeight="1" x14ac:dyDescent="0.2">
      <c r="B12" s="1497"/>
      <c r="C12" s="2501"/>
      <c r="D12" s="323"/>
      <c r="E12" s="323"/>
    </row>
    <row r="13" spans="2:5" ht="13.5" customHeight="1" x14ac:dyDescent="0.2">
      <c r="B13" s="1497"/>
      <c r="C13" s="2501"/>
      <c r="D13" s="323"/>
      <c r="E13" s="323"/>
    </row>
    <row r="14" spans="2:5" ht="13.5" customHeight="1" x14ac:dyDescent="0.2">
      <c r="B14" s="1497"/>
      <c r="C14" s="2501"/>
      <c r="D14" s="323"/>
      <c r="E14" s="323"/>
    </row>
    <row r="15" spans="2:5" ht="13.5" customHeight="1" x14ac:dyDescent="0.2">
      <c r="B15" s="1497"/>
      <c r="C15" s="2501"/>
      <c r="D15" s="323"/>
      <c r="E15" s="323"/>
    </row>
    <row r="16" spans="2:5" ht="13.5" customHeight="1" x14ac:dyDescent="0.2">
      <c r="B16" s="1496"/>
      <c r="C16" s="2501"/>
      <c r="D16" s="323"/>
      <c r="E16" s="323"/>
    </row>
    <row r="17" spans="2:5" ht="13.5" customHeight="1" x14ac:dyDescent="0.2">
      <c r="B17" s="1496"/>
      <c r="C17" s="2501"/>
      <c r="D17" s="323"/>
      <c r="E17" s="323"/>
    </row>
    <row r="18" spans="2:5" ht="13.5" customHeight="1" x14ac:dyDescent="0.2">
      <c r="B18" s="1496"/>
      <c r="C18" s="2501"/>
      <c r="D18" s="323"/>
      <c r="E18" s="323"/>
    </row>
    <row r="19" spans="2:5" ht="13.5" customHeight="1" x14ac:dyDescent="0.2">
      <c r="B19" s="1496"/>
      <c r="C19" s="2501"/>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6"/>
      <c r="C32" s="323"/>
      <c r="D32" s="323"/>
      <c r="E32" s="323"/>
    </row>
    <row r="33" spans="2:5" ht="13.5" customHeight="1" x14ac:dyDescent="0.2">
      <c r="B33" s="1496"/>
      <c r="C33" s="323"/>
      <c r="D33" s="323"/>
      <c r="E33" s="323"/>
    </row>
    <row r="34" spans="2:5" ht="13.5" customHeight="1" x14ac:dyDescent="0.2">
      <c r="B34" s="1496"/>
      <c r="C34" s="323"/>
      <c r="D34" s="323"/>
      <c r="E34" s="323"/>
    </row>
    <row r="35" spans="2:5" ht="13.5" customHeight="1" x14ac:dyDescent="0.2">
      <c r="B35" s="1496"/>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500"/>
      <c r="C40" s="323"/>
      <c r="D40" s="323"/>
      <c r="E40" s="323"/>
    </row>
    <row r="41" spans="2:5" ht="13.5" customHeight="1" x14ac:dyDescent="0.2">
      <c r="B41" s="1499"/>
      <c r="C41" s="323"/>
      <c r="D41" s="323"/>
      <c r="E41" s="323"/>
    </row>
    <row r="42" spans="2:5" ht="13.5" customHeight="1" x14ac:dyDescent="0.2">
      <c r="B42" s="1500"/>
      <c r="C42" s="323"/>
      <c r="D42" s="323"/>
      <c r="E42" s="323"/>
    </row>
    <row r="43" spans="2:5" ht="13.5" customHeight="1" x14ac:dyDescent="0.2">
      <c r="B43" s="1499"/>
      <c r="C43" s="323"/>
      <c r="D43" s="323"/>
      <c r="E43" s="323"/>
    </row>
    <row r="44" spans="2:5" ht="13.5" customHeight="1" x14ac:dyDescent="0.2">
      <c r="B44" s="1501"/>
      <c r="C44" s="323"/>
      <c r="D44" s="323"/>
      <c r="E44" s="323"/>
    </row>
    <row r="45" spans="2:5" ht="13.5" customHeight="1" x14ac:dyDescent="0.2">
      <c r="B45" s="1502"/>
      <c r="C45" s="323"/>
      <c r="D45" s="323"/>
      <c r="E45" s="323"/>
    </row>
    <row r="46" spans="2:5" ht="12.75" customHeight="1" x14ac:dyDescent="0.2">
      <c r="B46" s="1503"/>
      <c r="C46" s="1504"/>
      <c r="D46" s="1504"/>
      <c r="E46" s="323"/>
    </row>
    <row r="47" spans="2:5" ht="12.2" customHeight="1" x14ac:dyDescent="0.2">
      <c r="B47" s="1257" t="s">
        <v>1380</v>
      </c>
      <c r="C47" s="322"/>
    </row>
    <row r="48" spans="2:5" ht="12.2" customHeight="1" x14ac:dyDescent="0.2">
      <c r="B48" s="1505" t="s">
        <v>1872</v>
      </c>
    </row>
    <row r="49" spans="2:5" ht="12.2" customHeight="1" x14ac:dyDescent="0.2">
      <c r="B49" s="1505" t="s">
        <v>1873</v>
      </c>
    </row>
    <row r="50" spans="2:5" ht="12.2" customHeight="1" x14ac:dyDescent="0.2">
      <c r="B50" s="1506" t="s">
        <v>1379</v>
      </c>
    </row>
    <row r="51" spans="2:5" ht="12.2" customHeight="1" x14ac:dyDescent="0.2">
      <c r="B51" s="1506" t="s">
        <v>1378</v>
      </c>
    </row>
    <row r="52" spans="2:5" ht="12.2" customHeight="1" x14ac:dyDescent="0.2">
      <c r="B52" s="1506" t="s">
        <v>1377</v>
      </c>
    </row>
    <row r="53" spans="2:5" ht="12.2" customHeight="1" x14ac:dyDescent="0.2">
      <c r="B53" s="1506" t="s">
        <v>1376</v>
      </c>
    </row>
    <row r="56" spans="2:5" ht="12.75" customHeight="1" x14ac:dyDescent="0.2"/>
    <row r="57" spans="2:5" ht="12.75" customHeight="1" x14ac:dyDescent="0.2">
      <c r="B57" s="1267"/>
    </row>
    <row r="58" spans="2:5" ht="12.75" customHeight="1" x14ac:dyDescent="0.2"/>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6" spans="2:5" ht="12.75" customHeight="1" x14ac:dyDescent="0.2">
      <c r="B66" s="322"/>
      <c r="C66" s="322"/>
      <c r="D66" s="322"/>
      <c r="E66" s="322"/>
    </row>
    <row r="70" spans="2:5" x14ac:dyDescent="0.2">
      <c r="B70" s="1419"/>
    </row>
    <row r="71" spans="2:5" x14ac:dyDescent="0.2">
      <c r="B71" s="1300"/>
    </row>
    <row r="72" spans="2:5" x14ac:dyDescent="0.2">
      <c r="B72" s="1300"/>
    </row>
    <row r="73" spans="2:5" x14ac:dyDescent="0.2">
      <c r="B73" s="1420"/>
    </row>
    <row r="74" spans="2:5" x14ac:dyDescent="0.2">
      <c r="B74" s="1420"/>
    </row>
    <row r="75" spans="2:5" x14ac:dyDescent="0.2">
      <c r="B75" s="1420"/>
    </row>
    <row r="76" spans="2:5" x14ac:dyDescent="0.2">
      <c r="B76" s="1300"/>
    </row>
  </sheetData>
  <mergeCells count="5">
    <mergeCell ref="B1:D1"/>
    <mergeCell ref="B2:D2"/>
    <mergeCell ref="B3:D3"/>
    <mergeCell ref="B4:D4"/>
    <mergeCell ref="C8:C1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508088829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1.7977300000000002E-2</v>
      </c>
      <c r="E10" s="356" t="s">
        <v>1062</v>
      </c>
      <c r="F10" s="355">
        <f>0.41037/100</f>
        <v>4.1037000000000001E-3</v>
      </c>
      <c r="G10" s="356" t="s">
        <v>1062</v>
      </c>
      <c r="H10" s="355">
        <f>0.11042/100</f>
        <v>1.1042000000000001E-3</v>
      </c>
      <c r="I10" s="356" t="s">
        <v>1063</v>
      </c>
      <c r="J10" s="1754">
        <f>ROUND(D10+F10+H10,5)</f>
        <v>2.3189999999999999E-2</v>
      </c>
      <c r="K10" s="222"/>
      <c r="L10" s="355">
        <f>0.03909/100</f>
        <v>3.9090000000000001E-4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17148350</v>
      </c>
      <c r="E16" s="356"/>
      <c r="F16" s="1755">
        <f>SUM('Acct Summary 7-8'!C17,'Acct Summary 7-8'!D17,'Acct Summary 7-8'!F17)</f>
        <v>15906832</v>
      </c>
      <c r="G16" s="356"/>
      <c r="H16" s="1755">
        <f>SUM(D16-F16)</f>
        <v>1241518</v>
      </c>
      <c r="I16" s="222"/>
      <c r="J16" s="1755">
        <f>SUM('Acct Summary 7-8'!C81,'Acct Summary 7-8'!D81,'Acct Summary 7-8'!F81,'Acct Summary 7-8'!I81)</f>
        <v>14681891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35058129.201000005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18925000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0" zoomScale="110" zoomScaleNormal="110" workbookViewId="0">
      <selection activeCell="F34" sqref="F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Washington CHSD 308</v>
      </c>
      <c r="E7" s="391"/>
      <c r="G7" s="252"/>
      <c r="H7" s="387"/>
      <c r="I7" s="387"/>
      <c r="J7" s="387"/>
      <c r="K7" s="387"/>
      <c r="L7" s="329"/>
      <c r="M7" s="329"/>
      <c r="N7" s="329"/>
      <c r="O7" s="329"/>
      <c r="P7" s="329"/>
    </row>
    <row r="8" spans="1:18" ht="12.75" x14ac:dyDescent="0.2">
      <c r="A8" s="329"/>
      <c r="B8" s="329"/>
      <c r="C8" s="389" t="s">
        <v>1187</v>
      </c>
      <c r="D8" s="392">
        <f>COVER!A13</f>
        <v>53090308016</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14681891</v>
      </c>
      <c r="I12" s="404"/>
      <c r="J12" s="404"/>
      <c r="K12" s="405">
        <f>TRUNC((H12/H13*100000),5)/100000</f>
        <v>0.85616931070000002</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17148350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15906832</v>
      </c>
      <c r="I17" s="404"/>
      <c r="J17" s="416"/>
      <c r="K17" s="405">
        <f>TRUNC((H17/H18*100000),5)/100000</f>
        <v>0.92760131439999993</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17148350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14681891</v>
      </c>
      <c r="I24" s="422"/>
      <c r="J24" s="422"/>
      <c r="K24" s="423">
        <f>TRUNC(((H24/H25*100000)/100000),2)</f>
        <v>332.27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44185.644439999996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10015192.95283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18925000</v>
      </c>
      <c r="I32" s="420"/>
      <c r="J32" s="420"/>
      <c r="K32" s="423">
        <f>TRUNC(100-((((H32/H33*100))*100)/100),2)</f>
        <v>46.01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35058129.201000005</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B12" sqref="B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1"/>
      <c r="D3" s="1582"/>
      <c r="E3" s="1582"/>
      <c r="F3" s="1582"/>
      <c r="G3" s="1582"/>
      <c r="H3" s="1582"/>
      <c r="I3" s="1582"/>
      <c r="J3" s="1582"/>
      <c r="K3" s="1582"/>
      <c r="L3" s="1582"/>
      <c r="M3" s="1583"/>
      <c r="N3" s="1584"/>
    </row>
    <row r="4" spans="1:14" ht="13.5" customHeight="1" x14ac:dyDescent="0.2">
      <c r="A4" s="463" t="s">
        <v>1750</v>
      </c>
      <c r="B4" s="464"/>
      <c r="C4" s="465">
        <v>1237284</v>
      </c>
      <c r="D4" s="466">
        <v>2638526</v>
      </c>
      <c r="E4" s="466">
        <v>16878</v>
      </c>
      <c r="F4" s="466">
        <v>913283</v>
      </c>
      <c r="G4" s="466">
        <v>325890</v>
      </c>
      <c r="H4" s="466"/>
      <c r="I4" s="466">
        <v>1000712</v>
      </c>
      <c r="J4" s="467">
        <v>27932</v>
      </c>
      <c r="K4" s="466">
        <v>124525</v>
      </c>
      <c r="L4" s="466">
        <v>1481508</v>
      </c>
      <c r="M4" s="468"/>
      <c r="N4" s="469"/>
    </row>
    <row r="5" spans="1:14" x14ac:dyDescent="0.2">
      <c r="A5" s="463" t="s">
        <v>1049</v>
      </c>
      <c r="B5" s="470">
        <v>120</v>
      </c>
      <c r="C5" s="465">
        <v>2371418</v>
      </c>
      <c r="D5" s="466">
        <v>2821650</v>
      </c>
      <c r="E5" s="466">
        <v>14224</v>
      </c>
      <c r="F5" s="466">
        <v>69352</v>
      </c>
      <c r="G5" s="466">
        <v>6859</v>
      </c>
      <c r="H5" s="466"/>
      <c r="I5" s="466">
        <v>3629666</v>
      </c>
      <c r="J5" s="467"/>
      <c r="K5" s="471">
        <v>53</v>
      </c>
      <c r="L5" s="472">
        <v>46817</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3608702</v>
      </c>
      <c r="D13" s="1759">
        <f t="shared" ref="D13:L13" si="0">SUM(D4:D12)</f>
        <v>5460176</v>
      </c>
      <c r="E13" s="1759">
        <f t="shared" si="0"/>
        <v>31102</v>
      </c>
      <c r="F13" s="1759">
        <f t="shared" si="0"/>
        <v>982635</v>
      </c>
      <c r="G13" s="1759">
        <f t="shared" si="0"/>
        <v>332749</v>
      </c>
      <c r="H13" s="1759">
        <f t="shared" si="0"/>
        <v>0</v>
      </c>
      <c r="I13" s="1759">
        <f t="shared" si="0"/>
        <v>4630378</v>
      </c>
      <c r="J13" s="1759">
        <f t="shared" si="0"/>
        <v>27932</v>
      </c>
      <c r="K13" s="1759">
        <f t="shared" si="0"/>
        <v>124578</v>
      </c>
      <c r="L13" s="1759">
        <f t="shared" si="0"/>
        <v>1528325</v>
      </c>
      <c r="M13" s="468"/>
      <c r="N13" s="469"/>
    </row>
    <row r="14" spans="1:14" ht="18" customHeight="1" thickTop="1" x14ac:dyDescent="0.2">
      <c r="A14" s="2137" t="s">
        <v>149</v>
      </c>
      <c r="B14" s="213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434584</v>
      </c>
      <c r="N16" s="484"/>
    </row>
    <row r="17" spans="1:14" s="485" customFormat="1" ht="12.75" customHeight="1" x14ac:dyDescent="0.2">
      <c r="A17" s="482" t="s">
        <v>1470</v>
      </c>
      <c r="B17" s="483">
        <v>230</v>
      </c>
      <c r="C17" s="477"/>
      <c r="D17" s="477"/>
      <c r="E17" s="477"/>
      <c r="F17" s="477"/>
      <c r="G17" s="477"/>
      <c r="H17" s="477"/>
      <c r="I17" s="477"/>
      <c r="J17" s="477"/>
      <c r="K17" s="477"/>
      <c r="L17" s="477"/>
      <c r="M17" s="467">
        <v>31185283</v>
      </c>
      <c r="N17" s="484"/>
    </row>
    <row r="18" spans="1:14" s="485" customFormat="1" ht="12.75" customHeight="1" x14ac:dyDescent="0.2">
      <c r="A18" s="482" t="s">
        <v>1471</v>
      </c>
      <c r="B18" s="483">
        <v>240</v>
      </c>
      <c r="C18" s="477"/>
      <c r="D18" s="477"/>
      <c r="E18" s="477"/>
      <c r="F18" s="477"/>
      <c r="G18" s="477"/>
      <c r="H18" s="477"/>
      <c r="I18" s="477"/>
      <c r="J18" s="477"/>
      <c r="K18" s="477"/>
      <c r="L18" s="477"/>
      <c r="M18" s="467">
        <v>236754</v>
      </c>
      <c r="N18" s="484"/>
    </row>
    <row r="19" spans="1:14" s="485" customFormat="1" ht="12.75" customHeight="1" x14ac:dyDescent="0.2">
      <c r="A19" s="482" t="s">
        <v>1472</v>
      </c>
      <c r="B19" s="483">
        <v>250</v>
      </c>
      <c r="C19" s="477"/>
      <c r="D19" s="477"/>
      <c r="E19" s="477"/>
      <c r="F19" s="477"/>
      <c r="G19" s="477"/>
      <c r="H19" s="477"/>
      <c r="I19" s="477"/>
      <c r="J19" s="477"/>
      <c r="K19" s="477"/>
      <c r="L19" s="477"/>
      <c r="M19" s="467">
        <v>2740756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31102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18893898</v>
      </c>
    </row>
    <row r="23" spans="1:14" ht="13.5" customHeight="1" thickBot="1" x14ac:dyDescent="0.25">
      <c r="A23" s="1758" t="s">
        <v>664</v>
      </c>
      <c r="B23" s="1763"/>
      <c r="C23" s="468"/>
      <c r="D23" s="468"/>
      <c r="E23" s="468"/>
      <c r="F23" s="468"/>
      <c r="G23" s="468"/>
      <c r="H23" s="468"/>
      <c r="I23" s="468"/>
      <c r="J23" s="468"/>
      <c r="K23" s="468"/>
      <c r="L23" s="468"/>
      <c r="M23" s="1710">
        <f>SUM(M15:M22)</f>
        <v>34597377</v>
      </c>
      <c r="N23" s="1710">
        <f>SUM(N21:N22)</f>
        <v>18925000</v>
      </c>
    </row>
    <row r="24" spans="1:14" ht="18" customHeight="1" thickTop="1" x14ac:dyDescent="0.2">
      <c r="A24" s="2139" t="s">
        <v>619</v>
      </c>
      <c r="B24" s="214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462018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462018</v>
      </c>
      <c r="M34" s="468"/>
      <c r="N34" s="480"/>
    </row>
    <row r="35" spans="1:14" ht="18" customHeight="1" thickTop="1" x14ac:dyDescent="0.2">
      <c r="A35" s="2141" t="s">
        <v>550</v>
      </c>
      <c r="B35" s="214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18925000</v>
      </c>
    </row>
    <row r="37" spans="1:14" ht="13.5" thickBot="1" x14ac:dyDescent="0.25">
      <c r="A37" s="1758" t="s">
        <v>674</v>
      </c>
      <c r="B37" s="1763"/>
      <c r="C37" s="477"/>
      <c r="D37" s="477"/>
      <c r="E37" s="477"/>
      <c r="F37" s="477"/>
      <c r="G37" s="477"/>
      <c r="H37" s="477"/>
      <c r="I37" s="477"/>
      <c r="J37" s="477"/>
      <c r="K37" s="477"/>
      <c r="L37" s="480"/>
      <c r="M37" s="468"/>
      <c r="N37" s="1710">
        <f>SUM(N36:N36)</f>
        <v>18925000</v>
      </c>
    </row>
    <row r="38" spans="1:14" s="329" customFormat="1" ht="13.5" customHeight="1" thickTop="1" x14ac:dyDescent="0.2">
      <c r="A38" s="496" t="s">
        <v>440</v>
      </c>
      <c r="B38" s="483">
        <v>714</v>
      </c>
      <c r="C38" s="466"/>
      <c r="D38" s="466"/>
      <c r="E38" s="466"/>
      <c r="F38" s="466"/>
      <c r="G38" s="466">
        <v>181797</v>
      </c>
      <c r="H38" s="466"/>
      <c r="I38" s="466"/>
      <c r="J38" s="467"/>
      <c r="K38" s="466"/>
      <c r="L38" s="481">
        <v>1066307</v>
      </c>
      <c r="M38" s="497"/>
      <c r="N38" s="497"/>
    </row>
    <row r="39" spans="1:14" s="329" customFormat="1" ht="13.5" customHeight="1" x14ac:dyDescent="0.2">
      <c r="A39" s="496" t="s">
        <v>360</v>
      </c>
      <c r="B39" s="483">
        <v>730</v>
      </c>
      <c r="C39" s="466">
        <v>3608702</v>
      </c>
      <c r="D39" s="466">
        <v>5460176</v>
      </c>
      <c r="E39" s="466">
        <v>31102</v>
      </c>
      <c r="F39" s="466">
        <v>982635</v>
      </c>
      <c r="G39" s="466">
        <v>150952</v>
      </c>
      <c r="H39" s="466">
        <v>0</v>
      </c>
      <c r="I39" s="466">
        <v>4630378</v>
      </c>
      <c r="J39" s="467">
        <v>27932</v>
      </c>
      <c r="K39" s="466">
        <v>124578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34597377</v>
      </c>
      <c r="N40" s="497"/>
    </row>
    <row r="41" spans="1:14" ht="13.5" customHeight="1" thickBot="1" x14ac:dyDescent="0.25">
      <c r="A41" s="1758" t="s">
        <v>676</v>
      </c>
      <c r="B41" s="1728"/>
      <c r="C41" s="1710">
        <f>(SUM(C34,C37,C38,C39))</f>
        <v>3608702</v>
      </c>
      <c r="D41" s="1710">
        <f t="shared" ref="D41:L41" si="2">SUM(D34,D37,D38:D39)</f>
        <v>5460176</v>
      </c>
      <c r="E41" s="1710">
        <f t="shared" si="2"/>
        <v>31102</v>
      </c>
      <c r="F41" s="1710">
        <f t="shared" si="2"/>
        <v>982635</v>
      </c>
      <c r="G41" s="1710">
        <f t="shared" si="2"/>
        <v>332749</v>
      </c>
      <c r="H41" s="1710">
        <f t="shared" si="2"/>
        <v>0</v>
      </c>
      <c r="I41" s="1710">
        <f t="shared" si="2"/>
        <v>4630378</v>
      </c>
      <c r="J41" s="1710">
        <f t="shared" si="2"/>
        <v>27932</v>
      </c>
      <c r="K41" s="1710">
        <f t="shared" si="2"/>
        <v>124578</v>
      </c>
      <c r="L41" s="1710">
        <f t="shared" si="2"/>
        <v>1528325</v>
      </c>
      <c r="M41" s="1710">
        <f>SUM(M40)</f>
        <v>34597377</v>
      </c>
      <c r="N41" s="1710">
        <f>SUM(N37)</f>
        <v>18925000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22" sqref="C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5"/>
      <c r="D3" s="1596"/>
      <c r="E3" s="1596"/>
      <c r="F3" s="1596"/>
      <c r="G3" s="1596"/>
      <c r="H3" s="1596"/>
      <c r="I3" s="1596"/>
      <c r="J3" s="1596"/>
      <c r="K3" s="1597"/>
      <c r="L3" s="506"/>
    </row>
    <row r="4" spans="1:13" ht="15.75" customHeight="1" x14ac:dyDescent="0.2">
      <c r="A4" s="1954" t="s">
        <v>1579</v>
      </c>
      <c r="B4" s="1955">
        <v>1000</v>
      </c>
      <c r="C4" s="1764">
        <f>'Revenues 9-14'!C109</f>
        <v>10408715</v>
      </c>
      <c r="D4" s="1764">
        <f>'Revenues 9-14'!D109</f>
        <v>2135870</v>
      </c>
      <c r="E4" s="1764">
        <f>'Revenues 9-14'!E109</f>
        <v>1253265</v>
      </c>
      <c r="F4" s="1764">
        <f>'Revenues 9-14'!F109</f>
        <v>543859</v>
      </c>
      <c r="G4" s="1764">
        <f>'Revenues 9-14'!G109</f>
        <v>350076</v>
      </c>
      <c r="H4" s="1764">
        <f>'Revenues 9-14'!H109</f>
        <v>0</v>
      </c>
      <c r="I4" s="1764">
        <f>'Revenues 9-14'!I109</f>
        <v>239612</v>
      </c>
      <c r="J4" s="1764">
        <f>'Revenues 9-14'!J109</f>
        <v>79036</v>
      </c>
      <c r="K4" s="1764">
        <f>'Revenues 9-14'!K109</f>
        <v>9936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3246873</v>
      </c>
      <c r="D6" s="1765">
        <f>'Revenues 9-14'!D173</f>
        <v>0</v>
      </c>
      <c r="E6" s="1765">
        <f>'Revenues 9-14'!E173</f>
        <v>0</v>
      </c>
      <c r="F6" s="1765">
        <f>'Revenues 9-14'!F173</f>
        <v>184388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389033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14044621</v>
      </c>
      <c r="D8" s="1710">
        <f t="shared" ref="D8:K8" si="0">SUM(D4:D7)</f>
        <v>2135870</v>
      </c>
      <c r="E8" s="1710">
        <f t="shared" si="0"/>
        <v>1253265</v>
      </c>
      <c r="F8" s="1710">
        <f t="shared" si="0"/>
        <v>728247</v>
      </c>
      <c r="G8" s="1710">
        <f t="shared" si="0"/>
        <v>350076</v>
      </c>
      <c r="H8" s="1710">
        <f t="shared" si="0"/>
        <v>0</v>
      </c>
      <c r="I8" s="1710">
        <f t="shared" si="0"/>
        <v>239612</v>
      </c>
      <c r="J8" s="1710">
        <f t="shared" si="0"/>
        <v>79036</v>
      </c>
      <c r="K8" s="1710">
        <f t="shared" si="0"/>
        <v>9936</v>
      </c>
      <c r="L8" s="347"/>
    </row>
    <row r="9" spans="1:13" ht="15.75" thickTop="1" x14ac:dyDescent="0.2">
      <c r="A9" s="514" t="s">
        <v>1752</v>
      </c>
      <c r="B9" s="515">
        <v>3998</v>
      </c>
      <c r="C9" s="481">
        <v>5998541</v>
      </c>
      <c r="D9" s="516"/>
      <c r="E9" s="481"/>
      <c r="F9" s="481"/>
      <c r="G9" s="517"/>
      <c r="H9" s="481"/>
      <c r="I9" s="509" t="s">
        <v>1231</v>
      </c>
      <c r="J9" s="478"/>
      <c r="K9" s="481"/>
      <c r="L9" s="347"/>
    </row>
    <row r="10" spans="1:13" s="519" customFormat="1" ht="13.5" thickBot="1" x14ac:dyDescent="0.25">
      <c r="A10" s="1758" t="s">
        <v>1235</v>
      </c>
      <c r="B10" s="1731"/>
      <c r="C10" s="1710">
        <f>SUM(C8:C9)</f>
        <v>20043162</v>
      </c>
      <c r="D10" s="1710">
        <f t="shared" ref="D10:K10" si="1">SUM(D8:D9)</f>
        <v>2135870</v>
      </c>
      <c r="E10" s="1710">
        <f t="shared" si="1"/>
        <v>1253265</v>
      </c>
      <c r="F10" s="1710">
        <f t="shared" si="1"/>
        <v>728247</v>
      </c>
      <c r="G10" s="1710">
        <f t="shared" si="1"/>
        <v>350076</v>
      </c>
      <c r="H10" s="1710">
        <f t="shared" si="1"/>
        <v>0</v>
      </c>
      <c r="I10" s="1710">
        <f t="shared" si="1"/>
        <v>239612</v>
      </c>
      <c r="J10" s="1710">
        <f t="shared" si="1"/>
        <v>79036</v>
      </c>
      <c r="K10" s="1710">
        <f t="shared" si="1"/>
        <v>9936</v>
      </c>
      <c r="L10" s="518"/>
    </row>
    <row r="11" spans="1:13" s="519" customFormat="1" ht="16.7" customHeight="1" thickTop="1" x14ac:dyDescent="0.2">
      <c r="A11" s="2137" t="s">
        <v>1238</v>
      </c>
      <c r="B11" s="2138"/>
      <c r="C11" s="1592"/>
      <c r="D11" s="1593"/>
      <c r="E11" s="1593"/>
      <c r="F11" s="1593"/>
      <c r="G11" s="1593"/>
      <c r="H11" s="1593"/>
      <c r="I11" s="1593"/>
      <c r="J11" s="1593"/>
      <c r="K11" s="1594"/>
      <c r="L11" s="518"/>
    </row>
    <row r="12" spans="1:13" ht="15.75" customHeight="1" x14ac:dyDescent="0.2">
      <c r="A12" s="1598" t="s">
        <v>476</v>
      </c>
      <c r="B12" s="1600">
        <v>1000</v>
      </c>
      <c r="C12" s="1764">
        <f>'Expenditures 15-22'!K33</f>
        <v>10578623</v>
      </c>
      <c r="D12" s="520" t="s">
        <v>1231</v>
      </c>
      <c r="E12" s="468" t="s">
        <v>1231</v>
      </c>
      <c r="F12" s="468" t="s">
        <v>1231</v>
      </c>
      <c r="G12" s="1764">
        <f>'Expenditures 15-22'!K229</f>
        <v>199133</v>
      </c>
      <c r="H12" s="521"/>
      <c r="I12" s="468" t="s">
        <v>1231</v>
      </c>
      <c r="J12" s="468" t="s">
        <v>1231</v>
      </c>
      <c r="K12" s="521" t="s">
        <v>1231</v>
      </c>
      <c r="L12" s="347"/>
    </row>
    <row r="13" spans="1:13" ht="15.75" customHeight="1" x14ac:dyDescent="0.2">
      <c r="A13" s="1598" t="s">
        <v>477</v>
      </c>
      <c r="B13" s="1600">
        <v>2000</v>
      </c>
      <c r="C13" s="1765">
        <f>'Expenditures 15-22'!K74</f>
        <v>2882279</v>
      </c>
      <c r="D13" s="1765">
        <f>'Expenditures 15-22'!K129</f>
        <v>1630635</v>
      </c>
      <c r="E13" s="469" t="s">
        <v>1231</v>
      </c>
      <c r="F13" s="1765">
        <f>'Expenditures 15-22'!K184</f>
        <v>500029</v>
      </c>
      <c r="G13" s="1765">
        <f>'Expenditures 15-22'!K279</f>
        <v>216974</v>
      </c>
      <c r="H13" s="1765">
        <f>'Expenditures 15-22'!K303</f>
        <v>0</v>
      </c>
      <c r="I13" s="468" t="s">
        <v>1231</v>
      </c>
      <c r="J13" s="1765">
        <f>'Expenditures 15-22'!K330</f>
        <v>64679</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315266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1247475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13776168</v>
      </c>
      <c r="D17" s="1710">
        <f t="shared" si="2"/>
        <v>1630635</v>
      </c>
      <c r="E17" s="1710">
        <f t="shared" si="2"/>
        <v>1247475</v>
      </c>
      <c r="F17" s="1710">
        <f t="shared" si="2"/>
        <v>500029</v>
      </c>
      <c r="G17" s="1710">
        <f t="shared" si="2"/>
        <v>416107</v>
      </c>
      <c r="H17" s="1710">
        <f t="shared" si="2"/>
        <v>0</v>
      </c>
      <c r="I17" s="468"/>
      <c r="J17" s="1710">
        <f>SUM(J12:J16)</f>
        <v>64679</v>
      </c>
      <c r="K17" s="1710">
        <f>SUM(K12:K16)</f>
        <v>0</v>
      </c>
      <c r="L17" s="347"/>
    </row>
    <row r="18" spans="1:12" ht="15" customHeight="1" thickTop="1" x14ac:dyDescent="0.2">
      <c r="A18" s="1766" t="s">
        <v>1753</v>
      </c>
      <c r="B18" s="1767">
        <v>4180</v>
      </c>
      <c r="C18" s="1764">
        <f t="shared" ref="C18:H18" si="3">C9</f>
        <v>5998541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19774709</v>
      </c>
      <c r="D19" s="1710">
        <f t="shared" si="4"/>
        <v>1630635</v>
      </c>
      <c r="E19" s="1710">
        <f t="shared" si="4"/>
        <v>1247475</v>
      </c>
      <c r="F19" s="1710">
        <f t="shared" si="4"/>
        <v>500029</v>
      </c>
      <c r="G19" s="1710">
        <f t="shared" si="4"/>
        <v>416107</v>
      </c>
      <c r="H19" s="1710">
        <f t="shared" si="4"/>
        <v>0</v>
      </c>
      <c r="I19" s="468"/>
      <c r="J19" s="1710">
        <f>SUM(J17:J18)</f>
        <v>64679</v>
      </c>
      <c r="K19" s="1710">
        <f>SUM(K17:K18)</f>
        <v>0</v>
      </c>
      <c r="L19" s="347"/>
    </row>
    <row r="20" spans="1:12" ht="16.5" thickTop="1" thickBot="1" x14ac:dyDescent="0.25">
      <c r="A20" s="2153" t="s">
        <v>1754</v>
      </c>
      <c r="B20" s="2154"/>
      <c r="C20" s="1768">
        <f>C8-C17</f>
        <v>268453</v>
      </c>
      <c r="D20" s="1768">
        <f t="shared" ref="D20:K20" si="5">D8-D17</f>
        <v>505235</v>
      </c>
      <c r="E20" s="1768">
        <f t="shared" si="5"/>
        <v>5790</v>
      </c>
      <c r="F20" s="1768">
        <f t="shared" si="5"/>
        <v>228218</v>
      </c>
      <c r="G20" s="1768">
        <f t="shared" si="5"/>
        <v>-66031</v>
      </c>
      <c r="H20" s="1768">
        <f t="shared" si="5"/>
        <v>0</v>
      </c>
      <c r="I20" s="1768">
        <f t="shared" si="5"/>
        <v>239612</v>
      </c>
      <c r="J20" s="1768">
        <f t="shared" si="5"/>
        <v>14357</v>
      </c>
      <c r="K20" s="1768">
        <f t="shared" si="5"/>
        <v>9936</v>
      </c>
      <c r="L20" s="347"/>
    </row>
    <row r="21" spans="1:12" ht="16.7" customHeight="1" thickTop="1" x14ac:dyDescent="0.2">
      <c r="A21" s="2165" t="s">
        <v>616</v>
      </c>
      <c r="B21" s="2166"/>
      <c r="C21" s="1592"/>
      <c r="D21" s="1593"/>
      <c r="E21" s="1593"/>
      <c r="F21" s="1593"/>
      <c r="G21" s="1593"/>
      <c r="H21" s="1593"/>
      <c r="I21" s="1593"/>
      <c r="J21" s="1593"/>
      <c r="K21" s="1594"/>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1540658</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3805000</v>
      </c>
      <c r="J33" s="467"/>
      <c r="K33" s="467"/>
      <c r="L33" s="524"/>
    </row>
    <row r="34" spans="1:12" s="485" customFormat="1" x14ac:dyDescent="0.2">
      <c r="A34" s="1511" t="s">
        <v>1058</v>
      </c>
      <c r="B34" s="525">
        <v>7220</v>
      </c>
      <c r="C34" s="467"/>
      <c r="D34" s="467"/>
      <c r="E34" s="467"/>
      <c r="F34" s="467"/>
      <c r="G34" s="477"/>
      <c r="H34" s="478"/>
      <c r="I34" s="478">
        <v>79109</v>
      </c>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7" t="s">
        <v>392</v>
      </c>
      <c r="B44" s="2168"/>
      <c r="C44" s="1725">
        <f>SUM(C24:C43)</f>
        <v>0</v>
      </c>
      <c r="D44" s="1725">
        <f t="shared" ref="D44:K44" si="6">SUM(D24:D43)</f>
        <v>1540658</v>
      </c>
      <c r="E44" s="1725">
        <f t="shared" si="6"/>
        <v>0</v>
      </c>
      <c r="F44" s="1725">
        <f t="shared" si="6"/>
        <v>0</v>
      </c>
      <c r="G44" s="1725">
        <f t="shared" si="6"/>
        <v>0</v>
      </c>
      <c r="H44" s="1725">
        <f t="shared" si="6"/>
        <v>0</v>
      </c>
      <c r="I44" s="1725">
        <f t="shared" si="6"/>
        <v>3884109</v>
      </c>
      <c r="J44" s="1725">
        <f t="shared" si="6"/>
        <v>0</v>
      </c>
      <c r="K44" s="1725">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1540658</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382262</v>
      </c>
      <c r="J75" s="530"/>
      <c r="K75" s="532"/>
      <c r="L75" s="524"/>
    </row>
    <row r="76" spans="1:12" s="485" customFormat="1" ht="14.25" thickTop="1" thickBot="1" x14ac:dyDescent="0.25">
      <c r="A76" s="2143" t="s">
        <v>460</v>
      </c>
      <c r="B76" s="2144"/>
      <c r="C76" s="1725">
        <f t="shared" ref="C76:K76" si="7">SUM(C47:C75)</f>
        <v>1540658</v>
      </c>
      <c r="D76" s="1725">
        <f t="shared" si="7"/>
        <v>0</v>
      </c>
      <c r="E76" s="1725">
        <f t="shared" si="7"/>
        <v>0</v>
      </c>
      <c r="F76" s="1725">
        <f t="shared" si="7"/>
        <v>0</v>
      </c>
      <c r="G76" s="1725">
        <f t="shared" si="7"/>
        <v>0</v>
      </c>
      <c r="H76" s="1725">
        <f t="shared" si="7"/>
        <v>0</v>
      </c>
      <c r="I76" s="1725">
        <f t="shared" si="7"/>
        <v>382262</v>
      </c>
      <c r="J76" s="1725">
        <f t="shared" si="7"/>
        <v>0</v>
      </c>
      <c r="K76" s="1725">
        <f t="shared" si="7"/>
        <v>0</v>
      </c>
      <c r="L76" s="524"/>
    </row>
    <row r="77" spans="1:12" ht="14.25" thickTop="1" thickBot="1" x14ac:dyDescent="0.25">
      <c r="A77" s="2145" t="s">
        <v>1239</v>
      </c>
      <c r="B77" s="2146"/>
      <c r="C77" s="1725">
        <f t="shared" ref="C77:K77" si="8">C44-C76</f>
        <v>-1540658</v>
      </c>
      <c r="D77" s="1725">
        <f t="shared" si="8"/>
        <v>1540658</v>
      </c>
      <c r="E77" s="1725">
        <f t="shared" si="8"/>
        <v>0</v>
      </c>
      <c r="F77" s="1725">
        <f t="shared" si="8"/>
        <v>0</v>
      </c>
      <c r="G77" s="1725">
        <f t="shared" si="8"/>
        <v>0</v>
      </c>
      <c r="H77" s="1725">
        <f t="shared" si="8"/>
        <v>0</v>
      </c>
      <c r="I77" s="1725">
        <f t="shared" si="8"/>
        <v>3501847</v>
      </c>
      <c r="J77" s="1725">
        <f t="shared" si="8"/>
        <v>0</v>
      </c>
      <c r="K77" s="1725">
        <f t="shared" si="8"/>
        <v>0</v>
      </c>
      <c r="L77" s="347"/>
    </row>
    <row r="78" spans="1:12" ht="21.75" customHeight="1" thickTop="1" thickBot="1" x14ac:dyDescent="0.25">
      <c r="A78" s="2149" t="s">
        <v>618</v>
      </c>
      <c r="B78" s="2150"/>
      <c r="C78" s="1724">
        <f t="shared" ref="C78:K78" si="9">C20+C77</f>
        <v>-1272205</v>
      </c>
      <c r="D78" s="1724">
        <f t="shared" si="9"/>
        <v>2045893</v>
      </c>
      <c r="E78" s="1724">
        <f t="shared" si="9"/>
        <v>5790</v>
      </c>
      <c r="F78" s="1724">
        <f t="shared" si="9"/>
        <v>228218</v>
      </c>
      <c r="G78" s="1724">
        <f t="shared" si="9"/>
        <v>-66031</v>
      </c>
      <c r="H78" s="1724">
        <f t="shared" si="9"/>
        <v>0</v>
      </c>
      <c r="I78" s="1724">
        <f t="shared" si="9"/>
        <v>3741459</v>
      </c>
      <c r="J78" s="1724">
        <f t="shared" si="9"/>
        <v>14357</v>
      </c>
      <c r="K78" s="1724">
        <f t="shared" si="9"/>
        <v>9936</v>
      </c>
      <c r="L78" s="533"/>
    </row>
    <row r="79" spans="1:12" ht="13.5" thickTop="1" x14ac:dyDescent="0.2">
      <c r="A79" s="1516" t="s">
        <v>2071</v>
      </c>
      <c r="B79" s="534"/>
      <c r="C79" s="478">
        <v>4880907</v>
      </c>
      <c r="D79" s="535">
        <v>3414283</v>
      </c>
      <c r="E79" s="535">
        <v>25312</v>
      </c>
      <c r="F79" s="535">
        <v>754417</v>
      </c>
      <c r="G79" s="535">
        <v>398780</v>
      </c>
      <c r="H79" s="535"/>
      <c r="I79" s="535">
        <v>888919</v>
      </c>
      <c r="J79" s="535">
        <v>13575</v>
      </c>
      <c r="K79" s="535">
        <v>114642</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2072</v>
      </c>
      <c r="B81" s="2148"/>
      <c r="C81" s="1710">
        <f>(SUM(C78:C80))</f>
        <v>3608702</v>
      </c>
      <c r="D81" s="1710">
        <f>SUM(D78:D80)</f>
        <v>5460176</v>
      </c>
      <c r="E81" s="1710">
        <f t="shared" ref="E81:K81" si="10">SUM(E78:E80)</f>
        <v>31102</v>
      </c>
      <c r="F81" s="1710">
        <f t="shared" si="10"/>
        <v>982635</v>
      </c>
      <c r="G81" s="1710">
        <f t="shared" si="10"/>
        <v>332749</v>
      </c>
      <c r="H81" s="1710">
        <f t="shared" si="10"/>
        <v>0</v>
      </c>
      <c r="I81" s="1710">
        <f t="shared" si="10"/>
        <v>4630378</v>
      </c>
      <c r="J81" s="1710">
        <f t="shared" si="10"/>
        <v>27932</v>
      </c>
      <c r="K81" s="1710">
        <f t="shared" si="10"/>
        <v>124578</v>
      </c>
      <c r="L81" s="347"/>
    </row>
    <row r="82" spans="1:12" ht="0.75" customHeight="1" thickTop="1" thickBot="1" x14ac:dyDescent="0.25">
      <c r="A82" s="536" t="s">
        <v>361</v>
      </c>
      <c r="B82" s="537"/>
      <c r="C82" s="538">
        <f>(C81-C79)</f>
        <v>-1272205</v>
      </c>
      <c r="D82" s="538">
        <f t="shared" ref="D82:K82" si="11">(D81-D79)</f>
        <v>2045893</v>
      </c>
      <c r="E82" s="538">
        <f t="shared" si="11"/>
        <v>5790</v>
      </c>
      <c r="F82" s="538">
        <f t="shared" si="11"/>
        <v>228218</v>
      </c>
      <c r="G82" s="538">
        <f t="shared" si="11"/>
        <v>-66031</v>
      </c>
      <c r="H82" s="538">
        <f t="shared" si="11"/>
        <v>0</v>
      </c>
      <c r="I82" s="538">
        <f t="shared" si="11"/>
        <v>3741459</v>
      </c>
      <c r="J82" s="538">
        <f t="shared" si="11"/>
        <v>14357</v>
      </c>
      <c r="K82" s="538">
        <f t="shared" si="11"/>
        <v>9936</v>
      </c>
    </row>
    <row r="83" spans="1:12" ht="14.25" hidden="1" thickTop="1" thickBot="1" x14ac:dyDescent="0.25">
      <c r="A83" s="539" t="s">
        <v>362</v>
      </c>
      <c r="B83" s="464"/>
      <c r="C83" s="540">
        <f>C82/C81</f>
        <v>-0.35253811481247271</v>
      </c>
      <c r="D83" s="540">
        <f t="shared" ref="D83:K83" si="12">D82/D81</f>
        <v>0.37469359962023202</v>
      </c>
      <c r="E83" s="540">
        <f t="shared" si="12"/>
        <v>0.1861616616294772</v>
      </c>
      <c r="F83" s="540">
        <f t="shared" si="12"/>
        <v>0.23225103929739935</v>
      </c>
      <c r="G83" s="540">
        <f t="shared" si="12"/>
        <v>-0.19844086683956977</v>
      </c>
      <c r="H83" s="540" t="e">
        <f t="shared" si="12"/>
        <v>#DIV/0!</v>
      </c>
      <c r="I83" s="540">
        <f t="shared" si="12"/>
        <v>0.8080245284510249</v>
      </c>
      <c r="J83" s="540">
        <f t="shared" si="12"/>
        <v>0.513998281540885</v>
      </c>
      <c r="K83" s="540">
        <f t="shared" si="12"/>
        <v>7.975726051148678E-2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8682277</v>
      </c>
      <c r="D5" s="481">
        <v>1973353</v>
      </c>
      <c r="E5" s="466">
        <v>1252216</v>
      </c>
      <c r="F5" s="548">
        <v>542713</v>
      </c>
      <c r="G5" s="466">
        <v>157905</v>
      </c>
      <c r="H5" s="466"/>
      <c r="I5" s="466">
        <v>226956</v>
      </c>
      <c r="J5" s="467">
        <v>78979</v>
      </c>
      <c r="K5" s="466">
        <v>9929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118469</v>
      </c>
      <c r="D7" s="466"/>
      <c r="E7" s="468"/>
      <c r="F7" s="467"/>
      <c r="G7" s="467"/>
      <c r="H7" s="467"/>
      <c r="I7" s="468"/>
      <c r="J7" s="468"/>
      <c r="K7" s="468"/>
    </row>
    <row r="8" spans="1:12" x14ac:dyDescent="0.2">
      <c r="A8" s="463" t="s">
        <v>433</v>
      </c>
      <c r="B8" s="470">
        <v>1150</v>
      </c>
      <c r="C8" s="475"/>
      <c r="D8" s="475"/>
      <c r="E8" s="477"/>
      <c r="F8" s="477"/>
      <c r="G8" s="481">
        <v>177670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8800746</v>
      </c>
      <c r="D12" s="1729">
        <f t="shared" si="0"/>
        <v>1973353</v>
      </c>
      <c r="E12" s="1729">
        <f t="shared" si="0"/>
        <v>1252216</v>
      </c>
      <c r="F12" s="1729">
        <f t="shared" si="0"/>
        <v>542713</v>
      </c>
      <c r="G12" s="1729">
        <f t="shared" si="0"/>
        <v>335575</v>
      </c>
      <c r="H12" s="1729">
        <f t="shared" si="0"/>
        <v>0</v>
      </c>
      <c r="I12" s="1729">
        <f t="shared" si="0"/>
        <v>226956</v>
      </c>
      <c r="J12" s="1729">
        <f t="shared" si="0"/>
        <v>78979</v>
      </c>
      <c r="K12" s="1710">
        <f t="shared" si="0"/>
        <v>9929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82901</v>
      </c>
      <c r="D16" s="466">
        <v>41194</v>
      </c>
      <c r="E16" s="466"/>
      <c r="F16" s="466"/>
      <c r="G16" s="466">
        <v>14187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82901</v>
      </c>
      <c r="D18" s="1732">
        <f t="shared" ref="D18:K18" si="1">SUM(D14:D17)</f>
        <v>41194</v>
      </c>
      <c r="E18" s="1732">
        <f t="shared" si="1"/>
        <v>0</v>
      </c>
      <c r="F18" s="1732">
        <f t="shared" si="1"/>
        <v>0</v>
      </c>
      <c r="G18" s="1732">
        <f t="shared" si="1"/>
        <v>14187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16745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16745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160799</v>
      </c>
      <c r="D65" s="466">
        <v>18626</v>
      </c>
      <c r="E65" s="466">
        <v>1049</v>
      </c>
      <c r="F65" s="467">
        <v>1146</v>
      </c>
      <c r="G65" s="466">
        <v>314</v>
      </c>
      <c r="H65" s="466"/>
      <c r="I65" s="466">
        <v>12656</v>
      </c>
      <c r="J65" s="467">
        <v>57</v>
      </c>
      <c r="K65" s="466">
        <v>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160799</v>
      </c>
      <c r="D67" s="1710">
        <f t="shared" ref="D67:K67" si="2">SUM(D65:D66)</f>
        <v>18626</v>
      </c>
      <c r="E67" s="1710">
        <f t="shared" si="2"/>
        <v>1049</v>
      </c>
      <c r="F67" s="1710">
        <f t="shared" si="2"/>
        <v>1146</v>
      </c>
      <c r="G67" s="1710">
        <f t="shared" si="2"/>
        <v>314</v>
      </c>
      <c r="H67" s="1710">
        <f t="shared" si="2"/>
        <v>0</v>
      </c>
      <c r="I67" s="1710">
        <f t="shared" si="2"/>
        <v>12656</v>
      </c>
      <c r="J67" s="1710">
        <f t="shared" si="2"/>
        <v>57</v>
      </c>
      <c r="K67" s="1710">
        <f t="shared" si="2"/>
        <v>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62088</v>
      </c>
      <c r="D69" s="468"/>
      <c r="E69" s="468"/>
      <c r="F69" s="468"/>
      <c r="G69" s="468"/>
      <c r="H69" s="468"/>
      <c r="I69" s="468"/>
      <c r="J69" s="468"/>
      <c r="K69" s="468"/>
    </row>
    <row r="70" spans="1:11" ht="12.75" customHeight="1" x14ac:dyDescent="0.2">
      <c r="A70" s="463" t="s">
        <v>1054</v>
      </c>
      <c r="B70" s="470">
        <v>1612</v>
      </c>
      <c r="C70" s="551">
        <v>2099</v>
      </c>
      <c r="D70" s="468"/>
      <c r="E70" s="468"/>
      <c r="F70" s="468"/>
      <c r="G70" s="468"/>
      <c r="H70" s="468"/>
      <c r="I70" s="468"/>
      <c r="J70" s="468"/>
      <c r="K70" s="468"/>
    </row>
    <row r="71" spans="1:11" ht="12.75" customHeight="1" x14ac:dyDescent="0.2">
      <c r="A71" s="463" t="s">
        <v>291</v>
      </c>
      <c r="B71" s="470">
        <v>1613</v>
      </c>
      <c r="C71" s="551">
        <v>491350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4551</v>
      </c>
      <c r="D73" s="468"/>
      <c r="E73" s="468"/>
      <c r="F73" s="468"/>
      <c r="G73" s="468"/>
      <c r="H73" s="468"/>
      <c r="I73" s="468"/>
      <c r="J73" s="468"/>
      <c r="K73" s="468"/>
    </row>
    <row r="74" spans="1:11" ht="12.75" customHeight="1" x14ac:dyDescent="0.2">
      <c r="A74" s="463" t="s">
        <v>25</v>
      </c>
      <c r="B74" s="470">
        <v>1690</v>
      </c>
      <c r="C74" s="551">
        <v>4647</v>
      </c>
      <c r="D74" s="468"/>
      <c r="E74" s="468"/>
      <c r="F74" s="468"/>
      <c r="G74" s="468"/>
      <c r="H74" s="468"/>
      <c r="I74" s="468"/>
      <c r="J74" s="468"/>
      <c r="K74" s="468"/>
    </row>
    <row r="75" spans="1:11" ht="12.75" customHeight="1" thickBot="1" x14ac:dyDescent="0.25">
      <c r="A75" s="1730" t="s">
        <v>569</v>
      </c>
      <c r="B75" s="1731"/>
      <c r="C75" s="1710">
        <f>SUM(C69:C74)</f>
        <v>564735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47758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24466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72224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86922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805</v>
      </c>
      <c r="D92" s="468"/>
      <c r="E92" s="468"/>
      <c r="F92" s="468"/>
      <c r="G92" s="468"/>
      <c r="H92" s="468"/>
      <c r="I92" s="468"/>
      <c r="J92" s="468"/>
      <c r="K92" s="468"/>
    </row>
    <row r="93" spans="1:11" ht="12.75" customHeight="1" thickBot="1" x14ac:dyDescent="0.25">
      <c r="A93" s="1730" t="s">
        <v>261</v>
      </c>
      <c r="B93" s="1731"/>
      <c r="C93" s="1710">
        <f>SUM(C84:C92)</f>
        <v>87727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v>97256</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498210</v>
      </c>
      <c r="D98" s="466"/>
      <c r="E98" s="512"/>
      <c r="F98" s="466"/>
      <c r="G98" s="512"/>
      <c r="H98" s="512"/>
      <c r="I98" s="510"/>
      <c r="J98" s="512"/>
      <c r="K98" s="512"/>
    </row>
    <row r="99" spans="1:12" ht="12.75" customHeight="1" x14ac:dyDescent="0.2">
      <c r="A99" s="463" t="s">
        <v>875</v>
      </c>
      <c r="B99" s="470">
        <v>1950</v>
      </c>
      <c r="C99" s="489">
        <v>93397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14360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16390</v>
      </c>
      <c r="D106" s="489"/>
      <c r="E106" s="467"/>
      <c r="F106" s="467"/>
      <c r="G106" s="467"/>
      <c r="H106" s="467"/>
      <c r="I106" s="521"/>
      <c r="J106" s="467"/>
      <c r="K106" s="467"/>
    </row>
    <row r="107" spans="1:12" ht="12.75" customHeight="1" x14ac:dyDescent="0.2">
      <c r="A107" s="463" t="s">
        <v>80</v>
      </c>
      <c r="B107" s="470">
        <v>1999</v>
      </c>
      <c r="C107" s="551">
        <v>481</v>
      </c>
      <c r="D107" s="466">
        <v>5441</v>
      </c>
      <c r="E107" s="466"/>
      <c r="F107" s="466"/>
      <c r="G107" s="466"/>
      <c r="H107" s="466"/>
      <c r="I107" s="466"/>
      <c r="J107" s="467"/>
      <c r="K107" s="466"/>
    </row>
    <row r="108" spans="1:12" ht="12.75" customHeight="1" thickBot="1" x14ac:dyDescent="0.25">
      <c r="A108" s="1730" t="s">
        <v>508</v>
      </c>
      <c r="B108" s="1734"/>
      <c r="C108" s="1729">
        <f>SUM(C95:C107)</f>
        <v>622838</v>
      </c>
      <c r="D108" s="1729">
        <f t="shared" ref="D108:K108" si="3">SUM(D95:D107)</f>
        <v>102697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10408715</v>
      </c>
      <c r="D109" s="1737">
        <f t="shared" si="4"/>
        <v>2135870</v>
      </c>
      <c r="E109" s="1737">
        <f t="shared" si="4"/>
        <v>1253265</v>
      </c>
      <c r="F109" s="1737">
        <f t="shared" si="4"/>
        <v>543859</v>
      </c>
      <c r="G109" s="1737">
        <f t="shared" si="4"/>
        <v>350076</v>
      </c>
      <c r="H109" s="1737">
        <f t="shared" si="4"/>
        <v>0</v>
      </c>
      <c r="I109" s="1737">
        <f t="shared" si="4"/>
        <v>239612</v>
      </c>
      <c r="J109" s="1737">
        <f t="shared" si="4"/>
        <v>79036</v>
      </c>
      <c r="K109" s="1724">
        <f t="shared" si="4"/>
        <v>9936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2877407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2877407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36727</v>
      </c>
      <c r="D124" s="561"/>
      <c r="E124" s="468"/>
      <c r="F124" s="548"/>
      <c r="G124" s="468"/>
      <c r="H124" s="468"/>
      <c r="I124" s="468"/>
      <c r="J124" s="468"/>
      <c r="K124" s="468"/>
    </row>
    <row r="125" spans="1:11" ht="12.75" customHeight="1" x14ac:dyDescent="0.2">
      <c r="A125" s="463" t="s">
        <v>1521</v>
      </c>
      <c r="B125" s="562">
        <v>3105</v>
      </c>
      <c r="C125" s="466">
        <v>75922</v>
      </c>
      <c r="D125" s="561"/>
      <c r="E125" s="468"/>
      <c r="F125" s="466"/>
      <c r="G125" s="468"/>
      <c r="H125" s="468"/>
      <c r="I125" s="468"/>
      <c r="J125" s="468"/>
      <c r="K125" s="468"/>
    </row>
    <row r="126" spans="1:11" ht="12.75" customHeight="1" x14ac:dyDescent="0.2">
      <c r="A126" s="463" t="s">
        <v>922</v>
      </c>
      <c r="B126" s="562">
        <v>3110</v>
      </c>
      <c r="C126" s="551">
        <v>94916</v>
      </c>
      <c r="D126" s="466"/>
      <c r="E126" s="468"/>
      <c r="F126" s="466"/>
      <c r="G126" s="468"/>
      <c r="H126" s="468"/>
      <c r="I126" s="468"/>
      <c r="J126" s="468"/>
      <c r="K126" s="468"/>
    </row>
    <row r="127" spans="1:11" ht="12.75" customHeight="1" x14ac:dyDescent="0.2">
      <c r="A127" s="463" t="s">
        <v>107</v>
      </c>
      <c r="B127" s="562">
        <v>3120</v>
      </c>
      <c r="C127" s="466">
        <v>7810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1215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216590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60675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60675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1582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66588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9688</v>
      </c>
      <c r="G151" s="467"/>
      <c r="H151" s="468"/>
      <c r="I151" s="468"/>
      <c r="J151" s="468"/>
      <c r="K151" s="468"/>
    </row>
    <row r="152" spans="1:11" ht="12.75" customHeight="1" x14ac:dyDescent="0.2">
      <c r="A152" s="463" t="s">
        <v>1117</v>
      </c>
      <c r="B152" s="562">
        <v>3510</v>
      </c>
      <c r="C152" s="551"/>
      <c r="D152" s="466"/>
      <c r="E152" s="561"/>
      <c r="F152" s="466">
        <v>174700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184388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24031</v>
      </c>
      <c r="D171" s="580"/>
      <c r="E171" s="580"/>
      <c r="F171" s="580"/>
      <c r="G171" s="581"/>
      <c r="H171" s="582"/>
      <c r="I171" s="581"/>
      <c r="J171" s="581"/>
      <c r="K171" s="582"/>
    </row>
    <row r="172" spans="1:11" ht="12.75" customHeight="1" thickTop="1" thickBot="1" x14ac:dyDescent="0.25">
      <c r="A172" s="2171" t="s">
        <v>418</v>
      </c>
      <c r="B172" s="2172"/>
      <c r="C172" s="1744">
        <f t="shared" ref="C172:K172" si="6">SUM(C131,C140,C144,C145:C149,C154,C155:C170,C171)</f>
        <v>369466</v>
      </c>
      <c r="D172" s="1744">
        <f t="shared" si="6"/>
        <v>0</v>
      </c>
      <c r="E172" s="1744">
        <f t="shared" si="6"/>
        <v>0</v>
      </c>
      <c r="F172" s="1744">
        <f t="shared" si="6"/>
        <v>184388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3246873</v>
      </c>
      <c r="D173" s="1737">
        <f>SUM(D121,D172)</f>
        <v>0</v>
      </c>
      <c r="E173" s="1737">
        <f>SUM(E121,E172)</f>
        <v>0</v>
      </c>
      <c r="F173" s="1737">
        <f t="shared" ref="F173:K173" si="7">SUM(F121,F172)</f>
        <v>184388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110261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18143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128404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97206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97206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113281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113281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22943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18318</v>
      </c>
      <c r="D270" s="576"/>
      <c r="E270" s="468"/>
      <c r="F270" s="576"/>
      <c r="G270" s="576"/>
      <c r="H270" s="468"/>
      <c r="I270" s="468"/>
      <c r="J270" s="468"/>
      <c r="K270" s="468"/>
    </row>
    <row r="271" spans="1:11" ht="12.75" customHeight="1" thickTop="1" thickBot="1" x14ac:dyDescent="0.25">
      <c r="A271" s="463" t="s">
        <v>395</v>
      </c>
      <c r="B271" s="470">
        <v>4992</v>
      </c>
      <c r="C271" s="575">
        <v>8881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389033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389033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14044621</v>
      </c>
      <c r="D275" s="1737">
        <f t="shared" si="12"/>
        <v>2135870</v>
      </c>
      <c r="E275" s="1737">
        <f t="shared" si="12"/>
        <v>1253265</v>
      </c>
      <c r="F275" s="1737">
        <f t="shared" si="12"/>
        <v>728247</v>
      </c>
      <c r="G275" s="1737">
        <f t="shared" si="12"/>
        <v>350076</v>
      </c>
      <c r="H275" s="1737">
        <f t="shared" si="12"/>
        <v>0</v>
      </c>
      <c r="I275" s="1737">
        <f t="shared" si="12"/>
        <v>239612</v>
      </c>
      <c r="J275" s="1737">
        <f t="shared" si="12"/>
        <v>79036</v>
      </c>
      <c r="K275" s="1724">
        <f t="shared" si="12"/>
        <v>9936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1" activePane="bottomLeft" state="frozen"/>
      <selection activeCell="A47" sqref="A47"/>
      <selection pane="bottomLeft" activeCell="A41" sqref="A4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1" t="s">
        <v>315</v>
      </c>
      <c r="B3" s="219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5084868</v>
      </c>
      <c r="D5" s="466">
        <v>1663101</v>
      </c>
      <c r="E5" s="466">
        <v>194065</v>
      </c>
      <c r="F5" s="466">
        <v>193406</v>
      </c>
      <c r="G5" s="466">
        <v>191640</v>
      </c>
      <c r="H5" s="466"/>
      <c r="I5" s="467"/>
      <c r="J5" s="467"/>
      <c r="K5" s="1693">
        <f>SUM(C5:J5)</f>
        <v>7327080</v>
      </c>
      <c r="L5" s="466">
        <v>8891523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1510677</v>
      </c>
      <c r="D8" s="466">
        <v>599463</v>
      </c>
      <c r="E8" s="466">
        <v>15796</v>
      </c>
      <c r="F8" s="466">
        <v>27617</v>
      </c>
      <c r="G8" s="466">
        <v>2909</v>
      </c>
      <c r="H8" s="466">
        <v>5586</v>
      </c>
      <c r="I8" s="467"/>
      <c r="J8" s="467"/>
      <c r="K8" s="1693">
        <f t="shared" si="0"/>
        <v>2162048</v>
      </c>
      <c r="L8" s="466">
        <v>708218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42701</v>
      </c>
      <c r="D10" s="466">
        <v>15710</v>
      </c>
      <c r="E10" s="466"/>
      <c r="F10" s="466"/>
      <c r="G10" s="466"/>
      <c r="H10" s="466"/>
      <c r="I10" s="467"/>
      <c r="J10" s="467"/>
      <c r="K10" s="1693">
        <f t="shared" si="0"/>
        <v>58411</v>
      </c>
      <c r="L10" s="466">
        <v>55305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361874</v>
      </c>
      <c r="D14" s="466">
        <v>46213</v>
      </c>
      <c r="E14" s="466">
        <v>73698</v>
      </c>
      <c r="F14" s="466">
        <v>53182</v>
      </c>
      <c r="G14" s="466">
        <v>5500</v>
      </c>
      <c r="H14" s="466">
        <v>15091</v>
      </c>
      <c r="I14" s="467"/>
      <c r="J14" s="467"/>
      <c r="K14" s="1693">
        <f t="shared" si="0"/>
        <v>555558</v>
      </c>
      <c r="L14" s="466">
        <v>554992</v>
      </c>
    </row>
    <row r="15" spans="1:14" x14ac:dyDescent="0.2">
      <c r="A15" s="1526" t="s">
        <v>1021</v>
      </c>
      <c r="B15" s="615">
        <v>1600</v>
      </c>
      <c r="C15" s="466">
        <v>23342</v>
      </c>
      <c r="D15" s="466">
        <v>2400</v>
      </c>
      <c r="E15" s="466"/>
      <c r="F15" s="466"/>
      <c r="G15" s="466"/>
      <c r="H15" s="466"/>
      <c r="I15" s="467"/>
      <c r="J15" s="467"/>
      <c r="K15" s="1693">
        <f t="shared" si="0"/>
        <v>25742</v>
      </c>
      <c r="L15" s="466">
        <v>31500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241082</v>
      </c>
      <c r="D17" s="467">
        <v>58374</v>
      </c>
      <c r="E17" s="467">
        <v>13858</v>
      </c>
      <c r="F17" s="467">
        <v>3131</v>
      </c>
      <c r="G17" s="467"/>
      <c r="H17" s="467"/>
      <c r="I17" s="467"/>
      <c r="J17" s="467"/>
      <c r="K17" s="1693">
        <f t="shared" si="0"/>
        <v>316445</v>
      </c>
      <c r="L17" s="466">
        <v>305656</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133339</v>
      </c>
      <c r="I22" s="617"/>
      <c r="J22" s="477"/>
      <c r="K22" s="1693">
        <f t="shared" si="0"/>
        <v>133339</v>
      </c>
      <c r="L22" s="471">
        <v>165000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7264544</v>
      </c>
      <c r="D33" s="1692">
        <f t="shared" ref="D33:L33" si="1">SUM(D5:D32)</f>
        <v>2385261</v>
      </c>
      <c r="E33" s="1692">
        <f t="shared" si="1"/>
        <v>297417</v>
      </c>
      <c r="F33" s="1692">
        <f t="shared" si="1"/>
        <v>277336</v>
      </c>
      <c r="G33" s="1692">
        <f t="shared" si="1"/>
        <v>200049</v>
      </c>
      <c r="H33" s="1692">
        <f t="shared" si="1"/>
        <v>154016</v>
      </c>
      <c r="I33" s="1692">
        <f t="shared" si="1"/>
        <v>0</v>
      </c>
      <c r="J33" s="1692">
        <f t="shared" si="1"/>
        <v>0</v>
      </c>
      <c r="K33" s="1692">
        <f t="shared" si="1"/>
        <v>10578623</v>
      </c>
      <c r="L33" s="1692">
        <f t="shared" si="1"/>
        <v>10712194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84607</v>
      </c>
      <c r="D36" s="481">
        <v>39660</v>
      </c>
      <c r="E36" s="481">
        <v>3</v>
      </c>
      <c r="F36" s="481">
        <v>2607</v>
      </c>
      <c r="G36" s="481"/>
      <c r="H36" s="481">
        <v>1166</v>
      </c>
      <c r="I36" s="467"/>
      <c r="J36" s="467"/>
      <c r="K36" s="1693">
        <f t="shared" ref="K36:K41" si="2">SUM(C36:J36)</f>
        <v>128043</v>
      </c>
      <c r="L36" s="466">
        <v>96935</v>
      </c>
    </row>
    <row r="37" spans="1:14" x14ac:dyDescent="0.2">
      <c r="A37" s="1526" t="s">
        <v>1151</v>
      </c>
      <c r="B37" s="615">
        <v>2120</v>
      </c>
      <c r="C37" s="466">
        <v>313283</v>
      </c>
      <c r="D37" s="466">
        <v>79363</v>
      </c>
      <c r="E37" s="466">
        <v>159</v>
      </c>
      <c r="F37" s="466">
        <v>52433</v>
      </c>
      <c r="G37" s="466"/>
      <c r="H37" s="466">
        <v>385</v>
      </c>
      <c r="I37" s="467"/>
      <c r="J37" s="467"/>
      <c r="K37" s="1693">
        <f t="shared" si="2"/>
        <v>445623</v>
      </c>
      <c r="L37" s="466">
        <v>467250</v>
      </c>
    </row>
    <row r="38" spans="1:14" x14ac:dyDescent="0.2">
      <c r="A38" s="1526" t="s">
        <v>207</v>
      </c>
      <c r="B38" s="615">
        <v>2130</v>
      </c>
      <c r="C38" s="466">
        <v>38006</v>
      </c>
      <c r="D38" s="466">
        <v>11917</v>
      </c>
      <c r="E38" s="466"/>
      <c r="F38" s="466">
        <v>2338</v>
      </c>
      <c r="G38" s="466"/>
      <c r="H38" s="466"/>
      <c r="I38" s="467"/>
      <c r="J38" s="467"/>
      <c r="K38" s="1693">
        <f t="shared" si="2"/>
        <v>52261</v>
      </c>
      <c r="L38" s="466">
        <v>47971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435896</v>
      </c>
      <c r="D42" s="1692">
        <f t="shared" ref="D42:L42" si="3">SUM(D36:D41)</f>
        <v>130940</v>
      </c>
      <c r="E42" s="1692">
        <f t="shared" si="3"/>
        <v>162</v>
      </c>
      <c r="F42" s="1692">
        <f t="shared" si="3"/>
        <v>57378</v>
      </c>
      <c r="G42" s="1692">
        <f t="shared" si="3"/>
        <v>0</v>
      </c>
      <c r="H42" s="1692">
        <f t="shared" si="3"/>
        <v>1551</v>
      </c>
      <c r="I42" s="1692">
        <f t="shared" si="3"/>
        <v>0</v>
      </c>
      <c r="J42" s="1692">
        <f t="shared" si="3"/>
        <v>0</v>
      </c>
      <c r="K42" s="1692">
        <f t="shared" si="3"/>
        <v>625927</v>
      </c>
      <c r="L42" s="1692">
        <f t="shared" si="3"/>
        <v>612156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9700</v>
      </c>
      <c r="D44" s="481">
        <v>43159</v>
      </c>
      <c r="E44" s="481">
        <v>44476</v>
      </c>
      <c r="F44" s="481">
        <v>3</v>
      </c>
      <c r="G44" s="481"/>
      <c r="H44" s="481"/>
      <c r="I44" s="467"/>
      <c r="J44" s="467"/>
      <c r="K44" s="1694">
        <f>SUM(C44:J44)</f>
        <v>97338</v>
      </c>
      <c r="L44" s="481">
        <v>86136</v>
      </c>
    </row>
    <row r="45" spans="1:14" x14ac:dyDescent="0.2">
      <c r="A45" s="1526" t="s">
        <v>869</v>
      </c>
      <c r="B45" s="615">
        <v>2220</v>
      </c>
      <c r="C45" s="466">
        <v>95837</v>
      </c>
      <c r="D45" s="466">
        <v>28864</v>
      </c>
      <c r="E45" s="466">
        <v>484</v>
      </c>
      <c r="F45" s="466">
        <v>21045</v>
      </c>
      <c r="G45" s="466"/>
      <c r="H45" s="466">
        <v>394</v>
      </c>
      <c r="I45" s="467"/>
      <c r="J45" s="467"/>
      <c r="K45" s="1694">
        <f>SUM(C45:J45)</f>
        <v>146624</v>
      </c>
      <c r="L45" s="466">
        <v>149722</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105537</v>
      </c>
      <c r="D47" s="1692">
        <f t="shared" ref="D47:K47" si="4">SUM(D44:D46)</f>
        <v>72023</v>
      </c>
      <c r="E47" s="1692">
        <f t="shared" si="4"/>
        <v>44960</v>
      </c>
      <c r="F47" s="1692">
        <f t="shared" si="4"/>
        <v>21048</v>
      </c>
      <c r="G47" s="1692">
        <f t="shared" si="4"/>
        <v>0</v>
      </c>
      <c r="H47" s="1692">
        <f t="shared" si="4"/>
        <v>394</v>
      </c>
      <c r="I47" s="1692">
        <f t="shared" si="4"/>
        <v>0</v>
      </c>
      <c r="J47" s="1692">
        <f t="shared" si="4"/>
        <v>0</v>
      </c>
      <c r="K47" s="1692">
        <f t="shared" si="4"/>
        <v>243962</v>
      </c>
      <c r="L47" s="1692">
        <f>SUM(L44:L46)</f>
        <v>235858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3507</v>
      </c>
      <c r="D49" s="481">
        <v>3368</v>
      </c>
      <c r="E49" s="481">
        <v>76763</v>
      </c>
      <c r="F49" s="481">
        <v>16995</v>
      </c>
      <c r="G49" s="481"/>
      <c r="H49" s="481">
        <v>15524</v>
      </c>
      <c r="I49" s="467"/>
      <c r="J49" s="467"/>
      <c r="K49" s="1694">
        <f>SUM(C49:J49)</f>
        <v>116157</v>
      </c>
      <c r="L49" s="481">
        <v>131642</v>
      </c>
    </row>
    <row r="50" spans="1:14" x14ac:dyDescent="0.2">
      <c r="A50" s="1526" t="s">
        <v>872</v>
      </c>
      <c r="B50" s="615">
        <v>2320</v>
      </c>
      <c r="C50" s="466">
        <v>230132</v>
      </c>
      <c r="D50" s="466">
        <v>87762</v>
      </c>
      <c r="E50" s="466">
        <v>1888</v>
      </c>
      <c r="F50" s="466">
        <v>2583</v>
      </c>
      <c r="G50" s="466"/>
      <c r="H50" s="466">
        <v>7894</v>
      </c>
      <c r="I50" s="467"/>
      <c r="J50" s="467"/>
      <c r="K50" s="1694">
        <f>SUM(C50:J50)</f>
        <v>330259</v>
      </c>
      <c r="L50" s="466">
        <v>328734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233639</v>
      </c>
      <c r="D53" s="1692">
        <f t="shared" ref="D53:L53" si="5">SUM(D49:D52)</f>
        <v>91130</v>
      </c>
      <c r="E53" s="1692">
        <f t="shared" si="5"/>
        <v>78651</v>
      </c>
      <c r="F53" s="1692">
        <f t="shared" si="5"/>
        <v>19578</v>
      </c>
      <c r="G53" s="1692">
        <f t="shared" si="5"/>
        <v>0</v>
      </c>
      <c r="H53" s="1692">
        <f t="shared" si="5"/>
        <v>23418</v>
      </c>
      <c r="I53" s="1692">
        <f t="shared" si="5"/>
        <v>0</v>
      </c>
      <c r="J53" s="1692">
        <f t="shared" si="5"/>
        <v>0</v>
      </c>
      <c r="K53" s="1692">
        <f t="shared" si="5"/>
        <v>446416</v>
      </c>
      <c r="L53" s="1692">
        <f t="shared" si="5"/>
        <v>460376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158593</v>
      </c>
      <c r="D55" s="481">
        <v>45697</v>
      </c>
      <c r="E55" s="481"/>
      <c r="F55" s="481">
        <v>65</v>
      </c>
      <c r="G55" s="481"/>
      <c r="H55" s="481">
        <v>514</v>
      </c>
      <c r="I55" s="467"/>
      <c r="J55" s="467"/>
      <c r="K55" s="1694">
        <f>SUM(C55:J55)</f>
        <v>204869</v>
      </c>
      <c r="L55" s="481">
        <v>210315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158593</v>
      </c>
      <c r="D57" s="1696">
        <f t="shared" ref="D57:K57" si="6">SUM(D55:D56)</f>
        <v>45697</v>
      </c>
      <c r="E57" s="1696">
        <f t="shared" si="6"/>
        <v>0</v>
      </c>
      <c r="F57" s="1696">
        <f t="shared" si="6"/>
        <v>65</v>
      </c>
      <c r="G57" s="1696">
        <f t="shared" si="6"/>
        <v>0</v>
      </c>
      <c r="H57" s="1696">
        <f t="shared" si="6"/>
        <v>514</v>
      </c>
      <c r="I57" s="1696">
        <f t="shared" si="6"/>
        <v>0</v>
      </c>
      <c r="J57" s="1696">
        <f t="shared" si="6"/>
        <v>0</v>
      </c>
      <c r="K57" s="1696">
        <f t="shared" si="6"/>
        <v>204869</v>
      </c>
      <c r="L57" s="1692">
        <f>SUM(L55:L56)</f>
        <v>210315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75016</v>
      </c>
      <c r="D59" s="481">
        <v>23451</v>
      </c>
      <c r="E59" s="481">
        <v>567</v>
      </c>
      <c r="F59" s="481">
        <v>1636</v>
      </c>
      <c r="G59" s="481"/>
      <c r="H59" s="481">
        <v>2079</v>
      </c>
      <c r="I59" s="467"/>
      <c r="J59" s="467"/>
      <c r="K59" s="1694">
        <f t="shared" ref="K59:K64" si="7">SUM(C59:J59)</f>
        <v>102749</v>
      </c>
      <c r="L59" s="481">
        <v>113300</v>
      </c>
      <c r="M59" s="610"/>
      <c r="N59" s="610"/>
    </row>
    <row r="60" spans="1:14" s="343" customFormat="1" x14ac:dyDescent="0.2">
      <c r="A60" s="1526" t="s">
        <v>483</v>
      </c>
      <c r="B60" s="615">
        <v>2520</v>
      </c>
      <c r="C60" s="466">
        <v>96439</v>
      </c>
      <c r="D60" s="466">
        <v>23831</v>
      </c>
      <c r="E60" s="466"/>
      <c r="F60" s="466"/>
      <c r="G60" s="466"/>
      <c r="H60" s="466"/>
      <c r="I60" s="467"/>
      <c r="J60" s="467"/>
      <c r="K60" s="1694">
        <f t="shared" si="7"/>
        <v>120270</v>
      </c>
      <c r="L60" s="466">
        <v>123564</v>
      </c>
      <c r="M60" s="610"/>
      <c r="N60" s="610"/>
    </row>
    <row r="61" spans="1:14" s="343" customFormat="1" x14ac:dyDescent="0.2">
      <c r="A61" s="1526" t="s">
        <v>206</v>
      </c>
      <c r="B61" s="615">
        <v>2540</v>
      </c>
      <c r="C61" s="466">
        <v>335415</v>
      </c>
      <c r="D61" s="466">
        <v>115160</v>
      </c>
      <c r="E61" s="466">
        <v>53122</v>
      </c>
      <c r="F61" s="466"/>
      <c r="G61" s="466"/>
      <c r="H61" s="466"/>
      <c r="I61" s="467"/>
      <c r="J61" s="467"/>
      <c r="K61" s="1694">
        <f t="shared" si="7"/>
        <v>503697</v>
      </c>
      <c r="L61" s="466">
        <v>529071</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190166</v>
      </c>
      <c r="D63" s="466">
        <v>55761</v>
      </c>
      <c r="E63" s="466">
        <v>1441</v>
      </c>
      <c r="F63" s="466">
        <v>348534</v>
      </c>
      <c r="G63" s="466">
        <v>1006</v>
      </c>
      <c r="H63" s="466">
        <v>1105</v>
      </c>
      <c r="I63" s="467"/>
      <c r="J63" s="467"/>
      <c r="K63" s="1694">
        <f t="shared" si="7"/>
        <v>598013</v>
      </c>
      <c r="L63" s="466">
        <v>584203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697036</v>
      </c>
      <c r="D65" s="1692">
        <f t="shared" ref="D65:L65" si="8">SUM(D59:D64)</f>
        <v>218203</v>
      </c>
      <c r="E65" s="1692">
        <f t="shared" si="8"/>
        <v>55130</v>
      </c>
      <c r="F65" s="1692">
        <f t="shared" si="8"/>
        <v>350170</v>
      </c>
      <c r="G65" s="1692">
        <f t="shared" si="8"/>
        <v>1006</v>
      </c>
      <c r="H65" s="1692">
        <f t="shared" si="8"/>
        <v>3184</v>
      </c>
      <c r="I65" s="1692">
        <f t="shared" si="8"/>
        <v>0</v>
      </c>
      <c r="J65" s="1692">
        <f t="shared" si="8"/>
        <v>0</v>
      </c>
      <c r="K65" s="1692">
        <f t="shared" si="8"/>
        <v>1324729</v>
      </c>
      <c r="L65" s="1692">
        <f t="shared" si="8"/>
        <v>1350138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11767</v>
      </c>
      <c r="F73" s="573">
        <v>24609</v>
      </c>
      <c r="G73" s="573"/>
      <c r="H73" s="573"/>
      <c r="I73" s="531"/>
      <c r="J73" s="531"/>
      <c r="K73" s="1692">
        <f>SUM(C73:J73)</f>
        <v>36376</v>
      </c>
      <c r="L73" s="576">
        <v>44800</v>
      </c>
      <c r="M73" s="610"/>
      <c r="N73" s="610"/>
    </row>
    <row r="74" spans="1:14" ht="12.75" customHeight="1" thickTop="1" thickBot="1" x14ac:dyDescent="0.25">
      <c r="A74" s="1690" t="s">
        <v>865</v>
      </c>
      <c r="B74" s="1698">
        <v>2000</v>
      </c>
      <c r="C74" s="1699">
        <f>SUM(C42,C47,C53,C57,C65,C72,C73)</f>
        <v>1630701</v>
      </c>
      <c r="D74" s="1699">
        <f t="shared" ref="D74:K74" si="10">SUM(D42,D47,D53,D57,D65,D72,D73)</f>
        <v>557993</v>
      </c>
      <c r="E74" s="1699">
        <f t="shared" si="10"/>
        <v>190670</v>
      </c>
      <c r="F74" s="1699">
        <f t="shared" si="10"/>
        <v>472848</v>
      </c>
      <c r="G74" s="1699">
        <f t="shared" si="10"/>
        <v>1006</v>
      </c>
      <c r="H74" s="1699">
        <f t="shared" si="10"/>
        <v>29061</v>
      </c>
      <c r="I74" s="1699">
        <f t="shared" si="10"/>
        <v>0</v>
      </c>
      <c r="J74" s="1699">
        <f t="shared" si="10"/>
        <v>0</v>
      </c>
      <c r="K74" s="1699">
        <f t="shared" si="10"/>
        <v>2882279</v>
      </c>
      <c r="L74" s="1699">
        <f>SUM(L42,L47,L53,L57,L65,L72,L73)</f>
        <v>2913643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74844</v>
      </c>
      <c r="F78" s="617"/>
      <c r="G78" s="617"/>
      <c r="H78" s="635"/>
      <c r="I78" s="477"/>
      <c r="J78" s="477"/>
      <c r="K78" s="1693">
        <f t="shared" ref="K78:K83" si="11">SUM(C78:J78)</f>
        <v>74844</v>
      </c>
      <c r="L78" s="481">
        <v>74884</v>
      </c>
    </row>
    <row r="79" spans="1:14" x14ac:dyDescent="0.2">
      <c r="A79" s="1526" t="s">
        <v>322</v>
      </c>
      <c r="B79" s="615">
        <v>4120</v>
      </c>
      <c r="C79" s="617"/>
      <c r="D79" s="617"/>
      <c r="E79" s="466">
        <v>100891</v>
      </c>
      <c r="F79" s="617"/>
      <c r="G79" s="617"/>
      <c r="H79" s="466">
        <v>39368</v>
      </c>
      <c r="I79" s="477"/>
      <c r="J79" s="477"/>
      <c r="K79" s="1693">
        <f t="shared" si="11"/>
        <v>140259</v>
      </c>
      <c r="L79" s="466">
        <v>156218</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175735</v>
      </c>
      <c r="F84" s="617"/>
      <c r="G84" s="617"/>
      <c r="H84" s="1692">
        <f>SUM(H78:H83)</f>
        <v>39368</v>
      </c>
      <c r="I84" s="477"/>
      <c r="J84" s="477"/>
      <c r="K84" s="1692">
        <f>SUM(K78:K83)</f>
        <v>215103</v>
      </c>
      <c r="L84" s="1692">
        <f>SUM(L78:L83)</f>
        <v>231102</v>
      </c>
    </row>
    <row r="85" spans="1:12" ht="12.75" customHeight="1" thickTop="1" thickBot="1" x14ac:dyDescent="0.25">
      <c r="A85" s="1533" t="s">
        <v>273</v>
      </c>
      <c r="B85" s="636">
        <v>4210</v>
      </c>
      <c r="C85" s="617"/>
      <c r="D85" s="617"/>
      <c r="E85" s="637"/>
      <c r="F85" s="617"/>
      <c r="G85" s="617"/>
      <c r="H85" s="535">
        <v>825</v>
      </c>
      <c r="I85" s="477"/>
      <c r="J85" s="477"/>
      <c r="K85" s="1699">
        <f>H85</f>
        <v>825</v>
      </c>
      <c r="L85" s="530">
        <v>2300</v>
      </c>
    </row>
    <row r="86" spans="1:12" ht="12.75" customHeight="1" thickTop="1" thickBot="1" x14ac:dyDescent="0.25">
      <c r="A86" s="1534" t="s">
        <v>723</v>
      </c>
      <c r="B86" s="638">
        <v>4220</v>
      </c>
      <c r="C86" s="617"/>
      <c r="D86" s="617"/>
      <c r="E86" s="639"/>
      <c r="F86" s="617"/>
      <c r="G86" s="617"/>
      <c r="H86" s="467">
        <v>99338</v>
      </c>
      <c r="I86" s="477"/>
      <c r="J86" s="477"/>
      <c r="K86" s="1699">
        <f t="shared" ref="K86:K98" si="12">H86</f>
        <v>99338</v>
      </c>
      <c r="L86" s="530">
        <v>135000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100163</v>
      </c>
      <c r="I92" s="477"/>
      <c r="J92" s="477"/>
      <c r="K92" s="1699">
        <f t="shared" si="12"/>
        <v>100163</v>
      </c>
      <c r="L92" s="1692">
        <f>SUM(L85:L91)</f>
        <v>137300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175735</v>
      </c>
      <c r="F102" s="617"/>
      <c r="G102" s="617"/>
      <c r="H102" s="1699">
        <f>SUM(H84,H92,H100,H101)</f>
        <v>139531</v>
      </c>
      <c r="I102" s="477"/>
      <c r="J102" s="477"/>
      <c r="K102" s="1699">
        <f>SUM(K84,K92,K100,K101)</f>
        <v>315266</v>
      </c>
      <c r="L102" s="1699">
        <f>SUM(L84,L92,L100,L101)</f>
        <v>368402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250000</v>
      </c>
      <c r="M113" s="614"/>
      <c r="N113" s="614"/>
    </row>
    <row r="114" spans="1:14" ht="12.75" customHeight="1" thickTop="1" thickBot="1" x14ac:dyDescent="0.25">
      <c r="A114" s="1690" t="s">
        <v>50</v>
      </c>
      <c r="B114" s="1704"/>
      <c r="C114" s="1692">
        <f>SUM(C33,C74,C75,C102,C112,C113)</f>
        <v>8895245</v>
      </c>
      <c r="D114" s="1692">
        <f t="shared" ref="D114:K114" si="13">SUM(D33,D74,D75,D102,D112,D113)</f>
        <v>2943254</v>
      </c>
      <c r="E114" s="1692">
        <f t="shared" si="13"/>
        <v>663822</v>
      </c>
      <c r="F114" s="1692">
        <f t="shared" si="13"/>
        <v>750184</v>
      </c>
      <c r="G114" s="1692">
        <f t="shared" si="13"/>
        <v>201055</v>
      </c>
      <c r="H114" s="1692">
        <f>SUM(H33,H74,H75,H102,H112,H113)</f>
        <v>322608</v>
      </c>
      <c r="I114" s="1692">
        <f t="shared" si="13"/>
        <v>0</v>
      </c>
      <c r="J114" s="1692">
        <f t="shared" si="13"/>
        <v>0</v>
      </c>
      <c r="K114" s="1692">
        <f t="shared" si="13"/>
        <v>13776168</v>
      </c>
      <c r="L114" s="1692">
        <f>SUM(L33,L74,L75,L102,L112,L113)</f>
        <v>14244239</v>
      </c>
    </row>
    <row r="115" spans="1:14" ht="13.5" thickTop="1" x14ac:dyDescent="0.2">
      <c r="A115" s="2183" t="s">
        <v>1053</v>
      </c>
      <c r="B115" s="2184"/>
      <c r="C115" s="619"/>
      <c r="D115" s="619"/>
      <c r="E115" s="619"/>
      <c r="F115" s="619"/>
      <c r="G115" s="619"/>
      <c r="H115" s="619"/>
      <c r="I115" s="619"/>
      <c r="J115" s="619"/>
      <c r="K115" s="1706">
        <f>'Revenues 9-14'!C275-'Expenditures 15-22'!K114</f>
        <v>268453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314</v>
      </c>
      <c r="B117" s="218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238164</v>
      </c>
      <c r="F123" s="466"/>
      <c r="G123" s="466">
        <v>441733</v>
      </c>
      <c r="H123" s="466"/>
      <c r="I123" s="467"/>
      <c r="J123" s="467"/>
      <c r="K123" s="1692">
        <f>SUM(C123:J123)</f>
        <v>679897</v>
      </c>
      <c r="L123" s="466">
        <v>665000</v>
      </c>
    </row>
    <row r="124" spans="1:14" ht="14.25" thickTop="1" thickBot="1" x14ac:dyDescent="0.25">
      <c r="A124" s="1526" t="s">
        <v>206</v>
      </c>
      <c r="B124" s="615">
        <v>2540</v>
      </c>
      <c r="C124" s="466">
        <v>57448</v>
      </c>
      <c r="D124" s="466"/>
      <c r="E124" s="466">
        <v>538590</v>
      </c>
      <c r="F124" s="466">
        <v>325543</v>
      </c>
      <c r="G124" s="466">
        <v>29157</v>
      </c>
      <c r="H124" s="466"/>
      <c r="I124" s="467"/>
      <c r="J124" s="467"/>
      <c r="K124" s="1692">
        <f>SUM(C124:J124)</f>
        <v>950738</v>
      </c>
      <c r="L124" s="466">
        <v>993391</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57448</v>
      </c>
      <c r="D127" s="1692">
        <f t="shared" ref="D127:L127" si="14">SUM(D122:D126)</f>
        <v>0</v>
      </c>
      <c r="E127" s="1692">
        <f t="shared" si="14"/>
        <v>776754</v>
      </c>
      <c r="F127" s="1692">
        <f t="shared" si="14"/>
        <v>325543</v>
      </c>
      <c r="G127" s="1692">
        <f t="shared" si="14"/>
        <v>470890</v>
      </c>
      <c r="H127" s="1692">
        <f t="shared" si="14"/>
        <v>0</v>
      </c>
      <c r="I127" s="1692">
        <f t="shared" si="14"/>
        <v>0</v>
      </c>
      <c r="J127" s="1692">
        <f t="shared" si="14"/>
        <v>0</v>
      </c>
      <c r="K127" s="1692">
        <f t="shared" si="14"/>
        <v>1630635</v>
      </c>
      <c r="L127" s="1692">
        <f t="shared" si="14"/>
        <v>1658391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57448</v>
      </c>
      <c r="D129" s="1699">
        <f t="shared" ref="D129:L129" si="15">SUM(D120,D127,D128)</f>
        <v>0</v>
      </c>
      <c r="E129" s="1699">
        <f t="shared" si="15"/>
        <v>776754</v>
      </c>
      <c r="F129" s="1699">
        <f t="shared" si="15"/>
        <v>325543</v>
      </c>
      <c r="G129" s="1699">
        <f t="shared" si="15"/>
        <v>470890</v>
      </c>
      <c r="H129" s="1699">
        <f t="shared" si="15"/>
        <v>0</v>
      </c>
      <c r="I129" s="1699">
        <f t="shared" si="15"/>
        <v>0</v>
      </c>
      <c r="J129" s="1699">
        <f t="shared" si="15"/>
        <v>0</v>
      </c>
      <c r="K129" s="1699">
        <f t="shared" si="15"/>
        <v>1630635</v>
      </c>
      <c r="L129" s="1699">
        <f t="shared" si="15"/>
        <v>1658391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475000</v>
      </c>
    </row>
    <row r="151" spans="1:14" ht="12.75" customHeight="1" thickTop="1" thickBot="1" x14ac:dyDescent="0.25">
      <c r="A151" s="2200" t="s">
        <v>641</v>
      </c>
      <c r="B151" s="2180"/>
      <c r="C151" s="1692">
        <f>SUM(C129,C130,C139,C149,C150)</f>
        <v>57448</v>
      </c>
      <c r="D151" s="1692">
        <f t="shared" ref="D151:K151" si="16">SUM(D129,D130,D139,D149,D150)</f>
        <v>0</v>
      </c>
      <c r="E151" s="1692">
        <f t="shared" si="16"/>
        <v>776754</v>
      </c>
      <c r="F151" s="1692">
        <f t="shared" si="16"/>
        <v>325543</v>
      </c>
      <c r="G151" s="1692">
        <f t="shared" si="16"/>
        <v>470890</v>
      </c>
      <c r="H151" s="1692">
        <f t="shared" si="16"/>
        <v>0</v>
      </c>
      <c r="I151" s="1692">
        <f t="shared" si="16"/>
        <v>0</v>
      </c>
      <c r="J151" s="1692">
        <f t="shared" si="16"/>
        <v>0</v>
      </c>
      <c r="K151" s="1692">
        <f t="shared" si="16"/>
        <v>1630635</v>
      </c>
      <c r="L151" s="1692">
        <f>SUM(L129,L130,L139,L149,L150)</f>
        <v>2133391</v>
      </c>
    </row>
    <row r="152" spans="1:14" ht="12.75" customHeight="1" thickTop="1" x14ac:dyDescent="0.2">
      <c r="A152" s="2203" t="s">
        <v>1240</v>
      </c>
      <c r="B152" s="2204"/>
      <c r="C152" s="619"/>
      <c r="D152" s="619"/>
      <c r="E152" s="619"/>
      <c r="F152" s="619"/>
      <c r="G152" s="619"/>
      <c r="H152" s="619"/>
      <c r="I152" s="619"/>
      <c r="J152" s="617"/>
      <c r="K152" s="1706">
        <f>'Revenues 9-14'!D275-'Expenditures 15-22'!K151</f>
        <v>505235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642</v>
      </c>
      <c r="B154" s="219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450975</v>
      </c>
      <c r="I169" s="617"/>
      <c r="J169" s="617"/>
      <c r="K169" s="1693">
        <f>SUM(C169:H169)</f>
        <v>450975</v>
      </c>
      <c r="L169" s="657">
        <v>451097</v>
      </c>
    </row>
    <row r="170" spans="1:14" ht="33.75" customHeight="1" x14ac:dyDescent="0.2">
      <c r="A170" s="670" t="s">
        <v>1769</v>
      </c>
      <c r="B170" s="672" t="s">
        <v>31</v>
      </c>
      <c r="C170" s="617"/>
      <c r="D170" s="617"/>
      <c r="E170" s="617"/>
      <c r="F170" s="617"/>
      <c r="G170" s="617"/>
      <c r="H170" s="569">
        <v>795000</v>
      </c>
      <c r="I170" s="617"/>
      <c r="J170" s="617"/>
      <c r="K170" s="1693">
        <f>SUM(C170:J170)</f>
        <v>795000</v>
      </c>
      <c r="L170" s="569">
        <v>795000</v>
      </c>
    </row>
    <row r="171" spans="1:14" ht="15.75" customHeight="1" x14ac:dyDescent="0.2">
      <c r="A171" s="622" t="s">
        <v>790</v>
      </c>
      <c r="B171" s="673" t="s">
        <v>86</v>
      </c>
      <c r="C171" s="617"/>
      <c r="D171" s="617"/>
      <c r="E171" s="466">
        <v>1500</v>
      </c>
      <c r="F171" s="617"/>
      <c r="G171" s="617"/>
      <c r="H171" s="569"/>
      <c r="I171" s="477"/>
      <c r="J171" s="617"/>
      <c r="K171" s="1693">
        <f>SUM(C171:J171)</f>
        <v>1500</v>
      </c>
      <c r="L171" s="569">
        <v>3000</v>
      </c>
    </row>
    <row r="172" spans="1:14" ht="12.75" customHeight="1" thickBot="1" x14ac:dyDescent="0.25">
      <c r="A172" s="1690" t="s">
        <v>659</v>
      </c>
      <c r="B172" s="1691" t="s">
        <v>513</v>
      </c>
      <c r="C172" s="617"/>
      <c r="D172" s="617"/>
      <c r="E172" s="1699">
        <f>SUM(E168,E169,E170,E171)</f>
        <v>1500</v>
      </c>
      <c r="F172" s="617"/>
      <c r="G172" s="617"/>
      <c r="H172" s="1699">
        <f>SUM(H168,H169,H170,H171)</f>
        <v>1245975</v>
      </c>
      <c r="I172" s="639"/>
      <c r="J172" s="617"/>
      <c r="K172" s="1699">
        <f>SUM(K168,K169,K170,K171)</f>
        <v>1247475</v>
      </c>
      <c r="L172" s="1699">
        <f>SUM(L168,L169,L170,L171)</f>
        <v>1249097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1500</v>
      </c>
      <c r="F174" s="617"/>
      <c r="G174" s="617"/>
      <c r="H174" s="1699">
        <f>SUM(H160,H172,H173)</f>
        <v>1245975</v>
      </c>
      <c r="I174" s="639"/>
      <c r="J174" s="617"/>
      <c r="K174" s="1699">
        <f>SUM(K160,K172,K173)</f>
        <v>1247475</v>
      </c>
      <c r="L174" s="1699">
        <f>SUM(L160,L172,L173)</f>
        <v>1249097</v>
      </c>
    </row>
    <row r="175" spans="1:14" ht="13.5" thickTop="1" x14ac:dyDescent="0.2">
      <c r="A175" s="2183" t="s">
        <v>1053</v>
      </c>
      <c r="B175" s="2184"/>
      <c r="C175" s="617"/>
      <c r="D175" s="617"/>
      <c r="E175" s="617"/>
      <c r="F175" s="617"/>
      <c r="G175" s="617"/>
      <c r="H175" s="619"/>
      <c r="I175" s="617"/>
      <c r="J175" s="617"/>
      <c r="K175" s="1706">
        <f>'Revenues 9-14'!E275-'Expenditures 15-22'!K174</f>
        <v>5790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183172</v>
      </c>
      <c r="D182" s="466">
        <v>7087</v>
      </c>
      <c r="E182" s="466">
        <v>277277</v>
      </c>
      <c r="F182" s="466">
        <v>32253</v>
      </c>
      <c r="G182" s="466"/>
      <c r="H182" s="466">
        <v>240</v>
      </c>
      <c r="I182" s="467"/>
      <c r="J182" s="467"/>
      <c r="K182" s="1693">
        <f>SUM(C182:J182)</f>
        <v>500029</v>
      </c>
      <c r="L182" s="466">
        <v>612494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183172</v>
      </c>
      <c r="D184" s="1699">
        <f t="shared" ref="D184:J184" si="17">SUM(D180,D182,D183)</f>
        <v>7087</v>
      </c>
      <c r="E184" s="1699">
        <f t="shared" si="17"/>
        <v>277277</v>
      </c>
      <c r="F184" s="1699">
        <f t="shared" si="17"/>
        <v>32253</v>
      </c>
      <c r="G184" s="1699">
        <f t="shared" si="17"/>
        <v>0</v>
      </c>
      <c r="H184" s="1699">
        <f t="shared" si="17"/>
        <v>240</v>
      </c>
      <c r="I184" s="1699">
        <f t="shared" si="17"/>
        <v>0</v>
      </c>
      <c r="J184" s="1699">
        <f t="shared" si="17"/>
        <v>0</v>
      </c>
      <c r="K184" s="1699">
        <f>SUM(K180,K182,K183)</f>
        <v>500029</v>
      </c>
      <c r="L184" s="1699">
        <f>SUM(L180, L182:L183)</f>
        <v>612494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85806</v>
      </c>
    </row>
    <row r="210" spans="1:14" ht="12.75" customHeight="1" thickTop="1" thickBot="1" x14ac:dyDescent="0.25">
      <c r="A210" s="1714" t="s">
        <v>295</v>
      </c>
      <c r="B210" s="1715"/>
      <c r="C210" s="1692">
        <f>SUM(C184,C185)</f>
        <v>183172</v>
      </c>
      <c r="D210" s="1692">
        <f>SUM(D184,D185)</f>
        <v>7087</v>
      </c>
      <c r="E210" s="1692">
        <f>SUM(E184,E185,E196)</f>
        <v>277277</v>
      </c>
      <c r="F210" s="1692">
        <f>SUM(F184,F185)</f>
        <v>32253</v>
      </c>
      <c r="G210" s="1692">
        <f>SUM(G184,G185)</f>
        <v>0</v>
      </c>
      <c r="H210" s="1692">
        <f>SUM(H184,H185,H196,H208,H209)</f>
        <v>240</v>
      </c>
      <c r="I210" s="1692">
        <f>SUM(I184,I185)</f>
        <v>0</v>
      </c>
      <c r="J210" s="1692">
        <f>SUM(J184,J185)</f>
        <v>0</v>
      </c>
      <c r="K210" s="1693">
        <f>SUM(K184,K185,K196,K208,K209)</f>
        <v>500029</v>
      </c>
      <c r="L210" s="1692">
        <f>SUM(L184,L185,L196,L208,L209)</f>
        <v>698300</v>
      </c>
    </row>
    <row r="211" spans="1:14" ht="13.5" thickTop="1" x14ac:dyDescent="0.2">
      <c r="A211" s="2183" t="s">
        <v>1053</v>
      </c>
      <c r="B211" s="2184"/>
      <c r="C211" s="619"/>
      <c r="D211" s="619"/>
      <c r="E211" s="619"/>
      <c r="F211" s="619"/>
      <c r="G211" s="619"/>
      <c r="H211" s="619"/>
      <c r="I211" s="617"/>
      <c r="J211" s="617"/>
      <c r="K211" s="1706">
        <f>'Revenues 9-14'!F275-'Expenditures 15-22'!K210</f>
        <v>228218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1022</v>
      </c>
      <c r="B213" s="220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119045</v>
      </c>
      <c r="E215" s="617"/>
      <c r="F215" s="617"/>
      <c r="G215" s="617"/>
      <c r="H215" s="617"/>
      <c r="I215" s="617"/>
      <c r="J215" s="617"/>
      <c r="K215" s="1693">
        <f>D215</f>
        <v>119045</v>
      </c>
      <c r="L215" s="466"/>
    </row>
    <row r="216" spans="1:14" x14ac:dyDescent="0.2">
      <c r="A216" s="1526" t="s">
        <v>165</v>
      </c>
      <c r="B216" s="615" t="s">
        <v>1024</v>
      </c>
      <c r="C216" s="617"/>
      <c r="D216" s="467"/>
      <c r="E216" s="617"/>
      <c r="F216" s="617"/>
      <c r="G216" s="617"/>
      <c r="H216" s="617"/>
      <c r="I216" s="617"/>
      <c r="J216" s="617"/>
      <c r="K216" s="1693">
        <f t="shared" ref="K216:K228" si="19">D216</f>
        <v>0</v>
      </c>
      <c r="L216" s="466">
        <v>164738</v>
      </c>
    </row>
    <row r="217" spans="1:14" x14ac:dyDescent="0.2">
      <c r="A217" s="1526" t="s">
        <v>166</v>
      </c>
      <c r="B217" s="615">
        <v>1200</v>
      </c>
      <c r="C217" s="617"/>
      <c r="D217" s="466">
        <v>61156</v>
      </c>
      <c r="E217" s="617"/>
      <c r="F217" s="617"/>
      <c r="G217" s="617"/>
      <c r="H217" s="617"/>
      <c r="I217" s="617"/>
      <c r="J217" s="617"/>
      <c r="K217" s="1693">
        <f t="shared" si="19"/>
        <v>61156</v>
      </c>
      <c r="L217" s="466">
        <v>17380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665</v>
      </c>
      <c r="E219" s="617"/>
      <c r="F219" s="617"/>
      <c r="G219" s="617"/>
      <c r="H219" s="617"/>
      <c r="I219" s="617"/>
      <c r="J219" s="617"/>
      <c r="K219" s="1693">
        <f t="shared" si="19"/>
        <v>665</v>
      </c>
      <c r="L219" s="466">
        <v>600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14480</v>
      </c>
      <c r="E223" s="617"/>
      <c r="F223" s="617"/>
      <c r="G223" s="617"/>
      <c r="H223" s="617"/>
      <c r="I223" s="617"/>
      <c r="J223" s="617"/>
      <c r="K223" s="1693">
        <f t="shared" si="19"/>
        <v>14480</v>
      </c>
      <c r="L223" s="466">
        <v>13440</v>
      </c>
    </row>
    <row r="224" spans="1:14" x14ac:dyDescent="0.2">
      <c r="A224" s="1526" t="s">
        <v>1021</v>
      </c>
      <c r="B224" s="615">
        <v>1600</v>
      </c>
      <c r="C224" s="617"/>
      <c r="D224" s="466">
        <v>338</v>
      </c>
      <c r="E224" s="617"/>
      <c r="F224" s="617"/>
      <c r="G224" s="617"/>
      <c r="H224" s="617"/>
      <c r="I224" s="617"/>
      <c r="J224" s="617"/>
      <c r="K224" s="1693">
        <f t="shared" si="19"/>
        <v>338</v>
      </c>
      <c r="L224" s="466">
        <v>160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3449</v>
      </c>
      <c r="E226" s="617"/>
      <c r="F226" s="617"/>
      <c r="G226" s="617"/>
      <c r="H226" s="617"/>
      <c r="I226" s="617"/>
      <c r="J226" s="617"/>
      <c r="K226" s="1693">
        <f t="shared" si="19"/>
        <v>3449</v>
      </c>
      <c r="L226" s="466">
        <v>3100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199133</v>
      </c>
      <c r="E229" s="617"/>
      <c r="F229" s="617"/>
      <c r="G229" s="617"/>
      <c r="H229" s="617"/>
      <c r="I229" s="617"/>
      <c r="J229" s="617"/>
      <c r="K229" s="1692">
        <f>SUM(K215:K228)</f>
        <v>199133</v>
      </c>
      <c r="L229" s="1692">
        <f>SUM(L215:L228)</f>
        <v>199418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15305</v>
      </c>
      <c r="E232" s="617"/>
      <c r="F232" s="617"/>
      <c r="G232" s="617"/>
      <c r="H232" s="617"/>
      <c r="I232" s="617"/>
      <c r="J232" s="617"/>
      <c r="K232" s="1693">
        <f t="shared" ref="K232:K237" si="20">D232</f>
        <v>15305</v>
      </c>
      <c r="L232" s="466">
        <v>15220</v>
      </c>
    </row>
    <row r="233" spans="1:12" x14ac:dyDescent="0.2">
      <c r="A233" s="1526" t="s">
        <v>1151</v>
      </c>
      <c r="B233" s="615">
        <v>2120</v>
      </c>
      <c r="C233" s="617"/>
      <c r="D233" s="466">
        <v>17361</v>
      </c>
      <c r="E233" s="617"/>
      <c r="F233" s="617"/>
      <c r="G233" s="617"/>
      <c r="H233" s="617"/>
      <c r="I233" s="617"/>
      <c r="J233" s="617"/>
      <c r="K233" s="1693">
        <f t="shared" si="20"/>
        <v>17361</v>
      </c>
      <c r="L233" s="466">
        <v>19740</v>
      </c>
    </row>
    <row r="234" spans="1:12" x14ac:dyDescent="0.2">
      <c r="A234" s="1526" t="s">
        <v>207</v>
      </c>
      <c r="B234" s="615">
        <v>2130</v>
      </c>
      <c r="C234" s="617"/>
      <c r="D234" s="466">
        <v>6952</v>
      </c>
      <c r="E234" s="617"/>
      <c r="F234" s="617"/>
      <c r="G234" s="617"/>
      <c r="H234" s="617"/>
      <c r="I234" s="617"/>
      <c r="J234" s="617"/>
      <c r="K234" s="1693">
        <f t="shared" si="20"/>
        <v>6952</v>
      </c>
      <c r="L234" s="466">
        <v>7225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39618</v>
      </c>
      <c r="E238" s="617"/>
      <c r="F238" s="617"/>
      <c r="G238" s="617"/>
      <c r="H238" s="617"/>
      <c r="I238" s="617"/>
      <c r="J238" s="617"/>
      <c r="K238" s="1692">
        <f>SUM(K232:K237)</f>
        <v>39618</v>
      </c>
      <c r="L238" s="1692">
        <f>SUM(L232:L237)</f>
        <v>42185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168</v>
      </c>
      <c r="E240" s="617"/>
      <c r="F240" s="617"/>
      <c r="G240" s="617"/>
      <c r="H240" s="617"/>
      <c r="I240" s="617"/>
      <c r="J240" s="617"/>
      <c r="K240" s="1694">
        <f>D240</f>
        <v>168</v>
      </c>
      <c r="L240" s="481"/>
    </row>
    <row r="241" spans="1:12" x14ac:dyDescent="0.2">
      <c r="A241" s="1526" t="s">
        <v>869</v>
      </c>
      <c r="B241" s="615">
        <v>2220</v>
      </c>
      <c r="C241" s="617"/>
      <c r="D241" s="466">
        <v>5934</v>
      </c>
      <c r="E241" s="617"/>
      <c r="F241" s="617"/>
      <c r="G241" s="617"/>
      <c r="H241" s="617"/>
      <c r="I241" s="617"/>
      <c r="J241" s="617"/>
      <c r="K241" s="1694">
        <f>D241</f>
        <v>5934</v>
      </c>
      <c r="L241" s="466">
        <v>6335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6102</v>
      </c>
      <c r="E243" s="617"/>
      <c r="F243" s="617"/>
      <c r="G243" s="617"/>
      <c r="H243" s="617"/>
      <c r="I243" s="617"/>
      <c r="J243" s="617"/>
      <c r="K243" s="1692">
        <f>SUM(K240:K242)</f>
        <v>6102</v>
      </c>
      <c r="L243" s="1692">
        <f>SUM(L240:L242)</f>
        <v>6335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1052</v>
      </c>
      <c r="E245" s="617"/>
      <c r="F245" s="617"/>
      <c r="G245" s="617"/>
      <c r="H245" s="617"/>
      <c r="I245" s="617"/>
      <c r="J245" s="617"/>
      <c r="K245" s="1694">
        <f>D245</f>
        <v>1052</v>
      </c>
      <c r="L245" s="481">
        <v>1060</v>
      </c>
    </row>
    <row r="246" spans="1:12" x14ac:dyDescent="0.2">
      <c r="A246" s="1526" t="s">
        <v>872</v>
      </c>
      <c r="B246" s="615">
        <v>2320</v>
      </c>
      <c r="C246" s="617"/>
      <c r="D246" s="466">
        <v>16910</v>
      </c>
      <c r="E246" s="617"/>
      <c r="F246" s="617"/>
      <c r="G246" s="617"/>
      <c r="H246" s="617"/>
      <c r="I246" s="617"/>
      <c r="J246" s="617"/>
      <c r="K246" s="1694">
        <f t="shared" ref="K246:K256" si="21">D246</f>
        <v>16910</v>
      </c>
      <c r="L246" s="466">
        <v>18555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17962</v>
      </c>
      <c r="E257" s="617"/>
      <c r="F257" s="617"/>
      <c r="G257" s="617"/>
      <c r="H257" s="617"/>
      <c r="I257" s="617"/>
      <c r="J257" s="617"/>
      <c r="K257" s="1692">
        <f>SUM(K245:K256)</f>
        <v>17962</v>
      </c>
      <c r="L257" s="1692">
        <f>SUM(L245:L256)</f>
        <v>19615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11328</v>
      </c>
      <c r="E259" s="617"/>
      <c r="F259" s="617"/>
      <c r="G259" s="617"/>
      <c r="H259" s="617"/>
      <c r="I259" s="617"/>
      <c r="J259" s="617"/>
      <c r="K259" s="1694">
        <f>D259</f>
        <v>11328</v>
      </c>
      <c r="L259" s="481">
        <v>16745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11328</v>
      </c>
      <c r="E261" s="617"/>
      <c r="F261" s="617"/>
      <c r="G261" s="617"/>
      <c r="H261" s="617"/>
      <c r="I261" s="617"/>
      <c r="J261" s="617"/>
      <c r="K261" s="1692">
        <f>SUM(K259:K260)</f>
        <v>11328</v>
      </c>
      <c r="L261" s="1692">
        <f>SUM(L259:L260)</f>
        <v>16745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1064</v>
      </c>
      <c r="E263" s="617"/>
      <c r="F263" s="617"/>
      <c r="G263" s="617"/>
      <c r="H263" s="617"/>
      <c r="I263" s="617"/>
      <c r="J263" s="617"/>
      <c r="K263" s="1694">
        <f>D263</f>
        <v>1064</v>
      </c>
      <c r="L263" s="481">
        <v>1125</v>
      </c>
    </row>
    <row r="264" spans="1:14" x14ac:dyDescent="0.2">
      <c r="A264" s="1526" t="s">
        <v>483</v>
      </c>
      <c r="B264" s="686">
        <v>2520</v>
      </c>
      <c r="C264" s="617"/>
      <c r="D264" s="466">
        <v>17566</v>
      </c>
      <c r="E264" s="617"/>
      <c r="F264" s="617"/>
      <c r="G264" s="617"/>
      <c r="H264" s="617"/>
      <c r="I264" s="617"/>
      <c r="J264" s="617"/>
      <c r="K264" s="1694">
        <f t="shared" ref="K264:K269" si="22">D264</f>
        <v>17566</v>
      </c>
      <c r="L264" s="466">
        <v>16345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66587</v>
      </c>
      <c r="E266" s="617"/>
      <c r="F266" s="617"/>
      <c r="G266" s="617"/>
      <c r="H266" s="617"/>
      <c r="I266" s="617"/>
      <c r="J266" s="617"/>
      <c r="K266" s="1694">
        <f t="shared" si="22"/>
        <v>66587</v>
      </c>
      <c r="L266" s="466">
        <v>55700</v>
      </c>
    </row>
    <row r="267" spans="1:14" x14ac:dyDescent="0.2">
      <c r="A267" s="1526" t="s">
        <v>1010</v>
      </c>
      <c r="B267" s="615">
        <v>2550</v>
      </c>
      <c r="C267" s="617"/>
      <c r="D267" s="466">
        <v>25687</v>
      </c>
      <c r="E267" s="617"/>
      <c r="F267" s="617"/>
      <c r="G267" s="617"/>
      <c r="H267" s="617"/>
      <c r="I267" s="617"/>
      <c r="J267" s="617"/>
      <c r="K267" s="1694">
        <f t="shared" si="22"/>
        <v>25687</v>
      </c>
      <c r="L267" s="466">
        <v>26775</v>
      </c>
    </row>
    <row r="268" spans="1:14" x14ac:dyDescent="0.2">
      <c r="A268" s="1526" t="s">
        <v>102</v>
      </c>
      <c r="B268" s="615">
        <v>2560</v>
      </c>
      <c r="C268" s="617"/>
      <c r="D268" s="466">
        <v>31060</v>
      </c>
      <c r="E268" s="617"/>
      <c r="F268" s="617"/>
      <c r="G268" s="617"/>
      <c r="H268" s="617"/>
      <c r="I268" s="617"/>
      <c r="J268" s="617"/>
      <c r="K268" s="1694">
        <f t="shared" si="22"/>
        <v>31060</v>
      </c>
      <c r="L268" s="466">
        <v>34145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141964</v>
      </c>
      <c r="E270" s="617"/>
      <c r="F270" s="617"/>
      <c r="G270" s="617"/>
      <c r="H270" s="617"/>
      <c r="I270" s="617"/>
      <c r="J270" s="617"/>
      <c r="K270" s="1692">
        <f>SUM(K263:K269)</f>
        <v>141964</v>
      </c>
      <c r="L270" s="1692">
        <f>SUM(L263:L269)</f>
        <v>134090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216974</v>
      </c>
      <c r="E279" s="617"/>
      <c r="F279" s="617"/>
      <c r="G279" s="617"/>
      <c r="H279" s="617"/>
      <c r="I279" s="617"/>
      <c r="J279" s="617"/>
      <c r="K279" s="1699">
        <f>SUM(K238,K243,K257,K261,K270,K277,K278)</f>
        <v>216974</v>
      </c>
      <c r="L279" s="1699">
        <f>SUM(L238,L243,L257,L261,L270,L277,L278)</f>
        <v>218970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1" t="s">
        <v>526</v>
      </c>
      <c r="B295" s="2202"/>
      <c r="C295" s="617"/>
      <c r="D295" s="1692">
        <f>SUM(D229,D279,D280,D285)</f>
        <v>416107</v>
      </c>
      <c r="E295" s="617"/>
      <c r="F295" s="617"/>
      <c r="G295" s="617"/>
      <c r="H295" s="1692">
        <f>H293</f>
        <v>0</v>
      </c>
      <c r="I295" s="617"/>
      <c r="J295" s="617"/>
      <c r="K295" s="1692">
        <f>SUM(K229,K279,K280,K285,K293,K294)</f>
        <v>416107</v>
      </c>
      <c r="L295" s="1692">
        <f>SUM(L229,L279,L280,L285,L293,L294)</f>
        <v>418388</v>
      </c>
    </row>
    <row r="296" spans="1:14" ht="13.5" thickTop="1" x14ac:dyDescent="0.2">
      <c r="A296" s="2183" t="s">
        <v>1053</v>
      </c>
      <c r="B296" s="2184"/>
      <c r="C296" s="617"/>
      <c r="D296" s="619"/>
      <c r="E296" s="617"/>
      <c r="F296" s="617"/>
      <c r="G296" s="617"/>
      <c r="H296" s="688"/>
      <c r="I296" s="617"/>
      <c r="J296" s="617"/>
      <c r="K296" s="1706">
        <f>'Revenues 9-14'!G275-'Expenditures 15-22'!K295</f>
        <v>-66031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8" t="s">
        <v>295</v>
      </c>
      <c r="B312" s="219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4" t="s">
        <v>1053</v>
      </c>
      <c r="B313" s="219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954</v>
      </c>
      <c r="B317" s="220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v>64679</v>
      </c>
      <c r="I322" s="467"/>
      <c r="J322" s="467"/>
      <c r="K322" s="1693">
        <f t="shared" si="24"/>
        <v>64679</v>
      </c>
      <c r="L322" s="467">
        <v>72000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8000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64679</v>
      </c>
      <c r="I330" s="1692">
        <f t="shared" si="25"/>
        <v>0</v>
      </c>
      <c r="J330" s="1692">
        <f t="shared" si="25"/>
        <v>0</v>
      </c>
      <c r="K330" s="1692">
        <f>SUM(K319:K329)</f>
        <v>64679</v>
      </c>
      <c r="L330" s="1692">
        <f>SUM(L319:L329)</f>
        <v>80000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64679</v>
      </c>
      <c r="I342" s="1692">
        <f>SUM(I330)</f>
        <v>0</v>
      </c>
      <c r="J342" s="1692">
        <f>SUM(J330)</f>
        <v>0</v>
      </c>
      <c r="K342" s="1692">
        <f>SUM(K330,K334,K340)</f>
        <v>64679</v>
      </c>
      <c r="L342" s="1699">
        <f>SUM(L330,L340,L341)</f>
        <v>80000</v>
      </c>
    </row>
    <row r="343" spans="1:14" ht="12.75" customHeight="1" thickTop="1" x14ac:dyDescent="0.2">
      <c r="A343" s="2196" t="s">
        <v>1053</v>
      </c>
      <c r="B343" s="2197"/>
      <c r="C343" s="617"/>
      <c r="D343" s="617"/>
      <c r="E343" s="617"/>
      <c r="F343" s="617"/>
      <c r="G343" s="617"/>
      <c r="H343" s="617"/>
      <c r="I343" s="617"/>
      <c r="J343" s="617"/>
      <c r="K343" s="1706">
        <f>'Revenues 9-14'!J275-'Expenditures 15-22'!K342</f>
        <v>14357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1023</v>
      </c>
      <c r="B345" s="218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124642</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124642</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124642</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124642</v>
      </c>
    </row>
    <row r="368" spans="1:14" ht="13.5" thickTop="1" x14ac:dyDescent="0.2">
      <c r="A368" s="2183" t="s">
        <v>1053</v>
      </c>
      <c r="B368" s="2184"/>
      <c r="C368" s="655"/>
      <c r="D368" s="655"/>
      <c r="E368" s="627"/>
      <c r="F368" s="627"/>
      <c r="G368" s="627"/>
      <c r="H368" s="627"/>
      <c r="I368" s="627"/>
      <c r="J368" s="624"/>
      <c r="K368" s="1693">
        <f>'Revenues 9-14'!K275-'Expenditures 15-22'!K367</f>
        <v>9936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schemas.microsoft.com/sharepoint/v3"/>
    <ds:schemaRef ds:uri="http://purl.org/dc/dcmitype/"/>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2018-10-05T18:24:10Z</cp:lastPrinted>
  <dcterms:created xsi:type="dcterms:W3CDTF">2003-10-29T19:06:34Z</dcterms:created>
  <dcterms:modified xsi:type="dcterms:W3CDTF">2018-10-22T16:15:32Z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