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88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calcOnSave="0"/>
</workbook>
</file>

<file path=xl/calcChain.xml><?xml version="1.0" encoding="utf-8"?>
<calcChain xmlns="http://schemas.openxmlformats.org/spreadsheetml/2006/main">
  <c r="C9" i="4" l="1"/>
  <c r="J85" i="28" l="1"/>
  <c r="J32" i="8" l="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G21" i="181"/>
  <c r="E21" i="181"/>
  <c r="G20" i="181"/>
  <c r="E20" i="181"/>
  <c r="E19" i="181"/>
  <c r="G19" i="181" s="1"/>
  <c r="G18" i="181"/>
  <c r="E18" i="181"/>
  <c r="D141" i="181" l="1"/>
  <c r="D80" i="36" l="1"/>
  <c r="B7797" i="106"/>
  <c r="E141" i="181"/>
  <c r="E17" i="181"/>
  <c r="E16" i="181"/>
  <c r="F16" i="181" s="1"/>
  <c r="G16" i="181" s="1"/>
  <c r="G17" i="181" l="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7"/>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B7758" i="106"/>
  <c r="D7758" i="106" s="1"/>
  <c r="J88" i="28"/>
  <c r="K6" i="29"/>
  <c r="B7763" i="106" s="1"/>
  <c r="B7762" i="106"/>
  <c r="K12" i="12"/>
  <c r="K23" i="12"/>
  <c r="J12" i="12"/>
  <c r="J21" i="12"/>
  <c r="J23" i="12"/>
  <c r="B7729" i="106"/>
  <c r="B7734" i="106"/>
  <c r="B7726" i="10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C259" i="5"/>
  <c r="B6833" i="106" s="1"/>
  <c r="D6833" i="106" s="1"/>
  <c r="B7761" i="106"/>
  <c r="L127" i="29"/>
  <c r="L129" i="29" s="1"/>
  <c r="L139" i="29"/>
  <c r="L149" i="29"/>
  <c r="I7" i="145"/>
  <c r="I6" i="145"/>
  <c r="D82" i="36"/>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J77" i="4" s="1"/>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E26" i="108"/>
  <c r="F26" i="108"/>
  <c r="G26" i="108"/>
  <c r="D27" i="108"/>
  <c r="E27" i="108"/>
  <c r="F27" i="108"/>
  <c r="G27"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F111" i="34" s="1"/>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G5" i="4"/>
  <c r="B3409" i="106" s="1"/>
  <c r="D3409"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D22" i="37"/>
  <c r="J22" i="37"/>
  <c r="D4" i="7"/>
  <c r="B1760" i="106" s="1"/>
  <c r="D1760" i="106" s="1"/>
  <c r="D13" i="7"/>
  <c r="B3726" i="106" s="1"/>
  <c r="D3726" i="106" s="1"/>
  <c r="B5752" i="106"/>
  <c r="D5752" i="106" s="1"/>
  <c r="B5599" i="106"/>
  <c r="D5599" i="106" s="1"/>
  <c r="F106" i="34"/>
  <c r="D7" i="7"/>
  <c r="B1763" i="106" s="1"/>
  <c r="D1763" i="106" s="1"/>
  <c r="D11" i="7"/>
  <c r="B1768" i="106" s="1"/>
  <c r="D1768" i="106" s="1"/>
  <c r="D24" i="37" l="1"/>
  <c r="B4270" i="106" s="1"/>
  <c r="D4270" i="106" s="1"/>
  <c r="N22" i="3"/>
  <c r="B283" i="106" s="1"/>
  <c r="D283" i="106" s="1"/>
  <c r="D17" i="7"/>
  <c r="B4104" i="106" s="1"/>
  <c r="D4104" i="106" s="1"/>
  <c r="I24" i="12"/>
  <c r="D68" i="36"/>
  <c r="H28" i="118"/>
  <c r="L22" i="37"/>
  <c r="D12" i="7"/>
  <c r="B1769" i="106" s="1"/>
  <c r="D1769" i="106" s="1"/>
  <c r="H365" i="29"/>
  <c r="B7242" i="106" s="1"/>
  <c r="D7242" i="106" s="1"/>
  <c r="E174" i="29"/>
  <c r="B1309" i="106" s="1"/>
  <c r="D1309" i="106" s="1"/>
  <c r="H109" i="5"/>
  <c r="B6025" i="106" s="1"/>
  <c r="D6025" i="106" s="1"/>
  <c r="F131" i="34"/>
  <c r="H173" i="5"/>
  <c r="B5906" i="106" s="1"/>
  <c r="D5906" i="106" s="1"/>
  <c r="D5" i="4"/>
  <c r="B3406" i="106" s="1"/>
  <c r="D3406" i="106" s="1"/>
  <c r="F127" i="34"/>
  <c r="K76" i="4"/>
  <c r="B3586" i="106" s="1"/>
  <c r="D3586" i="106" s="1"/>
  <c r="B6261" i="106"/>
  <c r="D6261" i="106" s="1"/>
  <c r="D6103" i="106"/>
  <c r="L15" i="11"/>
  <c r="B3459" i="106" s="1"/>
  <c r="D3459" i="106" s="1"/>
  <c r="J352" i="29"/>
  <c r="J367" i="29" s="1"/>
  <c r="B7245" i="106" s="1"/>
  <c r="D7245" i="106" s="1"/>
  <c r="C352" i="29"/>
  <c r="L367" i="29"/>
  <c r="I173" i="5"/>
  <c r="B4216" i="106" s="1"/>
  <c r="D4216" i="106" s="1"/>
  <c r="E109" i="5"/>
  <c r="E4" i="4" s="1"/>
  <c r="B2630" i="106" s="1"/>
  <c r="D2630" i="106" s="1"/>
  <c r="G172" i="5"/>
  <c r="G173" i="5" s="1"/>
  <c r="B5778" i="106" s="1"/>
  <c r="D5778" i="106" s="1"/>
  <c r="F77" i="4"/>
  <c r="B3255" i="106" s="1"/>
  <c r="D3255" i="106" s="1"/>
  <c r="K41" i="3"/>
  <c r="F128" i="34"/>
  <c r="D54" i="36"/>
  <c r="G29" i="108"/>
  <c r="D11" i="37"/>
  <c r="D31" i="36"/>
  <c r="H29" i="118"/>
  <c r="F19" i="7"/>
  <c r="B1807" i="106" s="1"/>
  <c r="D1807" i="106" s="1"/>
  <c r="D5" i="7"/>
  <c r="B1761" i="106" s="1"/>
  <c r="D1761" i="106" s="1"/>
  <c r="B1746" i="106"/>
  <c r="D1746" i="106" s="1"/>
  <c r="H33" i="118"/>
  <c r="L13" i="11"/>
  <c r="B2060" i="106" s="1"/>
  <c r="D2060" i="106" s="1"/>
  <c r="L5" i="11"/>
  <c r="B2056" i="106" s="1"/>
  <c r="D2056" i="106" s="1"/>
  <c r="E29" i="108"/>
  <c r="F28" i="108"/>
  <c r="F41" i="108" s="1"/>
  <c r="G43" i="108" s="1"/>
  <c r="E28" i="108"/>
  <c r="C172" i="5"/>
  <c r="B5214" i="106" s="1"/>
  <c r="D5214" i="106" s="1"/>
  <c r="B5096" i="106"/>
  <c r="D5096" i="106" s="1"/>
  <c r="C109" i="5"/>
  <c r="B5121" i="106" s="1"/>
  <c r="D5121" i="106" s="1"/>
  <c r="B5770" i="106"/>
  <c r="D5770" i="106" s="1"/>
  <c r="D15" i="7"/>
  <c r="B1772" i="106" s="1"/>
  <c r="D1772" i="106" s="1"/>
  <c r="D109" i="5"/>
  <c r="K274" i="5"/>
  <c r="K7" i="4" s="1"/>
  <c r="B3718" i="106" s="1"/>
  <c r="D3718" i="106" s="1"/>
  <c r="F130" i="34"/>
  <c r="D9" i="7"/>
  <c r="B1767" i="106" s="1"/>
  <c r="D1767" i="106" s="1"/>
  <c r="I274" i="5"/>
  <c r="B5232" i="106"/>
  <c r="D5232" i="106" s="1"/>
  <c r="B5161" i="106"/>
  <c r="D5161" i="106" s="1"/>
  <c r="G109" i="5"/>
  <c r="B5066" i="106"/>
  <c r="D5066" i="106" s="1"/>
  <c r="L342" i="29"/>
  <c r="B7235" i="106"/>
  <c r="D7235" i="106" s="1"/>
  <c r="C342" i="29"/>
  <c r="B7216" i="106" s="1"/>
  <c r="D7216" i="106" s="1"/>
  <c r="H4" i="4"/>
  <c r="B2655" i="106" s="1"/>
  <c r="D2655" i="106" s="1"/>
  <c r="B3649" i="106"/>
  <c r="D3649" i="106" s="1"/>
  <c r="G367" i="29"/>
  <c r="B7041" i="106"/>
  <c r="D7041" i="106" s="1"/>
  <c r="H6" i="4"/>
  <c r="B2656" i="106" s="1"/>
  <c r="D2656" i="106" s="1"/>
  <c r="F136" i="34"/>
  <c r="K173" i="5"/>
  <c r="K6" i="4" s="1"/>
  <c r="B3570" i="106" s="1"/>
  <c r="D3570" i="106" s="1"/>
  <c r="F172" i="5"/>
  <c r="B5644" i="106" s="1"/>
  <c r="D5644" i="106" s="1"/>
  <c r="L312" i="29"/>
  <c r="I342" i="29"/>
  <c r="B7222" i="106" s="1"/>
  <c r="D7222" i="106" s="1"/>
  <c r="B6191" i="106"/>
  <c r="D6191" i="106" s="1"/>
  <c r="K350" i="29"/>
  <c r="F21" i="8"/>
  <c r="B1223" i="106"/>
  <c r="D1223" i="106" s="1"/>
  <c r="K24" i="12"/>
  <c r="B3621" i="106"/>
  <c r="D3621" i="106" s="1"/>
  <c r="C367" i="29"/>
  <c r="G210" i="29"/>
  <c r="K285" i="29"/>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H8"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L151" i="29"/>
  <c r="C273" i="5"/>
  <c r="J24" i="12"/>
  <c r="B7730" i="106"/>
  <c r="D7730" i="106" s="1"/>
  <c r="B5914" i="106"/>
  <c r="D5914" i="106" s="1"/>
  <c r="J7" i="4"/>
  <c r="B2657" i="106"/>
  <c r="D2657" i="106" s="1"/>
  <c r="B3447" i="106"/>
  <c r="D3447" i="106" s="1"/>
  <c r="B7270" i="106"/>
  <c r="D7255" i="106" l="1"/>
  <c r="D7251" i="106"/>
  <c r="D7252" i="106"/>
  <c r="K28" i="118"/>
  <c r="O27" i="118" s="1"/>
  <c r="O29" i="118" s="1"/>
  <c r="B1996" i="106"/>
  <c r="D1996" i="106" s="1"/>
  <c r="I26" i="12"/>
  <c r="B7741" i="106" s="1"/>
  <c r="D7741" i="106" s="1"/>
  <c r="D274" i="5"/>
  <c r="H275" i="5"/>
  <c r="B6014" i="106"/>
  <c r="D6014" i="106" s="1"/>
  <c r="D7253" i="106"/>
  <c r="D7254" i="106"/>
  <c r="D7250" i="106"/>
  <c r="B3568" i="106"/>
  <c r="D3568" i="106" s="1"/>
  <c r="D52" i="36"/>
  <c r="L16" i="11"/>
  <c r="B2061" i="106" s="1"/>
  <c r="D2061" i="106" s="1"/>
  <c r="G6" i="4"/>
  <c r="B2604" i="106" s="1"/>
  <c r="D2604" i="106" s="1"/>
  <c r="B1317" i="106"/>
  <c r="D1317" i="106" s="1"/>
  <c r="C114" i="29"/>
  <c r="B757" i="106" s="1"/>
  <c r="D757" i="106" s="1"/>
  <c r="C173" i="5"/>
  <c r="B5223" i="106" s="1"/>
  <c r="D5223" i="106" s="1"/>
  <c r="C4" i="4"/>
  <c r="B2551" i="106" s="1"/>
  <c r="D2551" i="106" s="1"/>
  <c r="D19" i="7"/>
  <c r="B1775" i="106" s="1"/>
  <c r="D1775" i="106" s="1"/>
  <c r="K342" i="29"/>
  <c r="F13" i="34" s="1"/>
  <c r="F173" i="5"/>
  <c r="B1879" i="106"/>
  <c r="D1879" i="106" s="1"/>
  <c r="H22" i="37"/>
  <c r="F73" i="34"/>
  <c r="G15" i="4"/>
  <c r="B6032" i="106" s="1"/>
  <c r="D6032" i="106" s="1"/>
  <c r="B3670" i="106"/>
  <c r="D3670" i="106" s="1"/>
  <c r="K352" i="29"/>
  <c r="H367" i="29"/>
  <c r="B3660" i="106" s="1"/>
  <c r="D3660" i="106" s="1"/>
  <c r="B7733" i="106"/>
  <c r="D7733" i="106" s="1"/>
  <c r="K26" i="12"/>
  <c r="B7743" i="106" s="1"/>
  <c r="D7743" i="106" s="1"/>
  <c r="B6024" i="106"/>
  <c r="D6024" i="106" s="1"/>
  <c r="G4" i="4"/>
  <c r="B2603" i="106" s="1"/>
  <c r="D2603" i="106" s="1"/>
  <c r="B5356" i="106"/>
  <c r="D5356" i="106" s="1"/>
  <c r="D4" i="4"/>
  <c r="B2564" i="106" s="1"/>
  <c r="D2564" i="106" s="1"/>
  <c r="F274" i="5"/>
  <c r="B1365" i="106"/>
  <c r="D1365" i="106" s="1"/>
  <c r="F65" i="34"/>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B2658" i="106"/>
  <c r="D2658" i="106" s="1"/>
  <c r="H10" i="4"/>
  <c r="B4127" i="106" s="1"/>
  <c r="D4127" i="106" s="1"/>
  <c r="D7" i="4"/>
  <c r="D275" i="5"/>
  <c r="B5507" i="106"/>
  <c r="D5507" i="106" s="1"/>
  <c r="B7298" i="106"/>
  <c r="B7299" i="106"/>
  <c r="J8" i="4" l="1"/>
  <c r="J17" i="4"/>
  <c r="J19" i="4" s="1"/>
  <c r="B6229" i="106" s="1"/>
  <c r="D6229" i="106" s="1"/>
  <c r="B7224" i="106"/>
  <c r="D7224" i="106" s="1"/>
  <c r="G41" i="108"/>
  <c r="G44" i="108" s="1"/>
  <c r="G45" i="108" s="1"/>
  <c r="C6" i="4"/>
  <c r="B2553" i="106" s="1"/>
  <c r="D2553" i="106" s="1"/>
  <c r="E41" i="108"/>
  <c r="E44" i="108" s="1"/>
  <c r="E45" i="108" s="1"/>
  <c r="B5653" i="106"/>
  <c r="D5653" i="106" s="1"/>
  <c r="F6" i="4"/>
  <c r="F275" i="5"/>
  <c r="B5720" i="106" s="1"/>
  <c r="D5720" i="106" s="1"/>
  <c r="K13" i="4"/>
  <c r="B3572" i="106" s="1"/>
  <c r="D3572" i="106" s="1"/>
  <c r="B3672" i="106"/>
  <c r="D3672" i="106" s="1"/>
  <c r="K367" i="29"/>
  <c r="B3678" i="106" s="1"/>
  <c r="D3678"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K368" i="29"/>
  <c r="B3681" i="106" s="1"/>
  <c r="D3681" i="106" s="1"/>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F76" i="34" l="1"/>
  <c r="J20" i="4"/>
  <c r="J78" i="4" s="1"/>
  <c r="B6227" i="106"/>
  <c r="D6227" i="106" s="1"/>
  <c r="B2593" i="106"/>
  <c r="D2593" i="106" s="1"/>
  <c r="F8" i="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B2568" i="106"/>
  <c r="D2568" i="106" s="1"/>
  <c r="H13" i="118" l="1"/>
  <c r="D8" i="146"/>
  <c r="F10" i="4"/>
  <c r="B4125" i="106" s="1"/>
  <c r="D4125" i="106" s="1"/>
  <c r="B2595" i="106"/>
  <c r="D2595"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c r="B2574" i="106"/>
  <c r="D2574" i="106" s="1"/>
  <c r="F179" i="34" l="1"/>
  <c r="F79" i="34"/>
  <c r="F8" i="146"/>
  <c r="B6215" i="106"/>
  <c r="D6215" i="106" s="1"/>
  <c r="J41" i="3"/>
  <c r="D10" i="146"/>
  <c r="B3588" i="106"/>
  <c r="D3588" i="106" s="1"/>
  <c r="K81" i="4"/>
  <c r="F78" i="4"/>
  <c r="B2601" i="106"/>
  <c r="D2601" i="106" s="1"/>
  <c r="B3320" i="106"/>
  <c r="D3320" i="106" s="1"/>
  <c r="I81" i="4"/>
  <c r="I39" i="3" s="1"/>
  <c r="K17" i="118"/>
  <c r="B3300" i="106"/>
  <c r="D3300" i="106" s="1"/>
  <c r="H81" i="4"/>
  <c r="H39" i="3" s="1"/>
  <c r="B7631" i="106"/>
  <c r="F180" i="34"/>
  <c r="F181" i="34" s="1"/>
  <c r="F183" i="34" s="1"/>
  <c r="A7262" i="106"/>
  <c r="D7261" i="106"/>
  <c r="H16" i="37"/>
  <c r="G78" i="4"/>
  <c r="B2613" i="106"/>
  <c r="D2613" i="106" s="1"/>
  <c r="B2562" i="106"/>
  <c r="D2562" i="106" s="1"/>
  <c r="C78" i="4"/>
  <c r="B10" i="146"/>
  <c r="F9" i="146"/>
  <c r="E78" i="4"/>
  <c r="B2636" i="106"/>
  <c r="D2636" i="106" s="1"/>
  <c r="D64" i="36"/>
  <c r="J82" i="4"/>
  <c r="B6266" i="106"/>
  <c r="D6266" i="106" s="1"/>
  <c r="D81" i="4"/>
  <c r="D39" i="3" s="1"/>
  <c r="B3239" i="106"/>
  <c r="D3239" i="106" s="1"/>
  <c r="B212" i="106" l="1"/>
  <c r="D212" i="106" s="1"/>
  <c r="H41" i="3"/>
  <c r="F10" i="146"/>
  <c r="B6216" i="106"/>
  <c r="D6216" i="106" s="1"/>
  <c r="D51" i="36"/>
  <c r="B2912" i="106"/>
  <c r="D2912" i="106" s="1"/>
  <c r="I41" i="3"/>
  <c r="B123" i="106"/>
  <c r="D123" i="106" s="1"/>
  <c r="D41" i="3"/>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49" i="36" l="1"/>
  <c r="B213" i="106"/>
  <c r="D213" i="106" s="1"/>
  <c r="D50" i="36"/>
  <c r="B2913" i="106"/>
  <c r="D2913" i="106" s="1"/>
  <c r="B189" i="106"/>
  <c r="D189" i="106" s="1"/>
  <c r="G41" i="3"/>
  <c r="B170" i="106"/>
  <c r="D170" i="106" s="1"/>
  <c r="F41" i="3"/>
  <c r="B140" i="106"/>
  <c r="D140" i="106" s="1"/>
  <c r="E41" i="3"/>
  <c r="B124" i="106"/>
  <c r="D124" i="106" s="1"/>
  <c r="D45" i="36"/>
  <c r="D76" i="36"/>
  <c r="B92" i="106"/>
  <c r="D92" i="106" s="1"/>
  <c r="C41" i="3"/>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8" i="36" l="1"/>
  <c r="B190" i="106"/>
  <c r="D190" i="106" s="1"/>
  <c r="B171" i="106"/>
  <c r="D171" i="106" s="1"/>
  <c r="D47" i="36"/>
  <c r="B141" i="106"/>
  <c r="D141" i="106" s="1"/>
  <c r="D46" i="36"/>
  <c r="B93" i="106"/>
  <c r="D93" i="106" s="1"/>
  <c r="D44" i="36"/>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<sst xmlns="http://schemas.openxmlformats.org/spreadsheetml/2006/main" count="5081" uniqueCount="2138">
  <si>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</si>
  <si>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</si>
  <si>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</si>
  <si>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</si>
  <si>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</si>
  <si>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</si>
  <si>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</si>
  <si>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</si>
  <si>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</si>
  <si>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</si>
  <si>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</si>
  <si>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</si>
  <si>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</si>
  <si>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</si>
  <si>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</si>
  <si>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</si>
  <si>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</si>
  <si>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</si>
  <si>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</si>
  <si>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</si>
  <si>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</si>
  <si>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</si>
  <si>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</si>
  <si>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</si>
  <si>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</si>
  <si>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</si>
  <si>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</si>
  <si>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</si>
  <si>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</si>
  <si>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</si>
  <si>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</si>
  <si>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</si>
  <si>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</si>
  <si>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</si>
  <si>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</si>
  <si>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</si>
  <si>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</si>
  <si>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</si>
  <si>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</si>
  <si>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</si>
  <si>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</si>
  <si>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</si>
  <si>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</si>
  <si>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</si>
  <si>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</si>
  <si>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</si>
  <si>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</si>
  <si>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</si>
  <si>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</si>
  <si>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</si>
  <si>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</si>
  <si>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</si>
  <si>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</si>
  <si>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</si>
  <si>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</si>
  <si>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</si>
  <si>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</si>
  <si>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</si>
  <si>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</si>
  <si>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</si>
  <si>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</si>
  <si>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</si>
  <si>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</si>
  <si>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</si>
  <si>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</si>
  <si>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</si>
  <si>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</si>
  <si>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</si>
  <si>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</si>
  <si>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</si>
  <si>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</si>
  <si>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</si>
  <si>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</si>
  <si>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</si>
  <si>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</si>
  <si>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</si>
  <si>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</si>
  <si>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</si>
  <si>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</si>
  <si>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</si>
  <si>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</si>
  <si>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</si>
  <si>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</si>
  <si>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</si>
  <si>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</si>
  <si>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</si>
  <si>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</si>
  <si>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</si>
  <si>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</si>
  <si>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</si>
  <si>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</si>
  <si>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</si>
  <si>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</si>
  <si>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</si>
  <si>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</si>
  <si>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</si>
  <si>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</si>
  <si>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</si>
  <si>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</si>
  <si>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</si>
  <si>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</si>
  <si>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</si>
  <si>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</si>
  <si>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</si>
  <si>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</si>
  <si>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</si>
  <si>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</si>
  <si>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</si>
  <si>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</si>
  <si>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</si>
  <si>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</si>
  <si>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</si>
  <si>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</si>
  <si>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</si>
  <si>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</si>
  <si>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</si>
  <si>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</si>
  <si>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</si>
  <si>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</si>
  <si>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</si>
  <si>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</si>
  <si>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</si>
  <si>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</si>
  <si>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</si>
  <si>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</si>
  <si>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</si>
  <si>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</si>
  <si>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</si>
  <si>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</si>
  <si>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</si>
  <si>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</si>
  <si>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</si>
  <si>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</si>
  <si>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</si>
  <si>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</si>
  <si>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</si>
  <si>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</si>
  <si>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</si>
  <si>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</si>
  <si>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</si>
  <si>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</si>
  <si>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</si>
  <si>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</si>
  <si>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</si>
  <si>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</si>
  <si>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</si>
  <si>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</si>
  <si>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</si>
  <si>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</si>
  <si>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</si>
  <si>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</si>
  <si>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</si>
  <si>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</si>
  <si>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</si>
  <si>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</si>
  <si>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</si>
  <si>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</si>
  <si>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</si>
  <si>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</si>
  <si>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</si>
  <si>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</si>
  <si>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</si>
  <si>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</si>
  <si>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</si>
  <si>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</si>
  <si>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</si>
  <si>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</si>
  <si>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</si>
  <si>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</si>
  <si>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</si>
  <si>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</si>
  <si>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</si>
  <si>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</si>
  <si>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</si>
  <si>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</si>
  <si>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</si>
  <si>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</si>
  <si>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</si>
  <si>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</si>
  <si>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</si>
  <si>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</si>
  <si>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</si>
  <si>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</si>
  <si>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</si>
  <si>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</si>
  <si>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</si>
  <si>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</si>
  <si>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</si>
  <si>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</si>
  <si>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</si>
  <si>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</si>
  <si>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</si>
  <si>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</si>
  <si>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</si>
  <si>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</si>
  <si>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</si>
  <si>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</si>
  <si>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</si>
  <si>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</si>
  <si>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</si>
  <si>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</si>
  <si>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</si>
  <si>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</si>
  <si>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</si>
  <si>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</si>
  <si>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</si>
  <si>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</si>
  <si>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</si>
  <si>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</si>
  <si>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</si>
  <si>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</si>
  <si>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</si>
  <si>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</si>
  <si>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</si>
  <si>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</si>
  <si>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</si>
  <si>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</si>
  <si>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</si>
  <si>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</si>
  <si>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</si>
  <si>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</si>
  <si>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</si>
  <si>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</si>
  <si>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</si>
  <si>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</si>
  <si>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</si>
  <si>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</si>
  <si>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</si>
  <si>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</si>
  <si>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</si>
  <si>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</si>
  <si>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</si>
  <si>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</si>
  <si>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</si>
  <si>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</si>
  <si>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</si>
  <si>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</si>
  <si>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</si>
  <si>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</si>
  <si>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</si>
  <si>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</si>
  <si>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</si>
  <si>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</si>
  <si>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</si>
  <si>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</si>
  <si>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</si>
  <si>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</si>
  <si>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</si>
  <si>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</si>
  <si>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</si>
  <si>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</si>
  <si>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</si>
  <si>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</si>
  <si>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</si>
  <si>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</si>
  <si>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</si>
  <si>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</si>
  <si>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</si>
  <si>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</si>
  <si>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</si>
  <si>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</si>
  <si>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</si>
  <si>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</si>
  <si>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</si>
  <si>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</si>
  <si>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</si>
  <si>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</si>
  <si>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</si>
  <si>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</si>
  <si>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</si>
  <si>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</si>
  <si>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</si>
  <si>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</si>
  <si>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</si>
  <si>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</si>
  <si>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</si>
  <si>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</si>
  <si>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</si>
  <si>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</si>
  <si>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</si>
  <si>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</si>
  <si>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</si>
  <si>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</si>
  <si>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</si>
  <si>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</si>
  <si>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</si>
  <si>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</si>
  <si>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</si>
  <si>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</si>
  <si>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</si>
  <si>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</si>
  <si>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</si>
  <si>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</si>
  <si>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</si>
  <si>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</si>
  <si>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</si>
  <si>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</si>
  <si>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</si>
  <si>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</si>
  <si>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</si>
  <si>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</si>
  <si>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</si>
  <si>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</si>
  <si>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</si>
  <si>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</si>
  <si>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</si>
  <si>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</si>
  <si>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</si>
  <si>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</si>
  <si>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</si>
  <si>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</si>
  <si>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</si>
  <si>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</si>
  <si>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</si>
  <si>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</si>
  <si>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</si>
  <si>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</si>
  <si>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</si>
  <si>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</si>
  <si>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</si>
  <si>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</si>
  <si>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</si>
  <si>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</si>
  <si>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</si>
  <si>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</si>
  <si>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</si>
  <si>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</si>
  <si>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</si>
  <si>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</si>
  <si>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</si>
  <si>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</si>
  <si>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</si>
  <si>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</si>
  <si>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</si>
  <si>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</si>
  <si>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</si>
  <si>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</si>
  <si>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</si>
  <si>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</si>
  <si>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</si>
  <si>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</si>
  <si>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</si>
  <si>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</si>
  <si>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</si>
  <si>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</si>
  <si>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</si>
  <si>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</si>
  <si>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</si>
  <si>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</si>
  <si>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</si>
  <si>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</si>
  <si>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</si>
  <si>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</si>
  <si>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</si>
  <si>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</si>
  <si>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</si>
  <si>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</si>
  <si>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</si>
  <si>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</si>
  <si>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</si>
  <si>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</si>
  <si>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</si>
  <si>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</si>
  <si>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</si>
  <si>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</si>
  <si>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</si>
  <si>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</si>
  <si>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</si>
  <si>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</si>
  <si>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</si>
  <si>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</si>
  <si>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</si>
  <si>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</si>
  <si>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</si>
  <si>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</si>
  <si>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</si>
  <si>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</si>
  <si>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</si>
  <si>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</si>
  <si>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</si>
  <si>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</si>
  <si>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</si>
  <si>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</si>
  <si>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</si>
  <si>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</si>
  <si>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</si>
  <si>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</si>
  <si>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</si>
  <si>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</si>
  <si>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</si>
  <si>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</si>
  <si>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</si>
  <si>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</si>
  <si>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</si>
  <si>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</si>
  <si>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</si>
  <si>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</si>
  <si>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</si>
  <si>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</si>
  <si>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</si>
  <si>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</si>
  <si>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</si>
  <si>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</si>
  <si>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</si>
  <si>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</si>
  <si>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</si>
  <si>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</si>
  <si>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</si>
  <si>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</si>
  <si>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</si>
  <si>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</si>
  <si>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</si>
  <si>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</si>
  <si>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</si>
  <si>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</si>
  <si>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</si>
  <si>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</si>
  <si>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</si>
  <si>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</si>
  <si>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</si>
  <si>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</si>
  <si>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</si>
  <si>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</si>
  <si>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</si>
  <si>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</si>
  <si>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</si>
  <si>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</si>
  <si>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</si>
  <si>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</si>
  <si>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</si>
  <si>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</si>
  <si>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</si>
  <si>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</si>
  <si>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</si>
  <si>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</si>
  <si>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</si>
  <si>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</si>
  <si>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</si>
  <si>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</si>
  <si>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</si>
  <si>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</si>
  <si>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</si>
  <si>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</si>
  <si>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</si>
  <si>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</si>
  <si>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</si>
  <si>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</si>
  <si>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</si>
  <si>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</si>
  <si>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</si>
  <si>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</si>
  <si>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</si>
  <si>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</si>
  <si>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</si>
  <si>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</si>
  <si>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</si>
  <si>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</si>
  <si>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</si>
  <si>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</si>
  <si>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</si>
  <si>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</si>
  <si>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</si>
  <si>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</si>
  <si>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</si>
  <si>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</si>
  <si>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</si>
  <si>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</si>
  <si>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</si>
  <si>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</si>
  <si>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</si>
  <si>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</si>
  <si>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</si>
  <si>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</si>
  <si>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</si>
  <si>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</si>
  <si>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</si>
  <si>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</si>
  <si>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</si>
  <si>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</si>
  <si>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</si>
  <si>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</si>
  <si>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</si>
  <si>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</si>
  <si>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</si>
  <si>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</si>
  <si>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</si>
  <si>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</si>
  <si>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</si>
  <si>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</si>
  <si>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</si>
  <si>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</si>
  <si>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</si>
  <si>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</si>
  <si>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</si>
  <si>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</si>
  <si>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</si>
  <si>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</si>
  <si>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</si>
  <si>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</si>
  <si>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</si>
  <si>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</si>
  <si>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</si>
  <si>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</si>
  <si>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</si>
  <si>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</si>
  <si>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</si>
  <si>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</si>
  <si>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</si>
  <si>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</si>
  <si>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</si>
  <si>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</si>
  <si>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</si>
  <si>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</si>
  <si>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</si>
  <si>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</si>
  <si>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</si>
  <si>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</si>
  <si>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</si>
  <si>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</si>
  <si>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</si>
  <si>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</si>
  <si>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</si>
  <si>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</si>
  <si>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</si>
  <si>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</si>
  <si>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</si>
  <si>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</si>
  <si>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</si>
  <si>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</si>
  <si>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</si>
  <si>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</si>
  <si>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</si>
  <si>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</si>
  <si>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</si>
  <si>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</si>
  <si>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</si>
  <si>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</si>
  <si>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</si>
  <si>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</si>
  <si>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</si>
  <si>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</si>
  <si>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</si>
  <si>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</si>
  <si>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</si>
  <si>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</si>
  <si>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</si>
  <si>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</si>
  <si>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</si>
  <si>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</si>
  <si>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</si>
  <si>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</si>
  <si>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</si>
  <si>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</si>
  <si>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</si>
  <si>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</si>
  <si>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</si>
  <si>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</si>
  <si>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</si>
  <si>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</si>
  <si>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</si>
  <si>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</si>
  <si>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</si>
  <si>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</si>
  <si>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</si>
  <si>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</si>
  <si>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</si>
  <si>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</si>
  <si>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</si>
  <si>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</si>
  <si>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</si>
  <si>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</si>
  <si>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</si>
  <si>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</si>
  <si>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</si>
  <si>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</si>
  <si>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</si>
  <si>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</si>
  <si>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</si>
  <si>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</si>
  <si>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</si>
  <si>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</si>
  <si>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</si>
  <si>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</si>
  <si>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</si>
  <si>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</si>
  <si>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</si>
  <si>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</si>
  <si>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</si>
  <si>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</si>
  <si>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</si>
  <si>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</si>
  <si>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</si>
  <si>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</si>
  <si>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</si>
  <si>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</si>
  <si>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</si>
  <si>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</si>
  <si>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</si>
  <si>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</si>
  <si>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</si>
  <si>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</si>
  <si>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</si>
  <si>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</si>
  <si>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</si>
  <si>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</si>
  <si>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</si>
  <si>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</si>
  <si>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</si>
  <si>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</si>
  <si>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</si>
  <si>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</si>
  <si>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</si>
  <si>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</si>
  <si>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</si>
  <si>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</si>
  <si>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</si>
  <si>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</si>
  <si>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</si>
  <si>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</si>
  <si>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</si>
  <si>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</si>
  <si>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</si>
  <si>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</si>
  <si>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</si>
  <si>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</si>
  <si>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</si>
  <si>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</si>
  <si>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</si>
  <si>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</si>
  <si>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</si>
  <si>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</si>
  <si>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</si>
  <si>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</si>
  <si>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</si>
  <si>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</si>
  <si>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</si>
  <si>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</si>
  <si>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</si>
  <si>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</si>
  <si>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</si>
  <si>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</si>
  <si>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</si>
  <si>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</si>
  <si>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</si>
  <si>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</si>
  <si>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</si>
  <si>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</si>
  <si>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</si>
  <si>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</si>
  <si>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</si>
  <si>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</si>
  <si>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</si>
  <si>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</si>
  <si>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</si>
  <si>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</si>
  <si>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</si>
  <si>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</si>
  <si>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</si>
  <si>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</si>
  <si>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</si>
  <si>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</si>
  <si>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</si>
  <si>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</si>
  <si>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</si>
  <si>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</si>
  <si>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</si>
  <si>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</si>
  <si>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</si>
  <si>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</si>
  <si>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</si>
  <si>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</si>
  <si>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</si>
  <si>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</si>
  <si>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</si>
  <si>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</si>
  <si>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</si>
  <si>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</si>
  <si>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</si>
  <si>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</si>
  <si>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</si>
  <si>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</si>
  <si>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</si>
  <si>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</si>
  <si>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</si>
  <si>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</si>
  <si>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</si>
  <si>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</si>
  <si>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</si>
  <si>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</si>
  <si>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</si>
  <si>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</si>
  <si>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</si>
  <si>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</si>
  <si>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</si>
  <si>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</si>
  <si>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</si>
  <si>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</si>
  <si>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</si>
  <si>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</si>
  <si>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</si>
  <si>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</si>
  <si>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</si>
  <si>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</si>
  <si>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</si>
  <si>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</si>
  <si>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</si>
  <si>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</si>
  <si>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</si>
  <si>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</si>
  <si>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</si>
  <si>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</si>
  <si>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</si>
  <si>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</si>
  <si>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</si>
  <si>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</si>
  <si>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</si>
  <si>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</si>
  <si>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</si>
  <si>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</si>
  <si>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</si>
  <si>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</si>
  <si>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</si>
  <si>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</si>
  <si>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</si>
  <si>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</si>
  <si>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</si>
  <si>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</si>
  <si>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</si>
  <si>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</si>
  <si>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</si>
  <si>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</si>
  <si>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</si>
  <si>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</si>
  <si>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</si>
  <si>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</si>
  <si>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</si>
  <si>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</si>
  <si>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</si>
  <si>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</si>
  <si>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</si>
  <si>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</si>
  <si>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</si>
  <si>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</si>
  <si>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</si>
  <si>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</si>
  <si>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</si>
  <si>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</si>
  <si>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</si>
  <si>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</si>
  <si>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</si>
  <si>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</si>
  <si>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</si>
  <si>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</si>
  <si>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</si>
  <si>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</si>
  <si>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</si>
  <si>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</si>
  <si>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</si>
  <si>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</si>
  <si>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</si>
  <si>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</si>
  <si>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</si>
  <si>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</si>
  <si>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</si>
  <si>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</si>
  <si>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</si>
  <si>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</si>
  <si>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</si>
  <si>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</si>
  <si>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</si>
  <si>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</si>
  <si>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</si>
  <si>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</si>
  <si>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</si>
  <si>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</si>
  <si>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</si>
  <si>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</si>
  <si>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</si>
  <si>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</si>
  <si>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</si>
  <si>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</si>
  <si>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</si>
  <si>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</si>
  <si>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</si>
  <si>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</si>
  <si>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</si>
  <si>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</si>
  <si>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</si>
  <si>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</si>
  <si>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</si>
  <si>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</si>
  <si>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</si>
  <si>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</si>
  <si>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</si>
  <si>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</si>
  <si>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</si>
  <si>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</si>
  <si>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</si>
  <si>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</si>
  <si>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</si>
  <si>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</si>
  <si>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</si>
  <si>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</si>
  <si>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</si>
  <si>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</si>
  <si>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</si>
  <si>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</si>
  <si>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</si>
  <si>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</si>
  <si>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</si>
  <si>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</si>
  <si>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</si>
  <si>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</si>
  <si>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</si>
  <si>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</si>
  <si>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</si>
  <si>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</si>
  <si>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</si>
  <si>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</si>
  <si>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</si>
  <si>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</si>
  <si>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</si>
  <si>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</si>
  <si>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</si>
  <si>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</si>
  <si>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</si>
  <si>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</si>
  <si>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</si>
  <si>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</si>
  <si>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</si>
  <si>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</si>
  <si>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</si>
  <si>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</si>
  <si>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</si>
  <si>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</si>
  <si>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</si>
  <si>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</si>
  <si>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</si>
  <si>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</si>
  <si>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</si>
  <si>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</si>
  <si>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</si>
  <si>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</si>
  <si>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</si>
  <si>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</si>
  <si>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</si>
  <si>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</si>
  <si>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</si>
  <si>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</si>
  <si>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</si>
  <si>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</si>
  <si>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</si>
  <si>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</si>
  <si>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</si>
  <si>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</si>
  <si>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</si>
  <si>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</si>
  <si>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</si>
  <si>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</si>
  <si>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</si>
  <si>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</si>
  <si>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</si>
  <si>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</si>
  <si>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</si>
  <si>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</si>
  <si>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</si>
  <si>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</si>
  <si>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</si>
  <si>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</si>
  <si>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</si>
  <si>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</si>
  <si>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</si>
  <si>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</si>
  <si>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</si>
  <si>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</si>
  <si>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</si>
  <si>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</si>
  <si>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</si>
  <si>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</si>
  <si>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</si>
  <si>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</si>
  <si>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</si>
  <si>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</si>
  <si>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</si>
  <si>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</si>
  <si>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</si>
  <si>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</si>
  <si>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</si>
  <si>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</si>
  <si>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</si>
  <si>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</si>
  <si>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</si>
  <si>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</si>
  <si>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</si>
  <si>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</si>
  <si>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</si>
  <si>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</si>
  <si>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</si>
  <si>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</si>
  <si>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</si>
  <si>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</si>
  <si>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</si>
  <si>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</si>
  <si>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</si>
  <si>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</si>
  <si>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</si>
  <si>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</si>
  <si>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</si>
  <si>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</si>
  <si>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</si>
  <si>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</si>
  <si>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</si>
  <si>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</si>
  <si>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</si>
  <si>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</si>
  <si>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</si>
  <si>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</si>
  <si>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</si>
  <si>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</si>
  <si>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</si>
  <si>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</si>
  <si>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</si>
  <si>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</si>
  <si>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</si>
  <si>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</si>
  <si>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</si>
  <si>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</si>
  <si>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</si>
  <si>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</si>
  <si>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</si>
  <si>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</si>
  <si>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</si>
  <si>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</si>
  <si>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</si>
  <si>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</si>
  <si>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</si>
  <si>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</si>
  <si>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</si>
  <si>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</si>
  <si>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</si>
  <si>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</si>
  <si>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</si>
  <si>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</si>
  <si>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</si>
  <si>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</si>
  <si>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</si>
  <si>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</si>
  <si>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</si>
  <si>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</si>
  <si>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</si>
  <si>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</si>
  <si>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</si>
  <si>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</si>
  <si>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</si>
  <si>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</si>
  <si>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</si>
  <si>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</si>
  <si>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</si>
  <si>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</si>
  <si>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</si>
  <si>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</si>
  <si>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</si>
  <si>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</si>
  <si>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</si>
  <si>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</si>
  <si>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</si>
  <si>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</si>
  <si>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</si>
  <si>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</si>
  <si>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</si>
  <si>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</si>
  <si>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</si>
  <si>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</si>
  <si>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</si>
  <si>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</si>
  <si>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</si>
  <si>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</si>
  <si>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</si>
  <si>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</si>
  <si>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</si>
  <si>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</si>
  <si>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</si>
  <si>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</si>
  <si>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</si>
  <si>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</si>
  <si>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</si>
  <si>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</si>
  <si>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</si>
  <si>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</si>
  <si>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</si>
  <si>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</si>
  <si>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</si>
  <si>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</si>
  <si>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</si>
  <si>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</si>
  <si>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</si>
  <si>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</si>
  <si>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</si>
  <si>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</si>
  <si>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</si>
  <si>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</si>
  <si>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</si>
  <si>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</si>
  <si>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</si>
  <si>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</si>
  <si>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</si>
  <si>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</si>
  <si>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</si>
  <si>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</si>
  <si>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</si>
  <si>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</si>
  <si>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</si>
  <si>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</si>
  <si>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</si>
  <si>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</si>
  <si>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</si>
  <si>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</si>
  <si>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</si>
  <si>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</si>
  <si>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</si>
  <si>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</si>
  <si>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</si>
  <si>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</si>
  <si>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</si>
  <si>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</si>
  <si>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</si>
  <si>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</si>
  <si>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</si>
  <si>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</si>
  <si>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</si>
  <si>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</si>
  <si>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</si>
  <si>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</si>
  <si>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</si>
  <si>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</si>
  <si>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</si>
  <si>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</si>
  <si>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</si>
  <si>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</si>
  <si>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</si>
  <si>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</si>
  <si>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</si>
  <si>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</si>
  <si>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</si>
  <si>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</si>
  <si>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</si>
  <si>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</si>
  <si>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</si>
  <si>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</si>
  <si>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</si>
  <si>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</si>
  <si>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</si>
  <si>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</si>
  <si>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</si>
  <si>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</si>
  <si>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</si>
  <si>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</si>
  <si>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</si>
  <si>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</si>
  <si>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</si>
  <si>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</si>
  <si>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</si>
  <si>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</si>
  <si>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</si>
  <si>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</si>
  <si>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</si>
  <si>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</si>
  <si>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</si>
  <si>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</si>
  <si>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</si>
  <si>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</si>
  <si>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</si>
  <si>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</si>
  <si>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</si>
  <si>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</si>
  <si>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</si>
  <si>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</si>
  <si>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</si>
  <si>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</si>
  <si>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</si>
  <si>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</si>
  <si>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</si>
  <si>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</si>
  <si>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</si>
  <si>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</si>
  <si>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</si>
  <si>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</si>
  <si>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</si>
  <si>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</si>
  <si>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</si>
  <si>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</si>
  <si>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</si>
  <si>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</si>
  <si>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</si>
  <si>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</si>
  <si>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</si>
  <si>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</si>
  <si>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</si>
  <si>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</si>
  <si>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</si>
  <si>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</si>
  <si>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</si>
  <si>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</si>
  <si>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</si>
  <si>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</si>
  <si>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</si>
  <si>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</si>
  <si>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</si>
  <si>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</si>
  <si>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</si>
  <si>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</si>
  <si>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</si>
  <si>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</si>
  <si>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</si>
  <si>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</si>
  <si>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</si>
  <si>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</si>
  <si>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</si>
  <si>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</si>
  <si>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</si>
  <si>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</si>
  <si>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</si>
  <si>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</si>
  <si>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</si>
  <si>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</si>
  <si>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</si>
  <si>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</si>
  <si>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</si>
  <si>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</si>
  <si>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</si>
  <si>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</si>
  <si>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</si>
  <si>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</si>
  <si>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</si>
  <si>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</si>
  <si>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</si>
  <si>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</si>
  <si>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</si>
  <si>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</si>
  <si>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</si>
  <si>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</si>
  <si>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</si>
  <si>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</si>
  <si>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</si>
  <si>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</si>
  <si>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</si>
  <si>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</si>
  <si>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</si>
  <si>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</si>
  <si>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</si>
  <si>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</si>
  <si>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</si>
  <si>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</si>
  <si>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</si>
  <si>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</si>
  <si>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</si>
  <si>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</si>
  <si>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</si>
  <si>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</si>
  <si>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</si>
  <si>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</si>
  <si>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</si>
  <si>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</si>
  <si>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</si>
  <si>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</si>
  <si>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</si>
  <si>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</si>
  <si>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</si>
  <si>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</si>
  <si>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</si>
  <si>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</si>
  <si>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</si>
  <si>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</si>
  <si>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</si>
  <si>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</si>
  <si>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</si>
  <si>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</si>
  <si>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</si>
  <si>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</si>
  <si>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</si>
  <si>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</si>
  <si>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</si>
  <si>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</si>
  <si>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</si>
  <si>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</si>
  <si>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</si>
  <si>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</si>
  <si>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</si>
  <si>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</si>
  <si>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</si>
  <si>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</si>
  <si>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</si>
  <si>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</si>
  <si>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</si>
  <si>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</si>
  <si>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</si>
  <si>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</si>
  <si>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</si>
  <si>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</si>
  <si>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</si>
  <si>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</si>
  <si>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</si>
  <si>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</si>
  <si>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</si>
  <si>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</si>
  <si>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</si>
  <si>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</si>
  <si>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</si>
  <si>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</si>
  <si>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</si>
  <si>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</si>
  <si>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</si>
  <si>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</si>
  <si>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</si>
  <si>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</si>
  <si>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</si>
  <si>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</si>
  <si>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</si>
  <si>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</si>
  <si>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</si>
  <si>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</si>
  <si>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</si>
  <si>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</si>
  <si>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</si>
  <si>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</si>
  <si>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</si>
  <si>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</si>
  <si>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</si>
  <si>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</si>
  <si>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</si>
  <si>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</si>
  <si>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</si>
  <si>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</si>
  <si>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</si>
  <si>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</si>
  <si>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</si>
  <si>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</si>
  <si>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</si>
  <si>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</si>
  <si>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</si>
  <si>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</si>
  <si>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</si>
  <si>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</si>
  <si>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</si>
  <si>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</si>
  <si>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</si>
  <si>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</si>
  <si>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</si>
  <si>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</si>
  <si>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</si>
  <si>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</si>
  <si>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</si>
  <si>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</si>
  <si>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</si>
  <si>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</si>
  <si>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</si>
  <si>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</si>
  <si>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</si>
  <si>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</si>
  <si>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</si>
  <si>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</si>
  <si>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</si>
  <si>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</si>
  <si>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</si>
  <si>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</si>
  <si>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</si>
  <si>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</si>
  <si>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</si>
  <si>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</si>
  <si>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</si>
  <si>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</si>
  <si>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</si>
  <si>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</si>
  <si>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</si>
  <si>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</si>
  <si>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</si>
  <si>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</si>
  <si>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</si>
  <si>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</si>
  <si>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</si>
  <si>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</si>
  <si>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</si>
  <si>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</si>
  <si>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</si>
  <si>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</si>
  <si>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</si>
  <si>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</si>
  <si>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</si>
  <si>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</si>
  <si>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</si>
  <si>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</si>
  <si>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</si>
  <si>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</si>
  <si>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</si>
  <si>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</si>
  <si>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</si>
  <si>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</si>
  <si>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</si>
  <si>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</si>
  <si>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</si>
  <si>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</si>
  <si>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</si>
  <si>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</si>
  <si>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</si>
  <si>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</si>
  <si>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</si>
  <si>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</si>
  <si>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</si>
  <si>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</si>
  <si>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</si>
  <si>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</si>
  <si>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</si>
  <si>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</si>
  <si>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</si>
  <si>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</si>
  <si>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</si>
  <si>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</si>
  <si>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</si>
  <si>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</si>
  <si>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</si>
  <si>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</si>
  <si>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</si>
  <si>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</si>
  <si>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</si>
  <si>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</si>
  <si>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</si>
  <si>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</si>
  <si>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</si>
  <si>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</si>
  <si>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</si>
  <si>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</si>
  <si>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</si>
  <si>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</si>
  <si>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</si>
  <si>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</si>
  <si>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</si>
  <si>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</si>
  <si>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</si>
  <si>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</si>
  <si>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</si>
  <si>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</si>
  <si>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</si>
  <si>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</si>
  <si>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</si>
  <si>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</si>
  <si>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</si>
  <si>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</si>
  <si>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</si>
  <si>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</si>
  <si>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</si>
  <si>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</si>
  <si>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</si>
  <si>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</si>
  <si>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</si>
  <si>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</si>
  <si>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</si>
  <si>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</si>
  <si>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</si>
  <si>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</si>
  <si>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</si>
  <si>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</si>
  <si>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</si>
  <si>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</si>
  <si>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</si>
  <si>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</si>
  <si>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</si>
  <si>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</si>
  <si>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</si>
  <si>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</si>
  <si>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</si>
  <si>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</si>
  <si>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</si>
  <si>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</si>
  <si>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</si>
  <si>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</si>
  <si>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</si>
  <si>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</si>
  <si>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</si>
  <si>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</si>
  <si>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</si>
  <si>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</si>
  <si>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</si>
  <si>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</si>
  <si>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</si>
  <si>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</si>
  <si>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</si>
  <si>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</si>
  <si>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</si>
  <si>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</si>
  <si>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</si>
  <si>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</si>
  <si>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</si>
  <si>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</si>
  <si>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</si>
  <si>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</si>
  <si>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</si>
  <si>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</si>
  <si>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</si>
  <si>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</si>
  <si>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</si>
  <si>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</si>
  <si>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</si>
  <si>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</si>
  <si>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</si>
  <si>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</si>
  <si>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</si>
  <si>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</si>
  <si>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</si>
  <si>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</si>
  <si>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</si>
  <si>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</si>
  <si>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</si>
  <si>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</si>
  <si>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</si>
  <si>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</si>
  <si>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</si>
  <si>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</si>
  <si>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</si>
  <si>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</si>
  <si>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</si>
  <si>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</si>
  <si>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</si>
  <si>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</si>
  <si>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</si>
  <si>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</si>
  <si>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</si>
  <si>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</si>
  <si>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</si>
  <si>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</si>
  <si>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</si>
  <si>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</si>
  <si>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</si>
  <si>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</si>
  <si>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</si>
  <si>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</si>
  <si>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</si>
  <si>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</si>
  <si>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</si>
  <si>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</si>
  <si>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</si>
  <si>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</si>
  <si>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</si>
  <si>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</si>
  <si>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</si>
  <si>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</si>
  <si>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</si>
  <si>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</si>
  <si>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</si>
  <si>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</si>
  <si>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</si>
  <si>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</si>
  <si>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</si>
  <si>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</si>
  <si>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</si>
  <si>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</si>
  <si>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</si>
  <si>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</si>
  <si>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</si>
  <si>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</si>
  <si>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</si>
  <si>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</si>
  <si>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</si>
  <si>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</si>
  <si>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</si>
  <si>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</si>
  <si>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</si>
  <si>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</si>
  <si>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</si>
  <si>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</si>
  <si>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</si>
  <si>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</si>
  <si>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</si>
  <si>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</si>
  <si>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</si>
  <si>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</si>
  <si>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</si>
  <si>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</si>
  <si>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</si>
  <si>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</si>
  <si>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</si>
  <si>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</si>
  <si>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</si>
  <si>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</si>
  <si>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</si>
  <si>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</si>
  <si>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</si>
  <si>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</si>
  <si>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</si>
  <si>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</si>
  <si>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</si>
  <si>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</si>
  <si>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</si>
  <si>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</si>
  <si>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</si>
  <si>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</si>
  <si>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</si>
  <si>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</si>
  <si>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</si>
  <si>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</si>
  <si>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</si>
  <si>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</si>
  <si>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</si>
  <si>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</si>
  <si>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</si>
  <si>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</si>
  <si>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</si>
  <si>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</si>
  <si>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</si>
  <si>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</si>
  <si>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</si>
  <si>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</si>
  <si>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</si>
  <si>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</si>
  <si>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</si>
  <si>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</si>
  <si>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</si>
  <si>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</si>
  <si>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</si>
  <si>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</si>
  <si>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</si>
  <si>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</si>
  <si>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</si>
  <si>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</si>
  <si>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</si>
  <si>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</si>
  <si>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</si>
  <si>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</si>
  <si>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</si>
  <si>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</si>
  <si>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</si>
  <si>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</si>
  <si>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</si>
  <si>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</si>
  <si>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</si>
  <si>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</si>
  <si>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</si>
  <si>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</si>
  <si>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</si>
  <si>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</si>
  <si>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</si>
  <si>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</si>
  <si>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</si>
  <si>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</si>
  <si>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</si>
  <si>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</si>
  <si>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</si>
  <si>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</si>
  <si>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</si>
  <si>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</si>
  <si>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</si>
  <si>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</si>
  <si>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</si>
  <si>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</si>
  <si>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</si>
  <si>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</si>
  <si>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</si>
  <si>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</si>
  <si>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</si>
  <si>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</si>
  <si>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</si>
  <si>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</si>
  <si>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</si>
  <si>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</si>
  <si>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</si>
  <si>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</si>
  <si>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</si>
  <si>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</si>
  <si>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</si>
  <si>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</si>
  <si>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</si>
  <si>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</si>
  <si>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</si>
  <si>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</si>
  <si>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</si>
  <si>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</si>
  <si>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</si>
  <si>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</si>
  <si>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</si>
  <si>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</si>
  <si>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</si>
  <si>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</si>
  <si>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</si>
  <si>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</si>
  <si>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</si>
  <si>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</si>
  <si>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</si>
  <si>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</si>
  <si>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</si>
  <si>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</si>
  <si>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</si>
  <si>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</si>
  <si>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</si>
  <si>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</si>
  <si>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</si>
  <si>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</si>
  <si>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</si>
  <si>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</si>
  <si>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</si>
  <si>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</si>
  <si>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</si>
  <si>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</si>
  <si>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</si>
  <si>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</si>
  <si>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</si>
  <si>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</si>
  <si>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</si>
  <si>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</si>
  <si>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</si>
  <si>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</si>
  <si>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</si>
  <si>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</si>
  <si>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</si>
  <si>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</si>
  <si>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</si>
  <si>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</si>
  <si>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</si>
  <si>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</si>
  <si>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</si>
  <si>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</si>
  <si>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</si>
  <si>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</si>
  <si>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</si>
  <si>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</si>
  <si>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</si>
  <si>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</si>
  <si>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</si>
  <si>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</si>
  <si>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</si>
  <si>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</si>
  <si>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</si>
  <si>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</si>
  <si>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</si>
  <si>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</si>
  <si>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</si>
  <si>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</si>
  <si>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</si>
  <si>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</si>
  <si>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</si>
  <si>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</si>
  <si>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</si>
  <si>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</si>
  <si>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</si>
  <si>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</si>
  <si>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</si>
  <si>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</si>
  <si>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</si>
  <si>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</si>
  <si>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</si>
  <si>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</si>
  <si>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</si>
  <si>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</si>
  <si>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</si>
  <si>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</si>
  <si>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</si>
  <si>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</si>
  <si>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</si>
  <si>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</si>
  <si>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</si>
  <si>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</si>
  <si>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</si>
  <si>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</si>
  <si>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</si>
  <si>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</si>
  <si>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</si>
  <si>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</si>
  <si>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</si>
  <si>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</si>
  <si>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</si>
  <si>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</si>
  <si>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</si>
  <si>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</si>
  <si>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</si>
  <si>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</si>
  <si>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</si>
  <si>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</si>
  <si>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</si>
  <si>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</si>
  <si>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</si>
  <si>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</si>
  <si>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</si>
  <si>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</si>
  <si>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</si>
  <si>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</si>
  <si>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</si>
  <si>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</si>
  <si>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</si>
  <si>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</si>
  <si>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</si>
  <si>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</si>
  <si>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</si>
  <si>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</si>
  <si>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</si>
  <si>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</si>
  <si>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</si>
  <si>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</si>
  <si>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</si>
  <si>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</si>
  <si>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</si>
  <si>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</si>
  <si>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</si>
  <si>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</si>
  <si>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</si>
  <si>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</si>
  <si>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</si>
  <si>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</si>
  <si>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</si>
  <si>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</si>
  <si>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</si>
  <si>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</si>
  <si>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</si>
  <si>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</si>
  <si>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</si>
  <si>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</si>
  <si>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</si>
  <si>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</si>
  <si>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</si>
  <si>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</si>
  <si>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</si>
  <si>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</si>
  <si>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</si>
  <si>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</si>
  <si>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</si>
  <si>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</si>
  <si>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</si>
  <si>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</si>
  <si>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</si>
  <si>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</si>
  <si>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</si>
  <si>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</si>
  <si>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</si>
  <si>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</si>
  <si>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</si>
  <si>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</si>
  <si>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</si>
  <si>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</si>
  <si>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</si>
  <si>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</si>
  <si>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</si>
  <si>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</si>
  <si>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</si>
  <si>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</si>
  <si>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</si>
  <si>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</si>
  <si>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</si>
  <si>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</si>
  <si>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</si>
  <si>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</si>
  <si>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</si>
  <si>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</si>
  <si>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</si>
  <si>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</si>
  <si>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</si>
  <si>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</si>
  <si>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</si>
  <si>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</si>
  <si>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</si>
  <si>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</si>
  <si>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</si>
  <si>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</si>
  <si>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</si>
  <si>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</si>
  <si>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</si>
  <si>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</si>
  <si>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</si>
  <si>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</si>
  <si>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</si>
  <si>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</si>
  <si>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</si>
  <si>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</si>
  <si>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</si>
  <si>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</si>
  <si>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</si>
  <si>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</si>
  <si>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</si>
  <si>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</si>
  <si>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</si>
  <si>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</si>
  <si>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</si>
  <si>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</si>
  <si>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</si>
  <si>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</si>
  <si>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</si>
  <si>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</si>
  <si>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</si>
  <si>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</si>
  <si>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</si>
  <si>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</si>
  <si>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</si>
  <si>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</si>
  <si>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</si>
  <si>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</si>
  <si>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</si>
  <si>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</si>
  <si>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</si>
  <si>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</si>
  <si>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</si>
  <si>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</si>
  <si>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</si>
  <si>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</si>
  <si>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</si>
  <si>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</si>
  <si>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</si>
  <si>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</si>
  <si>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</si>
  <si>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</si>
  <si>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</si>
  <si>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</si>
  <si>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</si>
  <si>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</si>
  <si>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</si>
  <si>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</si>
  <si>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</si>
  <si>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</si>
  <si>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</si>
  <si>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</si>
  <si>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</si>
  <si>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</si>
  <si>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</si>
  <si>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</si>
  <si>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</si>
  <si>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</si>
  <si>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</si>
  <si>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</si>
  <si>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</si>
  <si>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</si>
  <si>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</si>
  <si>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</si>
  <si>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</si>
  <si>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</si>
  <si>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</si>
  <si>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</si>
  <si>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</si>
  <si>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</si>
  <si>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</si>
  <si>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</si>
  <si>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</si>
  <si>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</si>
  <si>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</si>
  <si>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</si>
  <si>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</si>
  <si>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</si>
  <si>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</si>
  <si>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</si>
  <si>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</si>
  <si>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</si>
  <si>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</si>
  <si>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</si>
  <si>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</si>
  <si>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</si>
  <si>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</si>
  <si>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</si>
  <si>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</si>
  <si>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</si>
  <si>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</si>
  <si>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</si>
  <si>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</si>
  <si>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</si>
  <si>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</si>
  <si>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</si>
  <si>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</si>
  <si>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</si>
  <si>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</si>
  <si>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</si>
  <si>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</si>
  <si>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</si>
  <si>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</si>
  <si>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</si>
  <si>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</si>
  <si>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</si>
  <si>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</si>
  <si>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</si>
  <si>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</si>
  <si>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</si>
  <si>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</si>
  <si>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</si>
  <si>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</si>
  <si>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</si>
  <si>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</si>
  <si>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</si>
  <si>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</si>
  <si>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</si>
  <si>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</si>
  <si>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</si>
  <si>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</si>
  <si>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</si>
  <si>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</si>
  <si>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</si>
  <si>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</si>
  <si>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</si>
  <si>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</si>
  <si>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</si>
  <si>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</si>
  <si>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</si>
  <si>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</si>
  <si>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</si>
  <si>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</si>
  <si>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</si>
  <si>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</si>
  <si>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</si>
  <si>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</si>
  <si>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</si>
  <si>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</si>
  <si>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</si>
  <si>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</si>
  <si>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</si>
  <si>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</si>
  <si>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</si>
  <si>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</si>
  <si>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</si>
  <si>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</si>
  <si>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</si>
  <si>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</si>
  <si>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</si>
  <si>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</si>
  <si>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</si>
  <si>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</si>
  <si>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</si>
  <si>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</si>
  <si>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</si>
  <si>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</si>
  <si>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</si>
  <si>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</si>
  <si>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</si>
  <si>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</si>
  <si>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</si>
  <si>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</si>
  <si>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</si>
  <si>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</si>
  <si>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</si>
  <si>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</si>
  <si>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</si>
  <si>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</si>
  <si>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</si>
  <si>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</si>
  <si>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</si>
  <si>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</si>
  <si>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</si>
  <si>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</si>
  <si>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</si>
  <si>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</si>
  <si>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</si>
  <si>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</si>
  <si>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</si>
  <si>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</si>
  <si>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</si>
  <si>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</si>
  <si>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</si>
  <si>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</si>
  <si>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</si>
  <si>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</si>
  <si>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</si>
  <si>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</si>
  <si>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</si>
  <si>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</si>
  <si>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</si>
  <si>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</si>
  <si>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</si>
  <si>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</si>
  <si>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</si>
  <si>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</si>
  <si>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</si>
  <si>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</si>
  <si>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</si>
  <si>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</si>
  <si>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</si>
  <si>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</si>
  <si>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</si>
  <si>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</si>
  <si>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</si>
  <si>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</si>
  <si>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</si>
  <si>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</si>
  <si>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</si>
  <si>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</si>
  <si>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</si>
  <si>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</si>
  <si>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</si>
  <si>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</si>
  <si>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</si>
  <si>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</si>
  <si>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</si>
  <si>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</si>
  <si>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</si>
  <si>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</si>
  <si>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</si>
  <si>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</si>
  <si>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</si>
  <si>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</si>
  <si>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</si>
  <si>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</si>
  <si>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</si>
  <si>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</si>
  <si>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</si>
  <si>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</si>
  <si>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</si>
  <si>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</si>
  <si>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</si>
  <si>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</si>
  <si>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</si>
  <si>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</si>
  <si>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</si>
  <si>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</si>
  <si>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</si>
  <si>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</si>
  <si>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</si>
  <si>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</si>
  <si>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</si>
  <si>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</si>
  <si>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</si>
  <si>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</si>
  <si>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</si>
  <si>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</si>
  <si>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</si>
  <si>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</si>
  <si>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</si>
  <si>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</si>
  <si>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</si>
  <si>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</si>
  <si>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</si>
  <si>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</si>
  <si>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</si>
  <si>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</si>
  <si>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</si>
  <si>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</si>
  <si>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</si>
  <si>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</si>
  <si>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</si>
  <si>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</si>
  <si>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</si>
  <si>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</si>
  <si>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</si>
  <si>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</si>
  <si>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</si>
  <si>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</si>
  <si>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</si>
  <si>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</si>
  <si>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</si>
  <si>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</si>
  <si>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</si>
  <si>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</si>
  <si>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</si>
  <si>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</si>
  <si>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</si>
  <si>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</si>
  <si>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</si>
  <si>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</si>
  <si>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</si>
  <si>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</si>
  <si>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</si>
  <si>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</si>
  <si>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</si>
  <si>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</si>
  <si>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</si>
  <si>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</si>
  <si>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</si>
  <si>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</si>
  <si>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</si>
  <si>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</si>
  <si>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</si>
  <si>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</si>
  <si>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</si>
  <si>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</si>
  <si>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</si>
  <si>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</si>
  <si>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</si>
  <si>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</si>
  <si>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</si>
  <si>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</si>
  <si>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</si>
  <si>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</si>
  <si>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</si>
  <si>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</si>
  <si>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</si>
  <si>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</si>
  <si>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</si>
  <si>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</si>
  <si>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</si>
  <si>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</si>
  <si>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2007 WC Bonds</t>
  </si>
  <si>
    <t>2011 GO School Building Bonds</t>
  </si>
  <si>
    <t>Segregation of Duties</t>
  </si>
  <si>
    <t>Unmodified</t>
  </si>
  <si>
    <t>Phillips, Salmi, &amp; Associates, LLC</t>
  </si>
  <si>
    <t>Peoria Food Corp (many LEA's)</t>
  </si>
  <si>
    <t>IL Center for School Development</t>
  </si>
  <si>
    <t>Rankin #98, Tazewell Mason Sp-ed Co-op</t>
  </si>
  <si>
    <t>Pekin Municipal Bus Service</t>
  </si>
  <si>
    <t>Rankin #98 - Extracurricular</t>
  </si>
  <si>
    <t xml:space="preserve"> x</t>
  </si>
  <si>
    <t>smingus@spgs.net</t>
  </si>
  <si>
    <t>SOUTH PEKIN</t>
  </si>
  <si>
    <t>206 WEST MAIN STREET</t>
  </si>
  <si>
    <t>TAZEWELL</t>
  </si>
  <si>
    <t>PHILLIPS, SALMI, &amp; ASSOCIATES, LLC</t>
  </si>
  <si>
    <t>AARON PHILLIPS</t>
  </si>
  <si>
    <t>112 SOUTH MAIN STREET</t>
  </si>
  <si>
    <t>WASHINGTON</t>
  </si>
  <si>
    <t>IL</t>
  </si>
  <si>
    <t>(309)-444-8580</t>
  </si>
  <si>
    <t>(309)-444-4909</t>
  </si>
  <si>
    <t>066-004355</t>
  </si>
  <si>
    <t>aphillips@psa-cpa.com</t>
  </si>
  <si>
    <t>Mr. Seth Mingus</t>
  </si>
  <si>
    <t>(309)-348-3695</t>
  </si>
  <si>
    <t>(309)-348-3162</t>
  </si>
  <si>
    <t>Segregation of duties is a basic, key internal control used to ensure that errors or irregularities are prevented or detected on a timely basis by employees in the normal course of their duties.</t>
  </si>
  <si>
    <t>There is a general lack of segregation of duties because one person is responsible for various incompatible accounting duties.</t>
  </si>
  <si>
    <t>The district office has a limited number of personnel available to involve in segregating incompatible duties.</t>
  </si>
  <si>
    <t>Because of the lack of segregation of duties, errors or irregularities may occur and not be detected on a timely basis by employees in the normal course of business.</t>
  </si>
  <si>
    <t>Employees perform conflicting duties specifically related to the cash receipt and cash disbursement functions.</t>
  </si>
  <si>
    <t>We recommend that the District's administration review the cost/benefit of changing responsibilities to reduce or eliminate performance of incompatible duties by individuals without a timely review of the work performed and implement those procedures identified as beneficial to the District's internal controls.</t>
  </si>
  <si>
    <t>The School Board is aware of this situation and performs monitoring activities to reduce these risks.</t>
  </si>
  <si>
    <t>Pekin #303, Rankin #98, Springlake #606, North Pekin #102, Pekin #108</t>
  </si>
  <si>
    <t>$2,018: Apparel, trip, other misc revenues</t>
  </si>
  <si>
    <t>Page 10 1790 - Educational - Other District/School Activity Revenue</t>
  </si>
  <si>
    <t>$1,000: Bond agent fees</t>
  </si>
  <si>
    <t>$6,938: TRS &amp; THIS adjustments $746.76, Accident Fund-Group Dividends $399.33, Box Top income $126.10,</t>
  </si>
  <si>
    <t>ERATE Reimbursement $5,666</t>
  </si>
  <si>
    <t>$1,250: Student Virtual Training</t>
  </si>
  <si>
    <t>$3,626: REAP Grant</t>
  </si>
  <si>
    <t>Page 11 1999 - Educational - Other Local Revenues</t>
  </si>
  <si>
    <t>Page 13 4199 - Title V-Other</t>
  </si>
  <si>
    <t>Page 16 2900 - Educational - Other Support Services</t>
  </si>
  <si>
    <t>Page 18 5400 - Debt Services - Other</t>
  </si>
  <si>
    <t>Constellation</t>
  </si>
  <si>
    <t>Peoria Co-op (multiple LEAS's)</t>
  </si>
  <si>
    <t>20-2540-310</t>
  </si>
  <si>
    <t>20-2540-321</t>
  </si>
  <si>
    <t>20-2540-465</t>
  </si>
  <si>
    <t>American Pest Control</t>
  </si>
  <si>
    <t>Ecowater System</t>
  </si>
  <si>
    <t>Village of South Pekin - Garbage</t>
  </si>
  <si>
    <t>Constellation Gas</t>
  </si>
  <si>
    <t>Bldg Purch Services</t>
  </si>
  <si>
    <t>Bldg Sanitation Services</t>
  </si>
  <si>
    <t>Bldg Utility Gas Usage</t>
  </si>
  <si>
    <t>see opinion and notes page 35C</t>
  </si>
  <si>
    <t>South Pekin SD 137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</si>
</sst>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51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4" xfId="12" applyNumberFormat="1" applyFont="1" applyBorder="1" applyAlignment="1" applyProtection="1">
      <alignment horizontal="right" vertical="center"/>
    </xf>
    <xf numFmtId="0" fontId="11" fillId="0" borderId="124" xfId="12" applyFont="1" applyBorder="1" applyAlignment="1" applyProtection="1">
      <alignment vertical="center"/>
    </xf>
    <xf numFmtId="0" fontId="14" fillId="0" borderId="127" xfId="12" applyFont="1" applyBorder="1" applyAlignment="1" applyProtection="1">
      <alignment vertical="center"/>
    </xf>
    <xf numFmtId="0" fontId="14" fillId="0" borderId="125" xfId="12" applyFont="1" applyBorder="1" applyAlignment="1" applyProtection="1">
      <alignment vertical="center"/>
    </xf>
    <xf numFmtId="1" fontId="10" fillId="0" borderId="0" xfId="0" applyNumberFormat="1" applyFont="1" applyAlignment="1">
      <alignment horizontal="center" vertical="center"/>
    </xf>
    <xf numFmtId="0" fontId="11" fillId="0" borderId="134"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0" xfId="0" applyFont="1" applyFill="1" applyBorder="1" applyAlignment="1" applyProtection="1">
      <alignment horizontal="left" vertical="center"/>
    </xf>
    <xf numFmtId="164" fontId="54" fillId="18" borderId="120" xfId="0" applyNumberFormat="1" applyFont="1" applyFill="1" applyBorder="1" applyAlignment="1" applyProtection="1">
      <alignment horizontal="center" vertical="center"/>
    </xf>
    <xf numFmtId="164" fontId="64" fillId="18" borderId="120" xfId="0" applyNumberFormat="1" applyFont="1" applyFill="1" applyBorder="1" applyAlignment="1" applyProtection="1">
      <alignment vertical="center"/>
    </xf>
    <xf numFmtId="0" fontId="77" fillId="11" borderId="121"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08" xfId="0" applyNumberFormat="1" applyFont="1" applyFill="1" applyBorder="1" applyAlignment="1">
      <alignment horizontal="right"/>
    </xf>
    <xf numFmtId="0" fontId="78" fillId="12" borderId="103" xfId="0" applyFont="1" applyFill="1" applyBorder="1" applyAlignment="1">
      <alignment vertical="center"/>
    </xf>
    <xf numFmtId="164" fontId="54" fillId="14" borderId="116" xfId="0" applyNumberFormat="1" applyFont="1" applyFill="1" applyBorder="1" applyAlignment="1" applyProtection="1">
      <alignment horizontal="center" vertical="center"/>
    </xf>
    <xf numFmtId="164" fontId="64" fillId="14" borderId="108"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19"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08" xfId="0" applyNumberFormat="1" applyFont="1" applyFill="1" applyBorder="1" applyAlignment="1" applyProtection="1">
      <alignment horizontal="right"/>
      <protection locked="0"/>
    </xf>
    <xf numFmtId="0" fontId="54" fillId="18" borderId="108" xfId="0" applyFont="1" applyFill="1" applyBorder="1" applyAlignment="1" applyProtection="1">
      <alignment horizontal="center" vertical="center"/>
    </xf>
    <xf numFmtId="164" fontId="54" fillId="18" borderId="108" xfId="0" applyNumberFormat="1" applyFont="1" applyFill="1" applyBorder="1" applyAlignment="1" applyProtection="1">
      <alignment horizontal="center" vertical="center"/>
    </xf>
    <xf numFmtId="164" fontId="64" fillId="18" borderId="108"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6" xfId="0" applyFont="1" applyFill="1" applyBorder="1" applyAlignment="1" applyProtection="1">
      <alignment horizontal="left" vertical="center"/>
    </xf>
    <xf numFmtId="164" fontId="54" fillId="14" borderId="108" xfId="0" applyNumberFormat="1" applyFont="1" applyFill="1" applyBorder="1" applyAlignment="1" applyProtection="1">
      <alignment horizontal="center" vertical="center"/>
    </xf>
    <xf numFmtId="164" fontId="62" fillId="14" borderId="108"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7" xfId="0" applyFont="1" applyFill="1" applyBorder="1" applyAlignment="1" applyProtection="1">
      <alignment horizontal="center" vertical="center"/>
    </xf>
    <xf numFmtId="164" fontId="54" fillId="14" borderId="118" xfId="0" applyNumberFormat="1" applyFont="1" applyFill="1" applyBorder="1" applyAlignment="1" applyProtection="1">
      <alignment horizontal="center" vertical="center"/>
    </xf>
    <xf numFmtId="164" fontId="64" fillId="14" borderId="118" xfId="0" applyNumberFormat="1" applyFont="1" applyFill="1" applyBorder="1" applyAlignment="1" applyProtection="1">
      <alignment vertical="center"/>
    </xf>
    <xf numFmtId="38" fontId="49" fillId="12" borderId="108"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6" xfId="0" applyNumberFormat="1" applyFont="1" applyBorder="1" applyAlignment="1" applyProtection="1">
      <alignment horizontal="center" vertical="center"/>
    </xf>
    <xf numFmtId="38" fontId="55" fillId="0" borderId="126" xfId="0" applyNumberFormat="1" applyFont="1" applyBorder="1" applyAlignment="1" applyProtection="1">
      <alignment horizontal="right"/>
      <protection locked="0"/>
    </xf>
    <xf numFmtId="38" fontId="55" fillId="3" borderId="126"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9"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2" xfId="0" applyNumberFormat="1" applyFont="1" applyFill="1" applyBorder="1" applyAlignment="1" applyProtection="1">
      <alignment horizontal="right"/>
      <protection locked="0"/>
    </xf>
    <xf numFmtId="38" fontId="55" fillId="0" borderId="110"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6"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6"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4"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6" xfId="0" applyFont="1" applyFill="1" applyBorder="1" applyAlignment="1">
      <alignment horizontal="center" vertical="center"/>
    </xf>
    <xf numFmtId="38" fontId="55" fillId="0" borderId="126"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4"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5" xfId="0" applyNumberFormat="1" applyFont="1" applyFill="1" applyBorder="1" applyAlignment="1">
      <alignment horizontal="center" vertical="center"/>
    </xf>
    <xf numFmtId="49" fontId="62" fillId="0" borderId="126"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6"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4"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2" xfId="3" applyNumberFormat="1" applyFont="1" applyBorder="1" applyAlignment="1">
      <alignment horizontal="center" vertical="center"/>
    </xf>
    <xf numFmtId="0" fontId="57" fillId="0" borderId="132"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2"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1" xfId="0" applyFont="1" applyBorder="1"/>
    <xf numFmtId="0" fontId="55" fillId="0" borderId="13" xfId="0" applyFont="1" applyBorder="1"/>
    <xf numFmtId="0" fontId="55" fillId="0" borderId="124" xfId="0" applyFont="1" applyBorder="1" applyAlignment="1">
      <alignment horizontal="left" vertical="top"/>
    </xf>
    <xf numFmtId="164" fontId="113" fillId="0" borderId="127" xfId="0" applyNumberFormat="1" applyFont="1" applyBorder="1" applyAlignment="1">
      <alignment horizontal="right" vertical="top"/>
    </xf>
    <xf numFmtId="0" fontId="55" fillId="0" borderId="127" xfId="0" applyNumberFormat="1" applyFont="1" applyBorder="1" applyAlignment="1">
      <alignment horizontal="left" vertical="center" wrapText="1" indent="1"/>
    </xf>
    <xf numFmtId="0" fontId="85" fillId="0" borderId="126" xfId="0" applyFont="1" applyBorder="1" applyAlignment="1">
      <alignment horizontal="left" vertical="center" wrapText="1"/>
    </xf>
    <xf numFmtId="0" fontId="55" fillId="0" borderId="127" xfId="0" applyFont="1" applyBorder="1" applyAlignment="1">
      <alignment horizontal="left" vertical="top"/>
    </xf>
    <xf numFmtId="0" fontId="55" fillId="0" borderId="0" xfId="0" applyFont="1" applyBorder="1" applyAlignment="1">
      <alignment vertical="top"/>
    </xf>
    <xf numFmtId="0" fontId="115" fillId="0" borderId="127" xfId="0" applyNumberFormat="1" applyFont="1" applyBorder="1" applyAlignment="1">
      <alignment horizontal="left" vertical="center"/>
    </xf>
    <xf numFmtId="0" fontId="113" fillId="0" borderId="127" xfId="0" applyFont="1" applyBorder="1" applyAlignment="1">
      <alignment vertical="top"/>
    </xf>
    <xf numFmtId="0" fontId="113" fillId="0" borderId="127" xfId="0" applyFont="1" applyBorder="1" applyAlignment="1">
      <alignment horizontal="left" vertical="top"/>
    </xf>
    <xf numFmtId="0" fontId="55" fillId="0" borderId="124" xfId="0" applyFont="1" applyBorder="1" applyAlignment="1"/>
    <xf numFmtId="164" fontId="113" fillId="0" borderId="127" xfId="0" applyNumberFormat="1" applyFont="1" applyBorder="1" applyAlignment="1"/>
    <xf numFmtId="0" fontId="55" fillId="0" borderId="127" xfId="0" applyFont="1" applyBorder="1" applyAlignment="1"/>
    <xf numFmtId="0" fontId="62" fillId="0" borderId="125"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3"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4" xfId="0" applyFont="1" applyFill="1" applyBorder="1" applyAlignment="1"/>
    <xf numFmtId="0" fontId="54" fillId="0" borderId="127" xfId="0" applyFont="1" applyFill="1" applyBorder="1" applyAlignment="1">
      <alignment horizontal="left" vertical="top"/>
    </xf>
    <xf numFmtId="0" fontId="54" fillId="0" borderId="125"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5"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2" xfId="3" quotePrefix="1" applyNumberFormat="1" applyFont="1" applyBorder="1" applyAlignment="1" applyProtection="1">
      <alignment horizontal="left"/>
    </xf>
    <xf numFmtId="0" fontId="62" fillId="0" borderId="143" xfId="3" applyNumberFormat="1" applyFont="1" applyBorder="1" applyAlignment="1" applyProtection="1">
      <alignment horizontal="center"/>
    </xf>
    <xf numFmtId="0" fontId="62" fillId="0" borderId="143" xfId="3" applyNumberFormat="1" applyFont="1" applyBorder="1" applyProtection="1"/>
    <xf numFmtId="0" fontId="55" fillId="0" borderId="142" xfId="3" applyNumberFormat="1" applyFont="1" applyBorder="1" applyAlignment="1" applyProtection="1"/>
    <xf numFmtId="0" fontId="62" fillId="0" borderId="144" xfId="3" applyNumberFormat="1" applyFont="1" applyBorder="1" applyAlignment="1" applyProtection="1">
      <alignment horizontal="centerContinuous"/>
    </xf>
    <xf numFmtId="0" fontId="55" fillId="0" borderId="142" xfId="3" applyNumberFormat="1" applyFont="1" applyBorder="1" applyAlignment="1" applyProtection="1">
      <alignment horizontal="left"/>
    </xf>
    <xf numFmtId="0" fontId="62" fillId="0" borderId="144" xfId="3" applyNumberFormat="1" applyFont="1" applyBorder="1" applyProtection="1"/>
    <xf numFmtId="0" fontId="62" fillId="0" borderId="143"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2"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6"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3"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7"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5" xfId="3" applyFont="1" applyBorder="1" applyProtection="1"/>
    <xf numFmtId="0" fontId="55" fillId="0" borderId="146" xfId="3" applyFont="1" applyBorder="1" applyProtection="1">
      <protection locked="0"/>
    </xf>
    <xf numFmtId="0" fontId="55" fillId="0" borderId="145"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4" xfId="3" applyNumberFormat="1" applyFont="1" applyBorder="1" applyAlignment="1" applyProtection="1">
      <alignment horizontal="center"/>
    </xf>
    <xf numFmtId="0" fontId="64" fillId="0" borderId="143" xfId="3" applyFont="1" applyBorder="1" applyAlignment="1" applyProtection="1">
      <alignment horizontal="centerContinuous"/>
    </xf>
    <xf numFmtId="0" fontId="64" fillId="0" borderId="144"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4"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3" xfId="3" applyFont="1" applyBorder="1" applyProtection="1"/>
    <xf numFmtId="0" fontId="57" fillId="0" borderId="143" xfId="3" applyFont="1" applyBorder="1" applyProtection="1"/>
    <xf numFmtId="0" fontId="57" fillId="0" borderId="143"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3" xfId="3" quotePrefix="1" applyFont="1" applyBorder="1" applyAlignment="1" applyProtection="1">
      <alignment horizontal="left"/>
    </xf>
    <xf numFmtId="0" fontId="55" fillId="0" borderId="143" xfId="3" applyFont="1" applyBorder="1" applyProtection="1"/>
    <xf numFmtId="0" fontId="55" fillId="0" borderId="143"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3" xfId="3" applyFont="1" applyBorder="1" applyProtection="1"/>
    <xf numFmtId="0" fontId="57" fillId="0" borderId="0" xfId="3" applyFont="1" applyBorder="1" applyAlignment="1" applyProtection="1">
      <alignment horizontal="left"/>
    </xf>
    <xf numFmtId="0" fontId="64" fillId="0" borderId="143" xfId="3" applyFont="1" applyBorder="1" applyAlignment="1" applyProtection="1">
      <alignment horizontal="left"/>
    </xf>
    <xf numFmtId="0" fontId="57" fillId="9" borderId="143" xfId="3" applyFont="1" applyFill="1" applyBorder="1" applyProtection="1"/>
    <xf numFmtId="0" fontId="57" fillId="9" borderId="143" xfId="3" applyFont="1" applyFill="1" applyBorder="1" applyAlignment="1" applyProtection="1">
      <alignment horizontal="center"/>
    </xf>
    <xf numFmtId="0" fontId="57" fillId="9" borderId="144" xfId="3" applyFont="1" applyFill="1" applyBorder="1" applyProtection="1"/>
    <xf numFmtId="0" fontId="62" fillId="9" borderId="5" xfId="3" applyFont="1" applyFill="1" applyBorder="1" applyProtection="1"/>
    <xf numFmtId="0" fontId="62" fillId="9" borderId="109"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3"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8"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2" xfId="3" applyFont="1" applyFill="1" applyBorder="1" applyProtection="1"/>
    <xf numFmtId="0" fontId="64" fillId="9" borderId="143"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0" xfId="3" applyFont="1" applyBorder="1" applyAlignment="1" applyProtection="1">
      <alignment horizontal="left"/>
    </xf>
    <xf numFmtId="0" fontId="57" fillId="0" borderId="150" xfId="3" applyFont="1" applyBorder="1" applyProtection="1"/>
    <xf numFmtId="0" fontId="57" fillId="0" borderId="150"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7"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8"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6" xfId="0" applyNumberFormat="1" applyFont="1" applyBorder="1" applyAlignment="1">
      <alignment horizontal="left" vertical="center" wrapText="1" indent="1"/>
    </xf>
    <xf numFmtId="3" fontId="62" fillId="0" borderId="124"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6" xfId="0" applyNumberFormat="1" applyFont="1" applyFill="1" applyBorder="1" applyAlignment="1" applyProtection="1">
      <alignment horizontal="right" vertical="center"/>
      <protection locked="0"/>
    </xf>
    <xf numFmtId="38" fontId="54" fillId="6" borderId="154" xfId="0" applyNumberFormat="1" applyFont="1" applyFill="1" applyBorder="1" applyAlignment="1">
      <alignment horizontal="center" vertical="center" wrapText="1"/>
    </xf>
    <xf numFmtId="38" fontId="54" fillId="6" borderId="154" xfId="0" applyNumberFormat="1" applyFont="1" applyFill="1" applyBorder="1" applyAlignment="1">
      <alignment horizontal="center" vertical="top" wrapText="1"/>
    </xf>
    <xf numFmtId="38" fontId="64" fillId="6" borderId="154"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9" xfId="17" applyFont="1" applyBorder="1" applyAlignment="1">
      <alignment horizontal="left" vertical="top"/>
    </xf>
    <xf numFmtId="0" fontId="126" fillId="0" borderId="140" xfId="17" applyFont="1" applyBorder="1" applyAlignment="1">
      <alignment horizontal="center" vertical="top"/>
    </xf>
    <xf numFmtId="0" fontId="126" fillId="0" borderId="141"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6" xfId="17" applyNumberFormat="1" applyFill="1" applyBorder="1" applyAlignment="1">
      <alignment horizontal="right" vertical="top"/>
    </xf>
    <xf numFmtId="38" fontId="7" fillId="23" borderId="157"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5" xfId="17" applyFont="1" applyFill="1" applyBorder="1" applyAlignment="1">
      <alignment horizontal="center" vertical="center" wrapText="1"/>
    </xf>
    <xf numFmtId="38" fontId="125" fillId="24" borderId="155" xfId="17" applyNumberFormat="1" applyFont="1" applyFill="1" applyBorder="1" applyAlignment="1">
      <alignment horizontal="center" vertical="center" wrapText="1"/>
    </xf>
    <xf numFmtId="3" fontId="55" fillId="24" borderId="130" xfId="0" applyNumberFormat="1" applyFont="1" applyFill="1" applyBorder="1" applyAlignment="1">
      <alignment horizontal="center"/>
    </xf>
    <xf numFmtId="3" fontId="55" fillId="24" borderId="130" xfId="0" applyNumberFormat="1" applyFont="1" applyFill="1" applyBorder="1" applyAlignment="1">
      <alignment horizontal="right"/>
    </xf>
    <xf numFmtId="3" fontId="55" fillId="24" borderId="131"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4"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6"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4" xfId="0" applyNumberFormat="1" applyFont="1" applyFill="1" applyBorder="1" applyAlignment="1">
      <alignment horizontal="left" vertical="center" wrapText="1"/>
    </xf>
    <xf numFmtId="49" fontId="64" fillId="18" borderId="126"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4"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6" xfId="0" applyFont="1" applyFill="1" applyBorder="1" applyAlignment="1">
      <alignment horizontal="left" vertical="center" wrapText="1"/>
    </xf>
    <xf numFmtId="3" fontId="64" fillId="18" borderId="126"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58" xfId="0" applyFont="1" applyBorder="1" applyAlignment="1">
      <alignment horizontal="centerContinuous" vertical="center"/>
    </xf>
    <xf numFmtId="0" fontId="55" fillId="0" borderId="159" xfId="0" applyFont="1" applyBorder="1" applyAlignment="1">
      <alignment horizontal="centerContinuous" vertical="center"/>
    </xf>
    <xf numFmtId="0" fontId="57" fillId="0" borderId="159"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6" xfId="17" applyFont="1" applyFill="1" applyBorder="1" applyAlignment="1" applyProtection="1">
      <alignment horizontal="left" vertical="top" wrapText="1"/>
    </xf>
    <xf numFmtId="49" fontId="127" fillId="21" borderId="156" xfId="17" applyNumberFormat="1" applyFont="1" applyFill="1" applyBorder="1" applyAlignment="1" applyProtection="1">
      <alignment horizontal="center" vertical="top"/>
    </xf>
    <xf numFmtId="0" fontId="127" fillId="21" borderId="156" xfId="17" applyFont="1" applyFill="1" applyBorder="1" applyAlignment="1" applyProtection="1">
      <alignment vertical="top"/>
    </xf>
    <xf numFmtId="38" fontId="127" fillId="21" borderId="156" xfId="17" applyNumberFormat="1" applyFont="1" applyFill="1" applyBorder="1" applyAlignment="1" applyProtection="1">
      <alignment horizontal="right" vertical="top"/>
    </xf>
    <xf numFmtId="38" fontId="127" fillId="21" borderId="156" xfId="17" applyNumberFormat="1" applyFont="1" applyFill="1" applyBorder="1" applyAlignment="1" applyProtection="1">
      <alignment vertical="top"/>
    </xf>
    <xf numFmtId="0" fontId="7" fillId="0" borderId="156" xfId="17" applyBorder="1" applyAlignment="1" applyProtection="1">
      <alignment horizontal="left" vertical="top" wrapText="1"/>
      <protection locked="0"/>
    </xf>
    <xf numFmtId="0" fontId="7" fillId="0" borderId="156" xfId="17" applyBorder="1" applyAlignment="1" applyProtection="1">
      <alignment vertical="top"/>
      <protection locked="0"/>
    </xf>
    <xf numFmtId="0" fontId="6" fillId="0" borderId="156" xfId="17" applyFont="1" applyBorder="1" applyAlignment="1" applyProtection="1">
      <alignment horizontal="left" vertical="top" wrapText="1"/>
      <protection locked="0"/>
    </xf>
    <xf numFmtId="0" fontId="6" fillId="0" borderId="156"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6" xfId="17" applyNumberFormat="1" applyBorder="1" applyAlignment="1" applyProtection="1">
      <alignment horizontal="center" vertical="center"/>
      <protection locked="0"/>
    </xf>
    <xf numFmtId="49" fontId="5" fillId="0" borderId="156"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6"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6"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6" xfId="17" applyNumberFormat="1" applyFill="1" applyBorder="1" applyAlignment="1" applyProtection="1">
      <alignment horizontal="right" vertical="top"/>
    </xf>
    <xf numFmtId="38" fontId="7" fillId="17" borderId="156" xfId="17" applyNumberFormat="1" applyFill="1" applyBorder="1" applyAlignment="1" applyProtection="1">
      <alignment vertical="top"/>
    </xf>
    <xf numFmtId="38" fontId="7" fillId="17" borderId="157" xfId="17" applyNumberFormat="1" applyFill="1" applyBorder="1" applyAlignment="1" applyProtection="1">
      <alignment horizontal="right" vertical="top"/>
    </xf>
    <xf numFmtId="38" fontId="7" fillId="17" borderId="157" xfId="17" applyNumberFormat="1" applyFill="1" applyBorder="1" applyAlignment="1" applyProtection="1">
      <alignment vertical="top"/>
    </xf>
    <xf numFmtId="0" fontId="7" fillId="17" borderId="157" xfId="17" applyFill="1" applyBorder="1" applyAlignment="1" applyProtection="1">
      <alignment horizontal="left" vertical="top" wrapText="1"/>
    </xf>
    <xf numFmtId="49" fontId="7" fillId="17" borderId="157" xfId="17" applyNumberFormat="1" applyFill="1" applyBorder="1" applyAlignment="1" applyProtection="1">
      <alignment vertical="top"/>
    </xf>
    <xf numFmtId="0" fontId="7" fillId="17" borderId="157" xfId="17" applyFill="1" applyBorder="1" applyAlignment="1" applyProtection="1">
      <alignment vertical="top"/>
    </xf>
    <xf numFmtId="0" fontId="55" fillId="17" borderId="125" xfId="0" applyFont="1" applyFill="1" applyBorder="1"/>
    <xf numFmtId="37" fontId="55" fillId="17" borderId="125" xfId="0" applyNumberFormat="1" applyFont="1" applyFill="1" applyBorder="1"/>
    <xf numFmtId="37" fontId="55" fillId="17" borderId="127"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6"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6"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0"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6" xfId="17" applyNumberFormat="1" applyBorder="1" applyAlignment="1" applyProtection="1">
      <alignment horizontal="right" vertical="top"/>
      <protection locked="0"/>
    </xf>
    <xf numFmtId="49" fontId="6" fillId="0" borderId="156" xfId="17" applyNumberFormat="1" applyFont="1" applyBorder="1" applyAlignment="1" applyProtection="1">
      <alignment horizontal="center" vertical="top"/>
      <protection locked="0"/>
    </xf>
    <xf numFmtId="49" fontId="5" fillId="0" borderId="156"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6"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1" xfId="18" applyFont="1" applyFill="1" applyBorder="1" applyAlignment="1" applyProtection="1">
      <alignment horizontal="center" vertical="center"/>
      <protection locked="0"/>
    </xf>
    <xf numFmtId="0" fontId="78" fillId="0" borderId="107" xfId="18" applyFont="1" applyBorder="1" applyAlignment="1">
      <alignment horizontal="left" vertical="center" wrapText="1"/>
    </xf>
    <xf numFmtId="0" fontId="78" fillId="0" borderId="163"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4" fillId="0" borderId="158" xfId="18" applyFont="1" applyBorder="1" applyAlignment="1">
      <alignment horizontal="left" vertical="center" wrapText="1"/>
    </xf>
    <xf numFmtId="0" fontId="104" fillId="0" borderId="159"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1" xfId="18" applyFont="1" applyFill="1" applyBorder="1" applyAlignment="1">
      <alignment horizontal="left" vertical="center" wrapText="1"/>
    </xf>
    <xf numFmtId="0" fontId="100" fillId="0" borderId="0" xfId="18" applyFont="1" applyProtection="1"/>
    <xf numFmtId="0" fontId="4" fillId="0" borderId="0" xfId="18" applyFont="1"/>
    <xf numFmtId="0" fontId="48" fillId="0" borderId="139" xfId="18" applyFont="1" applyBorder="1" applyAlignment="1">
      <alignment vertical="top"/>
    </xf>
    <xf numFmtId="0" fontId="48" fillId="0" borderId="140" xfId="18" applyFont="1" applyBorder="1" applyAlignment="1">
      <alignment vertical="top"/>
    </xf>
    <xf numFmtId="0" fontId="49" fillId="16" borderId="76" xfId="18" applyFont="1" applyFill="1" applyBorder="1" applyAlignment="1">
      <alignment vertical="top"/>
    </xf>
    <xf numFmtId="0" fontId="48" fillId="0" borderId="139" xfId="18" applyFont="1" applyBorder="1" applyAlignment="1">
      <alignment vertical="top" wrapText="1"/>
    </xf>
    <xf numFmtId="0" fontId="48" fillId="0" borderId="140"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7" xfId="18" applyFont="1" applyFill="1" applyBorder="1" applyAlignment="1">
      <alignment horizontal="center" vertical="center" wrapText="1"/>
    </xf>
    <xf numFmtId="0" fontId="104" fillId="24" borderId="162" xfId="18" applyFont="1" applyFill="1" applyBorder="1" applyAlignment="1">
      <alignment horizontal="center" vertical="center" wrapText="1"/>
    </xf>
    <xf numFmtId="0" fontId="104" fillId="18" borderId="138"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102" fillId="0" borderId="138"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6"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6"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49" fontId="101" fillId="0" borderId="105" xfId="18" applyNumberFormat="1" applyFont="1" applyBorder="1" applyAlignment="1" applyProtection="1">
      <alignment horizontal="center" vertical="center"/>
      <protection locked="0"/>
    </xf>
    <xf numFmtId="0" fontId="57" fillId="0" borderId="0" xfId="0" applyFont="1" applyAlignment="1">
      <alignment horizontal="right"/>
    </xf>
    <xf numFmtId="0" fontId="104" fillId="24" borderId="138" xfId="18" applyFont="1" applyFill="1" applyBorder="1" applyAlignment="1">
      <alignment horizontal="center" vertical="center" wrapText="1"/>
    </xf>
    <xf numFmtId="0" fontId="100" fillId="0" borderId="158" xfId="18" applyFont="1" applyFill="1" applyBorder="1"/>
    <xf numFmtId="0" fontId="49" fillId="18" borderId="136" xfId="18" applyFont="1" applyFill="1" applyBorder="1" applyAlignment="1">
      <alignment horizontal="center"/>
    </xf>
    <xf numFmtId="0" fontId="100" fillId="0" borderId="107" xfId="18" applyFont="1" applyBorder="1" applyProtection="1">
      <protection locked="0"/>
    </xf>
    <xf numFmtId="0" fontId="100" fillId="0" borderId="0" xfId="18" applyFont="1" applyBorder="1"/>
    <xf numFmtId="0" fontId="103" fillId="0" borderId="0" xfId="18" applyFont="1" applyBorder="1"/>
    <xf numFmtId="0" fontId="103" fillId="0" borderId="0" xfId="18" applyNumberFormat="1" applyFont="1" applyBorder="1"/>
    <xf numFmtId="0" fontId="4" fillId="0" borderId="0" xfId="18" applyFont="1" applyBorder="1"/>
    <xf numFmtId="0" fontId="133" fillId="0" borderId="0" xfId="18" applyFont="1" applyBorder="1"/>
    <xf numFmtId="0" fontId="3" fillId="0" borderId="156" xfId="17" applyFont="1" applyBorder="1" applyAlignment="1" applyProtection="1">
      <alignment horizontal="left" vertical="top" wrapText="1"/>
      <protection locked="0"/>
    </xf>
    <xf numFmtId="49" fontId="3" fillId="0" borderId="156" xfId="17" applyNumberFormat="1" applyFont="1" applyBorder="1" applyAlignment="1" applyProtection="1">
      <alignment horizontal="center" vertical="top"/>
      <protection locked="0"/>
    </xf>
    <xf numFmtId="0" fontId="3" fillId="0" borderId="156" xfId="17" applyFont="1" applyBorder="1" applyAlignment="1" applyProtection="1">
      <alignment vertical="top"/>
      <protection locked="0"/>
    </xf>
    <xf numFmtId="49" fontId="2" fillId="0" borderId="156" xfId="17" applyNumberFormat="1" applyFont="1" applyBorder="1" applyAlignment="1" applyProtection="1">
      <alignment horizontal="center" vertical="top"/>
      <protection locked="0"/>
    </xf>
    <xf numFmtId="0" fontId="2" fillId="0" borderId="156" xfId="17" applyFont="1" applyBorder="1" applyAlignment="1" applyProtection="1">
      <alignment vertical="top"/>
      <protection locked="0"/>
    </xf>
    <xf numFmtId="0" fontId="1" fillId="0" borderId="156" xfId="17" applyFont="1" applyBorder="1" applyAlignment="1" applyProtection="1">
      <alignment horizontal="left" vertical="top" wrapText="1"/>
      <protection locked="0"/>
    </xf>
    <xf numFmtId="0" fontId="73" fillId="0" borderId="15" xfId="3" applyFont="1" applyBorder="1" applyAlignment="1" applyProtection="1">
      <alignment horizontal="center"/>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5" xfId="12"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4"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4" fillId="0" borderId="133"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5"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5"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0"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5"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6" xfId="0" applyFont="1" applyBorder="1" applyAlignment="1" applyProtection="1">
      <alignment horizontal="left" vertical="center" wrapText="1" indent="1"/>
    </xf>
    <xf numFmtId="0" fontId="62" fillId="0" borderId="147"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6" xfId="0" applyFont="1" applyFill="1" applyBorder="1" applyAlignment="1" applyProtection="1">
      <alignment horizontal="left" vertical="center" indent="1"/>
    </xf>
    <xf numFmtId="0" fontId="64" fillId="17" borderId="145" xfId="0" applyFont="1" applyFill="1" applyBorder="1" applyAlignment="1" applyProtection="1">
      <alignment horizontal="left" vertical="center" indent="1"/>
    </xf>
    <xf numFmtId="0" fontId="64" fillId="3" borderId="146" xfId="0" applyFont="1" applyFill="1" applyBorder="1" applyAlignment="1" applyProtection="1">
      <alignment horizontal="left" vertical="center"/>
    </xf>
    <xf numFmtId="0" fontId="64" fillId="3" borderId="147"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5" xfId="0" applyFont="1" applyFill="1" applyBorder="1" applyAlignment="1" applyProtection="1">
      <alignment horizontal="left" vertical="center" indent="1"/>
    </xf>
    <xf numFmtId="0" fontId="65" fillId="24" borderId="146" xfId="0" applyFont="1" applyFill="1" applyBorder="1" applyAlignment="1" applyProtection="1">
      <alignment horizontal="left" vertical="center" indent="1"/>
    </xf>
    <xf numFmtId="0" fontId="65" fillId="24" borderId="147"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39" xfId="17" applyFont="1" applyFill="1" applyBorder="1" applyAlignment="1">
      <alignment horizontal="center" vertical="center"/>
    </xf>
    <xf numFmtId="0" fontId="126" fillId="24" borderId="140" xfId="17" applyFont="1" applyFill="1" applyBorder="1" applyAlignment="1">
      <alignment horizontal="center" vertical="center"/>
    </xf>
    <xf numFmtId="0" fontId="126" fillId="24" borderId="141"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0" xfId="18" applyFont="1" applyBorder="1" applyAlignment="1" applyProtection="1">
      <alignment horizontal="center" vertical="top" wrapText="1"/>
      <protection locked="0"/>
    </xf>
    <xf numFmtId="0" fontId="49" fillId="0" borderId="141"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6"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0" xfId="18" applyFont="1" applyBorder="1" applyAlignment="1" applyProtection="1">
      <alignment horizontal="center" vertical="top" wrapText="1"/>
      <protection locked="0"/>
    </xf>
    <xf numFmtId="0" fontId="4" fillId="0" borderId="141"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2" xfId="3" applyFont="1" applyBorder="1" applyAlignment="1">
      <alignment horizontal="center" vertical="center" wrapText="1"/>
    </xf>
    <xf numFmtId="0" fontId="73" fillId="0" borderId="132" xfId="3" applyNumberFormat="1" applyFont="1" applyBorder="1" applyAlignment="1">
      <alignment horizontal="center"/>
    </xf>
    <xf numFmtId="0" fontId="57" fillId="0" borderId="133" xfId="3" applyNumberFormat="1" applyFont="1" applyBorder="1" applyAlignment="1" applyProtection="1">
      <alignment horizontal="center"/>
      <protection locked="0"/>
    </xf>
    <xf numFmtId="171" fontId="57" fillId="0" borderId="133" xfId="3" applyNumberFormat="1" applyFont="1" applyBorder="1" applyAlignment="1" applyProtection="1">
      <alignment horizontal="center"/>
      <protection locked="0"/>
    </xf>
    <xf numFmtId="0" fontId="57" fillId="0" borderId="133"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4" xfId="0" applyFont="1" applyFill="1" applyBorder="1" applyAlignment="1">
      <alignment horizontal="center" vertical="center"/>
    </xf>
    <xf numFmtId="0" fontId="112" fillId="13" borderId="127" xfId="0" applyFont="1" applyFill="1" applyBorder="1" applyAlignment="1">
      <alignment horizontal="center" vertical="center"/>
    </xf>
    <xf numFmtId="0" fontId="112" fillId="13" borderId="152"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4" xfId="0" applyNumberFormat="1" applyFont="1" applyFill="1" applyBorder="1" applyAlignment="1">
      <alignment horizontal="center" vertical="top"/>
    </xf>
    <xf numFmtId="164" fontId="113" fillId="13" borderId="127" xfId="0" applyNumberFormat="1" applyFont="1" applyFill="1" applyBorder="1" applyAlignment="1">
      <alignment horizontal="center" vertical="top"/>
    </xf>
    <xf numFmtId="164" fontId="113" fillId="13" borderId="152"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7" xfId="0" applyNumberFormat="1" applyFont="1" applyBorder="1" applyAlignment="1">
      <alignment horizontal="left" vertical="center" wrapText="1"/>
    </xf>
    <xf numFmtId="0" fontId="57" fillId="0" borderId="125"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5" xfId="3" applyNumberFormat="1" applyFont="1" applyBorder="1" applyProtection="1"/>
    <xf numFmtId="0" fontId="55" fillId="0" borderId="146"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6" xfId="3" applyNumberFormat="1"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8" xfId="3" applyNumberFormat="1" applyFont="1" applyBorder="1" applyAlignment="1" applyProtection="1">
      <protection locked="0"/>
    </xf>
    <xf numFmtId="0" fontId="65" fillId="0" borderId="149" xfId="3" applyFont="1" applyBorder="1" applyAlignment="1" applyProtection="1">
      <protection locked="0"/>
    </xf>
    <xf numFmtId="0" fontId="62" fillId="0" borderId="0" xfId="3" applyFont="1" applyBorder="1" applyAlignment="1" applyProtection="1">
      <alignment horizontal="left" vertical="top" wrapText="1"/>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148"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9"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8" xfId="3" applyFont="1" applyBorder="1" applyAlignment="1" applyProtection="1">
      <alignment horizontal="center"/>
    </xf>
    <xf numFmtId="0" fontId="62" fillId="0" borderId="76" xfId="3" applyFont="1" applyBorder="1" applyAlignment="1" applyProtection="1">
      <alignment horizontal="center"/>
    </xf>
    <xf numFmtId="0" fontId="62" fillId="0" borderId="149" xfId="3" applyFont="1" applyBorder="1" applyAlignment="1" applyProtection="1">
      <alignment horizontal="center"/>
    </xf>
    <xf numFmtId="38" fontId="62" fillId="0" borderId="148"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9" xfId="3" applyNumberFormat="1" applyFont="1" applyBorder="1" applyAlignment="1" applyProtection="1">
      <alignment horizontal="right" vertical="center"/>
      <protection locked="0"/>
    </xf>
    <xf numFmtId="0" fontId="64" fillId="0" borderId="148"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9"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8" xfId="3" applyNumberFormat="1" applyFont="1" applyBorder="1" applyProtection="1">
      <protection locked="0"/>
    </xf>
    <xf numFmtId="6" fontId="62" fillId="0" borderId="149"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3"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7" t="s">
        <v>425</v>
      </c>
      <c r="J1" s="2008"/>
      <c r="K1" s="2008"/>
      <c r="L1" s="2008"/>
      <c r="M1" s="2008"/>
      <c r="N1" s="2008"/>
      <c r="O1" s="2008"/>
      <c r="P1" s="2008"/>
      <c r="Q1" s="2008"/>
      <c r="R1" s="2008"/>
      <c r="S1" s="2008"/>
    </row>
    <row r="2" spans="1:28" ht="12" customHeight="1" x14ac:dyDescent="0.2">
      <c r="A2" s="47" t="s">
        <v>1684</v>
      </c>
      <c r="D2" s="48"/>
      <c r="I2" s="2009" t="s">
        <v>1036</v>
      </c>
      <c r="J2" s="2008"/>
      <c r="K2" s="2008"/>
      <c r="L2" s="2008"/>
      <c r="M2" s="2008"/>
      <c r="N2" s="2008"/>
      <c r="O2" s="2008"/>
      <c r="P2" s="2008"/>
      <c r="Q2" s="2008"/>
      <c r="R2" s="2008"/>
      <c r="S2" s="2008"/>
    </row>
    <row r="3" spans="1:28" ht="12" customHeight="1" x14ac:dyDescent="0.2">
      <c r="A3" s="155" t="s">
        <v>1685</v>
      </c>
      <c r="B3" s="156"/>
      <c r="C3" s="156"/>
      <c r="D3" s="157"/>
      <c r="I3" s="2009" t="s">
        <v>54</v>
      </c>
      <c r="J3" s="2008"/>
      <c r="K3" s="2008"/>
      <c r="L3" s="2008"/>
      <c r="M3" s="2008"/>
      <c r="N3" s="2008"/>
      <c r="O3" s="2008"/>
      <c r="P3" s="2008"/>
      <c r="Q3" s="2008"/>
      <c r="R3" s="2008"/>
      <c r="S3" s="2008"/>
    </row>
    <row r="4" spans="1:28" ht="12" customHeight="1" x14ac:dyDescent="0.2">
      <c r="A4" s="37"/>
      <c r="I4" s="2009" t="s">
        <v>545</v>
      </c>
      <c r="J4" s="2008"/>
      <c r="K4" s="2008"/>
      <c r="L4" s="2008"/>
      <c r="M4" s="2008"/>
      <c r="N4" s="2008"/>
      <c r="O4" s="2008"/>
      <c r="P4" s="2008"/>
      <c r="Q4" s="2008"/>
      <c r="R4" s="2008"/>
      <c r="S4" s="2008"/>
    </row>
    <row r="5" spans="1:28" ht="14.1" customHeight="1" x14ac:dyDescent="0.2">
      <c r="B5" s="104" t="s">
        <v>2088</v>
      </c>
      <c r="C5" s="26" t="s">
        <v>966</v>
      </c>
      <c r="D5" s="84"/>
      <c r="E5" s="84"/>
      <c r="H5" s="38"/>
      <c r="I5" s="2017" t="s">
        <v>701</v>
      </c>
      <c r="J5" s="2016"/>
      <c r="K5" s="2016"/>
      <c r="L5" s="2016"/>
      <c r="M5" s="2016"/>
      <c r="N5" s="2016"/>
      <c r="O5" s="2016"/>
      <c r="P5" s="2016"/>
      <c r="Q5" s="2016"/>
      <c r="R5" s="2016"/>
      <c r="S5" s="2016"/>
    </row>
    <row r="6" spans="1:28" ht="14.1" customHeight="1" x14ac:dyDescent="0.2">
      <c r="B6" s="104"/>
      <c r="C6" s="26" t="s">
        <v>967</v>
      </c>
      <c r="D6" s="84"/>
      <c r="E6" s="84"/>
      <c r="I6" s="2015" t="s">
        <v>938</v>
      </c>
      <c r="J6" s="2016"/>
      <c r="K6" s="2016"/>
      <c r="L6" s="2016"/>
      <c r="M6" s="2016"/>
      <c r="N6" s="2016"/>
      <c r="O6" s="2016"/>
      <c r="P6" s="2016"/>
      <c r="Q6" s="2016"/>
      <c r="R6" s="2016"/>
      <c r="S6" s="2016"/>
    </row>
    <row r="7" spans="1:28" ht="12.2" customHeight="1" x14ac:dyDescent="0.2">
      <c r="I7" s="2010">
        <v>43281</v>
      </c>
      <c r="J7" s="2011"/>
      <c r="K7" s="2011"/>
      <c r="L7" s="2011"/>
      <c r="M7" s="2011"/>
      <c r="N7" s="2011"/>
      <c r="O7" s="2011"/>
      <c r="P7" s="2011"/>
      <c r="Q7" s="2011"/>
      <c r="R7" s="2011"/>
      <c r="S7" s="201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2" t="s">
        <v>695</v>
      </c>
      <c r="J9" s="2013"/>
      <c r="K9" s="2013"/>
      <c r="L9" s="2013"/>
      <c r="M9" s="2013"/>
      <c r="N9" s="2013"/>
      <c r="O9" s="2013"/>
      <c r="P9" s="2013"/>
      <c r="Q9" s="2013"/>
      <c r="R9" s="2013"/>
      <c r="S9" s="2014"/>
      <c r="T9" s="2028" t="s">
        <v>554</v>
      </c>
      <c r="U9" s="2029"/>
      <c r="V9" s="2029"/>
      <c r="W9" s="2029"/>
      <c r="X9" s="2029"/>
      <c r="Y9" s="2029"/>
      <c r="Z9" s="2029"/>
      <c r="AA9" s="2030"/>
    </row>
    <row r="10" spans="1:28" ht="13.5" customHeight="1" x14ac:dyDescent="0.2">
      <c r="A10" s="2035" t="s">
        <v>696</v>
      </c>
      <c r="B10" s="2036"/>
      <c r="C10" s="2036"/>
      <c r="D10" s="2036"/>
      <c r="E10" s="2036"/>
      <c r="F10" s="2036"/>
      <c r="G10" s="2036"/>
      <c r="H10" s="2037"/>
      <c r="I10" s="29"/>
      <c r="J10" s="30"/>
      <c r="K10" s="28"/>
      <c r="R10" s="30"/>
      <c r="S10" s="30"/>
      <c r="T10" s="2031"/>
      <c r="U10" s="2016"/>
      <c r="V10" s="2016"/>
      <c r="W10" s="2016"/>
      <c r="X10" s="2016"/>
      <c r="Y10" s="2016"/>
      <c r="Z10" s="2016"/>
      <c r="AA10" s="2022"/>
    </row>
    <row r="11" spans="1:28" ht="14.25" customHeight="1" x14ac:dyDescent="0.2">
      <c r="A11" s="2038" t="s">
        <v>1012</v>
      </c>
      <c r="B11" s="2039"/>
      <c r="C11" s="2039"/>
      <c r="D11" s="2039"/>
      <c r="E11" s="2039"/>
      <c r="F11" s="2039"/>
      <c r="G11" s="2039"/>
      <c r="H11" s="2040"/>
      <c r="I11" s="27"/>
      <c r="J11" s="74"/>
      <c r="K11" s="27"/>
      <c r="O11" s="148" t="s">
        <v>2077</v>
      </c>
      <c r="P11" s="100" t="s">
        <v>210</v>
      </c>
      <c r="Q11" s="30"/>
      <c r="R11" s="28"/>
      <c r="S11" s="27"/>
      <c r="T11" s="2032"/>
      <c r="U11" s="2033"/>
      <c r="V11" s="2033"/>
      <c r="W11" s="2033"/>
      <c r="X11" s="2033"/>
      <c r="Y11" s="2033"/>
      <c r="Z11" s="2033"/>
      <c r="AA11" s="203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2">
        <v>53090137002</v>
      </c>
      <c r="B13" s="2043"/>
      <c r="C13" s="2043"/>
      <c r="D13" s="2043"/>
      <c r="E13" s="2043"/>
      <c r="F13" s="2043"/>
      <c r="G13" s="2043"/>
      <c r="H13" s="2044"/>
      <c r="I13" s="31"/>
      <c r="J13" s="30"/>
      <c r="K13" s="28"/>
      <c r="L13" s="30"/>
      <c r="M13" s="30"/>
      <c r="N13" s="30"/>
      <c r="O13" s="30"/>
      <c r="P13" s="30"/>
      <c r="Q13" s="30"/>
      <c r="R13" s="30"/>
      <c r="S13" s="30"/>
      <c r="T13" s="2047" t="s">
        <v>2093</v>
      </c>
      <c r="U13" s="2048"/>
      <c r="V13" s="2048"/>
      <c r="W13" s="2048"/>
      <c r="X13" s="2048"/>
      <c r="Y13" s="2049"/>
      <c r="Z13" s="2049"/>
      <c r="AA13" s="205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1" t="s">
        <v>2092</v>
      </c>
      <c r="B15" s="2045"/>
      <c r="C15" s="2045"/>
      <c r="D15" s="2045"/>
      <c r="E15" s="2045"/>
      <c r="F15" s="2045"/>
      <c r="G15" s="2045"/>
      <c r="H15" s="2046"/>
      <c r="T15" s="2051" t="s">
        <v>2094</v>
      </c>
      <c r="U15" s="1995"/>
      <c r="V15" s="1995"/>
      <c r="W15" s="1995"/>
      <c r="X15" s="1995"/>
      <c r="Y15" s="2052"/>
      <c r="Z15" s="2052"/>
      <c r="AA15" s="205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1" t="s">
        <v>2137</v>
      </c>
      <c r="B17" s="2002"/>
      <c r="C17" s="2002"/>
      <c r="D17" s="2002"/>
      <c r="E17" s="2002"/>
      <c r="F17" s="2002"/>
      <c r="G17" s="2002"/>
      <c r="H17" s="2027"/>
      <c r="T17" s="2058" t="s">
        <v>2095</v>
      </c>
      <c r="U17" s="2059"/>
      <c r="V17" s="2059"/>
      <c r="W17" s="2059"/>
      <c r="X17" s="2059"/>
      <c r="Y17" s="2059"/>
      <c r="Z17" s="2059"/>
      <c r="AA17" s="2060"/>
    </row>
    <row r="18" spans="1:27" ht="13.5" customHeight="1" x14ac:dyDescent="0.2">
      <c r="A18" s="85" t="s">
        <v>551</v>
      </c>
      <c r="B18" s="76"/>
      <c r="C18" s="72"/>
      <c r="D18" s="76"/>
      <c r="E18" s="76"/>
      <c r="F18" s="76"/>
      <c r="G18" s="76"/>
      <c r="H18" s="56"/>
      <c r="I18" s="2026" t="s">
        <v>697</v>
      </c>
      <c r="J18" s="1977"/>
      <c r="K18" s="1977"/>
      <c r="L18" s="1977"/>
      <c r="M18" s="1977"/>
      <c r="N18" s="1977"/>
      <c r="O18" s="1977"/>
      <c r="P18" s="1977"/>
      <c r="Q18" s="1977"/>
      <c r="R18" s="1977"/>
      <c r="S18" s="1978"/>
      <c r="T18" s="85" t="s">
        <v>735</v>
      </c>
      <c r="U18" s="51"/>
      <c r="V18" s="72"/>
      <c r="W18" s="50"/>
      <c r="X18" s="85" t="s">
        <v>284</v>
      </c>
      <c r="Y18" s="81"/>
      <c r="Z18" s="159" t="s">
        <v>698</v>
      </c>
      <c r="AA18" s="46"/>
    </row>
    <row r="19" spans="1:27" ht="13.5" customHeight="1" x14ac:dyDescent="0.2">
      <c r="A19" s="2041" t="s">
        <v>2091</v>
      </c>
      <c r="B19" s="1987"/>
      <c r="C19" s="1987"/>
      <c r="D19" s="1987"/>
      <c r="E19" s="1987"/>
      <c r="F19" s="1987"/>
      <c r="G19" s="1987"/>
      <c r="H19" s="1967"/>
      <c r="I19" s="30"/>
      <c r="J19" s="99"/>
      <c r="K19" s="40"/>
      <c r="L19" s="38"/>
      <c r="M19" s="112" t="s">
        <v>333</v>
      </c>
      <c r="P19" s="27"/>
      <c r="Q19" s="27"/>
      <c r="R19" s="27"/>
      <c r="S19" s="31"/>
      <c r="T19" s="2041" t="s">
        <v>2096</v>
      </c>
      <c r="U19" s="1966"/>
      <c r="V19" s="1966"/>
      <c r="W19" s="1967"/>
      <c r="X19" s="2056" t="s">
        <v>2097</v>
      </c>
      <c r="Y19" s="2057"/>
      <c r="Z19" s="2054">
        <v>61571</v>
      </c>
      <c r="AA19" s="205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5" t="s">
        <v>2090</v>
      </c>
      <c r="B21" s="1966"/>
      <c r="C21" s="1966"/>
      <c r="D21" s="1966"/>
      <c r="E21" s="1966"/>
      <c r="F21" s="1966"/>
      <c r="G21" s="1966"/>
      <c r="H21" s="1967"/>
      <c r="I21" s="2021" t="s">
        <v>699</v>
      </c>
      <c r="J21" s="2016"/>
      <c r="K21" s="2016"/>
      <c r="L21" s="2016"/>
      <c r="M21" s="2016"/>
      <c r="N21" s="2016"/>
      <c r="O21" s="2016"/>
      <c r="P21" s="2016"/>
      <c r="Q21" s="2016"/>
      <c r="R21" s="2016"/>
      <c r="S21" s="2022"/>
      <c r="T21" s="2065" t="s">
        <v>2099</v>
      </c>
      <c r="U21" s="2066"/>
      <c r="V21" s="2066"/>
      <c r="W21" s="2066"/>
      <c r="X21" s="2071" t="s">
        <v>2098</v>
      </c>
      <c r="Y21" s="2072"/>
      <c r="Z21" s="2072"/>
      <c r="AA21" s="2073"/>
    </row>
    <row r="22" spans="1:27" ht="13.5" customHeight="1" x14ac:dyDescent="0.2">
      <c r="A22" s="87" t="s">
        <v>552</v>
      </c>
      <c r="B22" s="59"/>
      <c r="C22" s="59"/>
      <c r="D22" s="59"/>
      <c r="E22" s="59"/>
      <c r="F22" s="59"/>
      <c r="G22" s="59"/>
      <c r="H22" s="60"/>
      <c r="I22" s="2023" t="s">
        <v>1504</v>
      </c>
      <c r="J22" s="2024"/>
      <c r="K22" s="2024"/>
      <c r="L22" s="2024"/>
      <c r="M22" s="2024"/>
      <c r="N22" s="2024"/>
      <c r="O22" s="2024"/>
      <c r="P22" s="2024"/>
      <c r="Q22" s="2024"/>
      <c r="R22" s="2024"/>
      <c r="S22" s="2025"/>
      <c r="T22" s="85" t="s">
        <v>1596</v>
      </c>
      <c r="U22" s="51"/>
      <c r="V22" s="72"/>
      <c r="W22" s="51"/>
      <c r="X22" s="160" t="s">
        <v>1385</v>
      </c>
      <c r="Z22" s="45"/>
      <c r="AA22" s="46"/>
    </row>
    <row r="23" spans="1:27" ht="13.5" customHeight="1" x14ac:dyDescent="0.2">
      <c r="A23" s="2018" t="s">
        <v>2089</v>
      </c>
      <c r="B23" s="2019"/>
      <c r="C23" s="2019"/>
      <c r="D23" s="2019"/>
      <c r="E23" s="2019"/>
      <c r="F23" s="2019"/>
      <c r="G23" s="2019"/>
      <c r="H23" s="2020"/>
      <c r="T23" s="2001" t="s">
        <v>2100</v>
      </c>
      <c r="U23" s="2064"/>
      <c r="V23" s="2064"/>
      <c r="W23" s="2064"/>
      <c r="X23" s="2068">
        <v>44530</v>
      </c>
      <c r="Y23" s="2069"/>
      <c r="Z23" s="2069"/>
      <c r="AA23" s="2070"/>
    </row>
    <row r="24" spans="1:27" ht="14.1" customHeight="1" x14ac:dyDescent="0.2">
      <c r="A24" s="88" t="s">
        <v>698</v>
      </c>
      <c r="B24" s="49"/>
      <c r="C24" s="49"/>
      <c r="D24" s="49"/>
      <c r="E24" s="49"/>
      <c r="F24" s="49"/>
      <c r="G24" s="49"/>
      <c r="H24" s="61"/>
      <c r="J24" s="1988" t="str">
        <f>IF(B5="x",IF(AUDITCHECK!D29="AFR form Incomplete.","",IF(AUDITCHECK!D29="Deficit reduction plan is required.","School District must complete a deficit reduction plan in the 2018-2019 Budget",)),"")</f>
        <v/>
      </c>
      <c r="K24" s="1988"/>
      <c r="L24" s="1988"/>
      <c r="M24" s="1988"/>
      <c r="N24" s="1988"/>
      <c r="O24" s="1988"/>
      <c r="P24" s="1988"/>
      <c r="Q24" s="1988"/>
      <c r="R24" s="1988"/>
      <c r="S24" s="1989"/>
      <c r="T24" s="105" t="s">
        <v>552</v>
      </c>
      <c r="U24" s="106"/>
      <c r="V24" s="106"/>
      <c r="W24" s="106"/>
      <c r="X24" s="107"/>
      <c r="Y24" s="107"/>
      <c r="Z24" s="107"/>
      <c r="AA24" s="108"/>
    </row>
    <row r="25" spans="1:27" ht="14.1" customHeight="1" x14ac:dyDescent="0.2">
      <c r="A25" s="1965">
        <v>61554</v>
      </c>
      <c r="B25" s="1966"/>
      <c r="C25" s="1966"/>
      <c r="D25" s="1966"/>
      <c r="E25" s="1966"/>
      <c r="F25" s="1966"/>
      <c r="G25" s="1966"/>
      <c r="H25" s="1967"/>
      <c r="I25" s="113"/>
      <c r="J25" s="1990"/>
      <c r="K25" s="1990"/>
      <c r="L25" s="1990"/>
      <c r="M25" s="1990"/>
      <c r="N25" s="1990"/>
      <c r="O25" s="1990"/>
      <c r="P25" s="1990"/>
      <c r="Q25" s="1990"/>
      <c r="R25" s="1990"/>
      <c r="S25" s="1991"/>
      <c r="T25" s="2061" t="s">
        <v>2101</v>
      </c>
      <c r="U25" s="2062"/>
      <c r="V25" s="2062"/>
      <c r="W25" s="2062"/>
      <c r="X25" s="2062"/>
      <c r="Y25" s="2062"/>
      <c r="Z25" s="2062"/>
      <c r="AA25" s="20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6" t="s">
        <v>1591</v>
      </c>
      <c r="J27" s="1977"/>
      <c r="K27" s="1977"/>
      <c r="L27" s="1977"/>
      <c r="M27" s="1977"/>
      <c r="N27" s="1977"/>
      <c r="O27" s="1977"/>
      <c r="P27" s="1977"/>
      <c r="Q27" s="1977"/>
      <c r="R27" s="1977"/>
      <c r="S27" s="197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7"/>
      <c r="Q35" s="1966"/>
      <c r="R35" s="196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1" t="s">
        <v>2102</v>
      </c>
      <c r="B38" s="2002"/>
      <c r="C38" s="2002"/>
      <c r="D38" s="2002"/>
      <c r="E38" s="2002"/>
      <c r="F38" s="1966"/>
      <c r="G38" s="1966"/>
      <c r="H38" s="1967"/>
      <c r="I38" s="1994"/>
      <c r="J38" s="1995"/>
      <c r="K38" s="1995"/>
      <c r="L38" s="1995"/>
      <c r="M38" s="1995"/>
      <c r="N38" s="1995"/>
      <c r="O38" s="1995"/>
      <c r="P38" s="1996"/>
      <c r="Q38" s="1996"/>
      <c r="R38" s="1996"/>
      <c r="S38" s="1997"/>
      <c r="T38" s="2051"/>
      <c r="U38" s="1995"/>
      <c r="V38" s="1995"/>
      <c r="W38" s="1995"/>
      <c r="X38" s="1996"/>
      <c r="Y38" s="1996"/>
      <c r="Z38" s="1996"/>
      <c r="AA38" s="1997"/>
    </row>
    <row r="39" spans="1:27" ht="12" customHeight="1" x14ac:dyDescent="0.2">
      <c r="A39" s="1971" t="s">
        <v>552</v>
      </c>
      <c r="B39" s="1972"/>
      <c r="C39" s="72"/>
      <c r="D39" s="69"/>
      <c r="E39" s="69"/>
      <c r="F39" s="79"/>
      <c r="G39" s="69"/>
      <c r="H39" s="56"/>
      <c r="I39" s="1971" t="s">
        <v>552</v>
      </c>
      <c r="J39" s="1972"/>
      <c r="K39" s="1972"/>
      <c r="L39" s="1972"/>
      <c r="M39" s="1972"/>
      <c r="N39" s="67"/>
      <c r="O39" s="72"/>
      <c r="P39" s="72"/>
      <c r="Q39" s="78"/>
      <c r="R39" s="72"/>
      <c r="S39" s="56"/>
      <c r="T39" s="72" t="s">
        <v>552</v>
      </c>
      <c r="U39" s="51"/>
      <c r="V39" s="72"/>
      <c r="W39" s="50"/>
      <c r="X39" s="78"/>
      <c r="Y39" s="45"/>
      <c r="Z39" s="45"/>
      <c r="AA39" s="46"/>
    </row>
    <row r="40" spans="1:27" ht="13.5" customHeight="1" x14ac:dyDescent="0.2">
      <c r="A40" s="1979" t="s">
        <v>2089</v>
      </c>
      <c r="B40" s="1980"/>
      <c r="C40" s="1981"/>
      <c r="D40" s="1981"/>
      <c r="E40" s="1981"/>
      <c r="F40" s="1982"/>
      <c r="G40" s="1982"/>
      <c r="H40" s="1983"/>
      <c r="I40" s="2004"/>
      <c r="J40" s="2005"/>
      <c r="K40" s="2005"/>
      <c r="L40" s="2005"/>
      <c r="M40" s="2005"/>
      <c r="N40" s="2005"/>
      <c r="O40" s="2005"/>
      <c r="P40" s="2005"/>
      <c r="Q40" s="2005"/>
      <c r="R40" s="2005"/>
      <c r="S40" s="2006"/>
      <c r="T40" s="2004"/>
      <c r="U40" s="2067"/>
      <c r="V40" s="2005"/>
      <c r="W40" s="2005"/>
      <c r="X40" s="2005"/>
      <c r="Y40" s="2005"/>
      <c r="Z40" s="2005"/>
      <c r="AA40" s="200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3" t="s">
        <v>2103</v>
      </c>
      <c r="B42" s="1985"/>
      <c r="C42" s="1986"/>
      <c r="D42" s="1984" t="s">
        <v>2104</v>
      </c>
      <c r="E42" s="1985"/>
      <c r="F42" s="1985"/>
      <c r="G42" s="1985"/>
      <c r="H42" s="1986"/>
      <c r="I42" s="1968"/>
      <c r="J42" s="1969"/>
      <c r="K42" s="1969"/>
      <c r="L42" s="1969"/>
      <c r="M42" s="1969"/>
      <c r="N42" s="1969"/>
      <c r="O42" s="1970"/>
      <c r="P42" s="2003"/>
      <c r="Q42" s="1969"/>
      <c r="R42" s="1969"/>
      <c r="S42" s="1970"/>
      <c r="T42" s="1968"/>
      <c r="U42" s="1969"/>
      <c r="V42" s="1969"/>
      <c r="W42" s="1970"/>
      <c r="X42" s="2003"/>
      <c r="Y42" s="1969"/>
      <c r="Z42" s="1969"/>
      <c r="AA42" s="197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8"/>
      <c r="B44" s="1999"/>
      <c r="C44" s="1999"/>
      <c r="D44" s="1999"/>
      <c r="E44" s="1999"/>
      <c r="F44" s="1999"/>
      <c r="G44" s="1999"/>
      <c r="H44" s="2000"/>
      <c r="I44" s="1973"/>
      <c r="J44" s="1974"/>
      <c r="K44" s="1974"/>
      <c r="L44" s="1974"/>
      <c r="M44" s="1974"/>
      <c r="N44" s="1974"/>
      <c r="O44" s="1974"/>
      <c r="P44" s="1974"/>
      <c r="Q44" s="1974"/>
      <c r="R44" s="1974"/>
      <c r="S44" s="1975"/>
      <c r="T44" s="1973"/>
      <c r="U44" s="1992"/>
      <c r="V44" s="1992"/>
      <c r="W44" s="1992"/>
      <c r="X44" s="1992"/>
      <c r="Y44" s="1992"/>
      <c r="Z44" s="1974"/>
      <c r="AA44" s="197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O12" sqref="O12"/>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0" t="s">
        <v>106</v>
      </c>
    </row>
    <row r="2" spans="1:6" ht="39.75" customHeight="1" x14ac:dyDescent="0.2">
      <c r="A2" s="2207" t="s">
        <v>1905</v>
      </c>
      <c r="B2" s="1550" t="s">
        <v>2037</v>
      </c>
      <c r="C2" s="715" t="s">
        <v>1910</v>
      </c>
      <c r="D2" s="715" t="s">
        <v>1911</v>
      </c>
      <c r="E2" s="715" t="s">
        <v>1912</v>
      </c>
      <c r="F2" s="715" t="s">
        <v>1913</v>
      </c>
    </row>
    <row r="3" spans="1:6" ht="12" customHeight="1" x14ac:dyDescent="0.2">
      <c r="A3" s="2208"/>
      <c r="B3" s="1547"/>
      <c r="C3" s="1548"/>
      <c r="D3" s="1549" t="s">
        <v>274</v>
      </c>
      <c r="E3" s="1548"/>
      <c r="F3" s="1549" t="s">
        <v>275</v>
      </c>
    </row>
    <row r="4" spans="1:6" ht="13.7" customHeight="1" x14ac:dyDescent="0.2">
      <c r="A4" s="716" t="s">
        <v>1217</v>
      </c>
      <c r="B4" s="1771">
        <f>'Revenues 9-14'!C5</f>
        <v>194481</v>
      </c>
      <c r="C4" s="1546"/>
      <c r="D4" s="1774">
        <f>B4-C4</f>
        <v>194481</v>
      </c>
      <c r="E4" s="1546">
        <v>203579</v>
      </c>
      <c r="F4" s="1774">
        <f>E4-C4</f>
        <v>203579</v>
      </c>
    </row>
    <row r="5" spans="1:6" ht="13.7" customHeight="1" x14ac:dyDescent="0.2">
      <c r="A5" s="716" t="s">
        <v>925</v>
      </c>
      <c r="B5" s="1772">
        <f>'Revenues 9-14'!D5</f>
        <v>47655</v>
      </c>
      <c r="C5" s="585"/>
      <c r="D5" s="1775">
        <f t="shared" ref="D5:D18" si="0">B5-C5</f>
        <v>47655</v>
      </c>
      <c r="E5" s="585">
        <v>49885</v>
      </c>
      <c r="F5" s="1775">
        <f>E5-C5</f>
        <v>49885</v>
      </c>
    </row>
    <row r="6" spans="1:6" ht="13.7" customHeight="1" x14ac:dyDescent="0.2">
      <c r="A6" s="716" t="s">
        <v>431</v>
      </c>
      <c r="B6" s="1772">
        <f>'Revenues 9-14'!E5</f>
        <v>97530</v>
      </c>
      <c r="C6" s="585"/>
      <c r="D6" s="1775">
        <f t="shared" si="0"/>
        <v>97530</v>
      </c>
      <c r="E6" s="585">
        <v>79611</v>
      </c>
      <c r="F6" s="1775">
        <f t="shared" ref="F6:F18" si="1">E6-C6</f>
        <v>79611</v>
      </c>
    </row>
    <row r="7" spans="1:6" ht="13.7" customHeight="1" x14ac:dyDescent="0.2">
      <c r="A7" s="716" t="s">
        <v>157</v>
      </c>
      <c r="B7" s="1772">
        <f>'Revenues 9-14'!F5</f>
        <v>21309</v>
      </c>
      <c r="C7" s="585"/>
      <c r="D7" s="1775">
        <f t="shared" si="0"/>
        <v>21309</v>
      </c>
      <c r="E7" s="585">
        <v>22306</v>
      </c>
      <c r="F7" s="1775">
        <f t="shared" si="1"/>
        <v>22306</v>
      </c>
    </row>
    <row r="8" spans="1:6" ht="13.7" customHeight="1" x14ac:dyDescent="0.2">
      <c r="A8" s="716" t="s">
        <v>1241</v>
      </c>
      <c r="B8" s="1772">
        <f>'Revenues 9-14'!G5</f>
        <v>29394</v>
      </c>
      <c r="C8" s="585"/>
      <c r="D8" s="1775">
        <f t="shared" si="0"/>
        <v>29394</v>
      </c>
      <c r="E8" s="585">
        <v>30768</v>
      </c>
      <c r="F8" s="1775">
        <f t="shared" si="1"/>
        <v>30768</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4530</v>
      </c>
      <c r="C10" s="585"/>
      <c r="D10" s="1775">
        <f t="shared" si="0"/>
        <v>4530</v>
      </c>
      <c r="E10" s="585">
        <v>4741</v>
      </c>
      <c r="F10" s="1775">
        <f t="shared" si="1"/>
        <v>4741</v>
      </c>
    </row>
    <row r="11" spans="1:6" x14ac:dyDescent="0.2">
      <c r="A11" s="716" t="s">
        <v>429</v>
      </c>
      <c r="B11" s="1772">
        <f>'Revenues 9-14'!J5</f>
        <v>22185</v>
      </c>
      <c r="C11" s="585"/>
      <c r="D11" s="1775">
        <f t="shared" si="0"/>
        <v>22185</v>
      </c>
      <c r="E11" s="585">
        <v>23223</v>
      </c>
      <c r="F11" s="1775">
        <f t="shared" si="1"/>
        <v>23223</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2839</v>
      </c>
      <c r="C14" s="585"/>
      <c r="D14" s="1775">
        <f t="shared" si="0"/>
        <v>2839</v>
      </c>
      <c r="E14" s="585">
        <v>2971</v>
      </c>
      <c r="F14" s="1775">
        <f t="shared" si="1"/>
        <v>2971</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29394</v>
      </c>
      <c r="C16" s="585"/>
      <c r="D16" s="1775">
        <f t="shared" si="0"/>
        <v>29394</v>
      </c>
      <c r="E16" s="585">
        <v>30768</v>
      </c>
      <c r="F16" s="1775">
        <f t="shared" si="1"/>
        <v>30768</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449317</v>
      </c>
      <c r="C19" s="1773">
        <f>SUM(C4:C18)</f>
        <v>0</v>
      </c>
      <c r="D19" s="1773">
        <f>SUM(D4:D18)</f>
        <v>449317</v>
      </c>
      <c r="E19" s="1773">
        <f>SUM(E4:E18)</f>
        <v>447852</v>
      </c>
      <c r="F19" s="1773">
        <f>SUM(F4:F18)</f>
        <v>447852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O12" sqref="O1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9" t="s">
        <v>650</v>
      </c>
      <c r="B1" s="2227"/>
      <c r="C1" s="722"/>
    </row>
    <row r="2" spans="1:7" ht="33.75" x14ac:dyDescent="0.2">
      <c r="A2" s="2234" t="s">
        <v>1905</v>
      </c>
      <c r="B2" s="2235"/>
      <c r="C2" s="1901" t="s">
        <v>2038</v>
      </c>
      <c r="D2" s="724" t="s">
        <v>2045</v>
      </c>
      <c r="E2" s="724" t="s">
        <v>2046</v>
      </c>
      <c r="F2" s="1901" t="s">
        <v>2039</v>
      </c>
    </row>
    <row r="3" spans="1:7" ht="15.75" customHeight="1" x14ac:dyDescent="0.2">
      <c r="A3" s="2236" t="s">
        <v>1176</v>
      </c>
      <c r="B3" s="2237"/>
      <c r="C3" s="2230"/>
      <c r="D3" s="2231"/>
      <c r="E3" s="2231"/>
      <c r="F3" s="2232"/>
    </row>
    <row r="4" spans="1:7" ht="12.75" customHeight="1" thickBot="1" x14ac:dyDescent="0.25">
      <c r="A4" s="2224" t="s">
        <v>651</v>
      </c>
      <c r="B4" s="2225"/>
      <c r="C4" s="581"/>
      <c r="D4" s="581"/>
      <c r="E4" s="581"/>
      <c r="F4" s="1777">
        <f>SUM(C4+D4)-E4</f>
        <v>0</v>
      </c>
    </row>
    <row r="5" spans="1:7" ht="15.75" customHeight="1" thickTop="1" x14ac:dyDescent="0.2">
      <c r="A5" s="2228" t="s">
        <v>1172</v>
      </c>
      <c r="B5" s="2223"/>
      <c r="C5" s="2217"/>
      <c r="D5" s="2218"/>
      <c r="E5" s="2218"/>
      <c r="F5" s="2219"/>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0" t="s">
        <v>652</v>
      </c>
      <c r="B15" s="2221"/>
      <c r="C15" s="1777">
        <f>SUM(C6:C14)</f>
        <v>0</v>
      </c>
      <c r="D15" s="1777">
        <f>SUM(D6:D14)</f>
        <v>0</v>
      </c>
      <c r="E15" s="1777">
        <f>SUM(E6:E14)</f>
        <v>0</v>
      </c>
      <c r="F15" s="1777">
        <f>SUM(F6:F14)</f>
        <v>0</v>
      </c>
      <c r="G15" s="552"/>
    </row>
    <row r="16" spans="1:7" s="202" customFormat="1" ht="15.75" customHeight="1" thickTop="1" x14ac:dyDescent="0.2">
      <c r="A16" s="2233" t="s">
        <v>1173</v>
      </c>
      <c r="B16" s="2223"/>
      <c r="C16" s="2217"/>
      <c r="D16" s="2218"/>
      <c r="E16" s="2218"/>
      <c r="F16" s="2219"/>
    </row>
    <row r="17" spans="1:11" ht="12.75" customHeight="1" thickBot="1" x14ac:dyDescent="0.25">
      <c r="A17" s="2215" t="s">
        <v>66</v>
      </c>
      <c r="B17" s="2216"/>
      <c r="C17" s="727"/>
      <c r="D17" s="585"/>
      <c r="E17" s="727"/>
      <c r="F17" s="1777">
        <f>SUM(C17+D17)-E17</f>
        <v>0</v>
      </c>
    </row>
    <row r="18" spans="1:11" ht="12.75" customHeight="1" thickTop="1" thickBot="1" x14ac:dyDescent="0.25">
      <c r="A18" s="2215" t="s">
        <v>6</v>
      </c>
      <c r="B18" s="2216"/>
      <c r="C18" s="727"/>
      <c r="D18" s="585"/>
      <c r="E18" s="727"/>
      <c r="F18" s="1777">
        <f>SUM(C18+D18)-E18</f>
        <v>0</v>
      </c>
    </row>
    <row r="19" spans="1:11" ht="12.75" customHeight="1" thickTop="1" thickBot="1" x14ac:dyDescent="0.25">
      <c r="A19" s="2215" t="s">
        <v>406</v>
      </c>
      <c r="B19" s="2216"/>
      <c r="C19" s="727"/>
      <c r="D19" s="585"/>
      <c r="E19" s="727"/>
      <c r="F19" s="1777">
        <f>SUM(C19+D19)-E19</f>
        <v>0</v>
      </c>
    </row>
    <row r="20" spans="1:11" ht="12.75" customHeight="1" thickTop="1" thickBot="1" x14ac:dyDescent="0.25">
      <c r="A20" s="2215" t="s">
        <v>468</v>
      </c>
      <c r="B20" s="2216"/>
      <c r="C20" s="727"/>
      <c r="D20" s="585"/>
      <c r="E20" s="727"/>
      <c r="F20" s="1777">
        <f>SUM(C20+D20)-E20</f>
        <v>0</v>
      </c>
    </row>
    <row r="21" spans="1:11" ht="14.25" thickTop="1" thickBot="1" x14ac:dyDescent="0.25">
      <c r="A21" s="2220" t="s">
        <v>653</v>
      </c>
      <c r="B21" s="2221"/>
      <c r="C21" s="1777">
        <f>SUM(C17:C20)</f>
        <v>0</v>
      </c>
      <c r="D21" s="1777">
        <f>SUM(D17:D20)</f>
        <v>0</v>
      </c>
      <c r="E21" s="1777">
        <f>SUM(E17:E20)</f>
        <v>0</v>
      </c>
      <c r="F21" s="1777">
        <f>SUM(F17:F20)</f>
        <v>0</v>
      </c>
      <c r="G21" s="552"/>
    </row>
    <row r="22" spans="1:11" ht="15.75" customHeight="1" thickTop="1" x14ac:dyDescent="0.2">
      <c r="A22" s="2222" t="s">
        <v>1174</v>
      </c>
      <c r="B22" s="2223"/>
      <c r="C22" s="2217"/>
      <c r="D22" s="2218"/>
      <c r="E22" s="2218"/>
      <c r="F22" s="2219"/>
    </row>
    <row r="23" spans="1:11" ht="13.5" thickBot="1" x14ac:dyDescent="0.25">
      <c r="A23" s="2224" t="s">
        <v>654</v>
      </c>
      <c r="B23" s="2225"/>
      <c r="C23" s="581"/>
      <c r="D23" s="581"/>
      <c r="E23" s="581"/>
      <c r="F23" s="1777">
        <f>SUM(C23+D23)-E23</f>
        <v>0</v>
      </c>
      <c r="G23" s="552"/>
    </row>
    <row r="24" spans="1:11" ht="15.75" customHeight="1" thickTop="1" x14ac:dyDescent="0.2">
      <c r="A24" s="2222" t="s">
        <v>1175</v>
      </c>
      <c r="B24" s="2223"/>
      <c r="C24" s="2217"/>
      <c r="D24" s="2218"/>
      <c r="E24" s="2218"/>
      <c r="F24" s="2219"/>
    </row>
    <row r="25" spans="1:11" ht="13.5" thickBot="1" x14ac:dyDescent="0.25">
      <c r="A25" s="2224" t="s">
        <v>655</v>
      </c>
      <c r="B25" s="2225"/>
      <c r="C25" s="581"/>
      <c r="D25" s="581"/>
      <c r="E25" s="581"/>
      <c r="F25" s="1777">
        <f>SUM(C25+D25)-E25</f>
        <v>0</v>
      </c>
      <c r="G25" s="552"/>
    </row>
    <row r="26" spans="1:11" ht="15.75" customHeight="1" thickTop="1" x14ac:dyDescent="0.2">
      <c r="A26" s="2228" t="s">
        <v>678</v>
      </c>
      <c r="B26" s="2223"/>
      <c r="C26" s="728"/>
      <c r="D26" s="728"/>
      <c r="E26" s="728"/>
      <c r="F26" s="729"/>
    </row>
    <row r="27" spans="1:11" ht="13.5" thickBot="1" x14ac:dyDescent="0.25">
      <c r="A27" s="2220" t="s">
        <v>1130</v>
      </c>
      <c r="B27" s="2221"/>
      <c r="C27" s="585"/>
      <c r="D27" s="585"/>
      <c r="E27" s="585"/>
      <c r="F27" s="1777">
        <f>SUM(C27+D27)-E27</f>
        <v>0</v>
      </c>
      <c r="G27" s="552"/>
    </row>
    <row r="28" spans="1:11" ht="7.5" customHeight="1" thickTop="1" x14ac:dyDescent="0.2">
      <c r="A28" s="594"/>
    </row>
    <row r="29" spans="1:11" ht="23.25" customHeight="1" x14ac:dyDescent="0.2">
      <c r="A29" s="2226" t="s">
        <v>603</v>
      </c>
      <c r="B29" s="2227"/>
      <c r="C29" s="730"/>
      <c r="D29" s="730"/>
      <c r="E29" s="730"/>
      <c r="F29" s="730"/>
      <c r="G29" s="730"/>
      <c r="H29" s="730"/>
      <c r="I29" s="730"/>
      <c r="J29" s="730"/>
    </row>
    <row r="30" spans="1:11" ht="33.75" x14ac:dyDescent="0.2">
      <c r="A30" s="1551" t="s">
        <v>1131</v>
      </c>
      <c r="B30" s="731" t="s">
        <v>1186</v>
      </c>
      <c r="C30" s="1902" t="s">
        <v>604</v>
      </c>
      <c r="D30" s="1902" t="s">
        <v>1772</v>
      </c>
      <c r="E30" s="1902" t="s">
        <v>2040</v>
      </c>
      <c r="F30" s="1902" t="s">
        <v>2041</v>
      </c>
      <c r="G30" s="1902" t="s">
        <v>2044</v>
      </c>
      <c r="H30" s="1902" t="s">
        <v>2042</v>
      </c>
      <c r="I30" s="1902" t="s">
        <v>2043</v>
      </c>
      <c r="J30" s="1903" t="s">
        <v>2</v>
      </c>
      <c r="K30" s="732"/>
    </row>
    <row r="31" spans="1:11" ht="12" customHeight="1" x14ac:dyDescent="0.2">
      <c r="A31" s="733" t="s">
        <v>2078</v>
      </c>
      <c r="B31" s="734">
        <v>39264</v>
      </c>
      <c r="C31" s="735">
        <v>150000</v>
      </c>
      <c r="D31" s="736">
        <v>1</v>
      </c>
      <c r="E31" s="735">
        <v>20000</v>
      </c>
      <c r="F31" s="735"/>
      <c r="G31" s="735"/>
      <c r="H31" s="735">
        <v>20000</v>
      </c>
      <c r="I31" s="1778">
        <f>((E31+F31)-H31)+G31</f>
        <v>0</v>
      </c>
      <c r="J31" s="735"/>
      <c r="K31" s="737"/>
    </row>
    <row r="32" spans="1:11" ht="12" customHeight="1" x14ac:dyDescent="0.2">
      <c r="A32" s="733" t="s">
        <v>2079</v>
      </c>
      <c r="B32" s="734">
        <v>40725</v>
      </c>
      <c r="C32" s="735">
        <v>835000</v>
      </c>
      <c r="D32" s="736">
        <v>6</v>
      </c>
      <c r="E32" s="735">
        <v>730000</v>
      </c>
      <c r="F32" s="735"/>
      <c r="G32" s="735"/>
      <c r="H32" s="735">
        <v>30000</v>
      </c>
      <c r="I32" s="1778">
        <f>((E32+F32)-H32)+G32</f>
        <v>700000</v>
      </c>
      <c r="J32" s="735">
        <f>700000-551</f>
        <v>699449</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985000</v>
      </c>
      <c r="D49" s="746"/>
      <c r="E49" s="1778">
        <f t="shared" ref="E49:J49" si="2">SUM(E31:E48)</f>
        <v>750000</v>
      </c>
      <c r="F49" s="1778">
        <f t="shared" si="2"/>
        <v>0</v>
      </c>
      <c r="G49" s="1778">
        <f t="shared" si="2"/>
        <v>0</v>
      </c>
      <c r="H49" s="1778">
        <f t="shared" si="2"/>
        <v>50000</v>
      </c>
      <c r="I49" s="1778">
        <f t="shared" si="2"/>
        <v>700000</v>
      </c>
      <c r="J49" s="1778">
        <f t="shared" si="2"/>
        <v>699449</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9" t="s">
        <v>605</v>
      </c>
      <c r="C52" s="2210"/>
      <c r="D52" s="2210"/>
      <c r="E52" s="750" t="s">
        <v>900</v>
      </c>
      <c r="F52" s="2211"/>
      <c r="G52" s="2212"/>
      <c r="H52" s="737"/>
      <c r="I52" s="737"/>
      <c r="J52" s="747"/>
    </row>
    <row r="53" spans="1:11" ht="11.25" customHeight="1" x14ac:dyDescent="0.2">
      <c r="A53" s="751" t="s">
        <v>969</v>
      </c>
      <c r="B53" s="752" t="s">
        <v>1008</v>
      </c>
      <c r="C53" s="747"/>
      <c r="D53" s="738"/>
      <c r="E53" s="750" t="s">
        <v>518</v>
      </c>
      <c r="F53" s="2213"/>
      <c r="G53" s="2214"/>
      <c r="H53" s="737"/>
      <c r="I53" s="737"/>
      <c r="J53" s="747"/>
    </row>
    <row r="54" spans="1:11" ht="11.25" customHeight="1" x14ac:dyDescent="0.2">
      <c r="A54" s="753" t="s">
        <v>970</v>
      </c>
      <c r="B54" s="748" t="s">
        <v>1009</v>
      </c>
      <c r="C54" s="747"/>
      <c r="D54" s="738"/>
      <c r="E54" s="750" t="s">
        <v>519</v>
      </c>
      <c r="F54" s="2213"/>
      <c r="G54" s="221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2" colorId="8" zoomScale="110" zoomScaleNormal="110" workbookViewId="0">
      <selection activeCell="I20" sqref="I2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911</v>
      </c>
      <c r="B1" s="2239"/>
      <c r="C1" s="2239"/>
      <c r="D1" s="2239"/>
      <c r="E1" s="2239"/>
      <c r="F1" s="2239"/>
      <c r="G1" s="2240"/>
      <c r="H1" s="1552"/>
      <c r="I1" s="761"/>
      <c r="J1" s="433"/>
    </row>
    <row r="2" spans="1:11" ht="26.25" x14ac:dyDescent="0.2">
      <c r="A2" s="2257" t="s">
        <v>1776</v>
      </c>
      <c r="B2" s="2258"/>
      <c r="C2" s="2258"/>
      <c r="D2" s="2258"/>
      <c r="E2" s="2259"/>
      <c r="F2" s="762" t="s">
        <v>960</v>
      </c>
      <c r="G2" s="763" t="s">
        <v>1773</v>
      </c>
      <c r="H2" s="763" t="s">
        <v>430</v>
      </c>
      <c r="I2" s="763" t="s">
        <v>1220</v>
      </c>
      <c r="J2" s="763" t="s">
        <v>1919</v>
      </c>
      <c r="K2" s="763" t="s">
        <v>140</v>
      </c>
    </row>
    <row r="3" spans="1:11" x14ac:dyDescent="0.2">
      <c r="A3" s="2260" t="s">
        <v>1698</v>
      </c>
      <c r="B3" s="2261"/>
      <c r="C3" s="2261"/>
      <c r="D3" s="2261"/>
      <c r="E3" s="2262"/>
      <c r="F3" s="764"/>
      <c r="G3" s="765"/>
      <c r="H3" s="765"/>
      <c r="I3" s="765"/>
      <c r="J3" s="766"/>
      <c r="K3" s="766"/>
    </row>
    <row r="4" spans="1:11" x14ac:dyDescent="0.2">
      <c r="A4" s="2263" t="s">
        <v>387</v>
      </c>
      <c r="B4" s="2264"/>
      <c r="C4" s="2264"/>
      <c r="D4" s="2264"/>
      <c r="E4" s="2210"/>
      <c r="F4" s="767"/>
      <c r="G4" s="768"/>
      <c r="H4" s="769"/>
      <c r="I4" s="768"/>
      <c r="J4" s="770"/>
      <c r="K4" s="770"/>
    </row>
    <row r="5" spans="1:11" x14ac:dyDescent="0.2">
      <c r="A5" s="2241" t="s">
        <v>1129</v>
      </c>
      <c r="B5" s="2242"/>
      <c r="C5" s="2242"/>
      <c r="D5" s="2242"/>
      <c r="E5" s="2243"/>
      <c r="F5" s="771" t="s">
        <v>903</v>
      </c>
      <c r="G5" s="772"/>
      <c r="H5" s="765">
        <v>2839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1" t="s">
        <v>1920</v>
      </c>
      <c r="B10" s="2242"/>
      <c r="C10" s="2242"/>
      <c r="D10" s="2242"/>
      <c r="E10" s="2244"/>
      <c r="F10" s="784" t="s">
        <v>917</v>
      </c>
      <c r="G10" s="783"/>
      <c r="H10" s="785"/>
      <c r="I10" s="765"/>
      <c r="J10" s="766"/>
      <c r="K10" s="766"/>
    </row>
    <row r="11" spans="1:11" x14ac:dyDescent="0.2">
      <c r="A11" s="2241" t="s">
        <v>162</v>
      </c>
      <c r="B11" s="2242"/>
      <c r="C11" s="2242"/>
      <c r="D11" s="2242"/>
      <c r="E11" s="2243"/>
      <c r="F11" s="771" t="s">
        <v>907</v>
      </c>
      <c r="G11" s="772"/>
      <c r="H11" s="765"/>
      <c r="I11" s="765"/>
      <c r="J11" s="766"/>
      <c r="K11" s="774"/>
    </row>
    <row r="12" spans="1:11" ht="13.5" thickBot="1" x14ac:dyDescent="0.25">
      <c r="A12" s="2268" t="s">
        <v>961</v>
      </c>
      <c r="B12" s="2269"/>
      <c r="C12" s="2269"/>
      <c r="D12" s="2269"/>
      <c r="E12" s="2270"/>
      <c r="F12" s="1779"/>
      <c r="G12" s="1780">
        <f>SUM(G5:G11)</f>
        <v>0</v>
      </c>
      <c r="H12" s="1780">
        <f>SUM(H5:H11)</f>
        <v>2839</v>
      </c>
      <c r="I12" s="1780">
        <f>SUM(I5:I11)</f>
        <v>0</v>
      </c>
      <c r="J12" s="1780">
        <f>SUM(J5:J11)</f>
        <v>0</v>
      </c>
      <c r="K12" s="1780">
        <f>SUM(K5:K11)</f>
        <v>0</v>
      </c>
    </row>
    <row r="13" spans="1:11" ht="13.5" thickTop="1" x14ac:dyDescent="0.2">
      <c r="A13" s="2265" t="s">
        <v>388</v>
      </c>
      <c r="B13" s="2266"/>
      <c r="C13" s="2266"/>
      <c r="D13" s="2266"/>
      <c r="E13" s="2267"/>
      <c r="F13" s="786"/>
      <c r="G13" s="787"/>
      <c r="H13" s="788"/>
      <c r="I13" s="789"/>
      <c r="J13" s="789"/>
      <c r="K13" s="789"/>
    </row>
    <row r="14" spans="1:11" x14ac:dyDescent="0.2">
      <c r="A14" s="2248" t="s">
        <v>476</v>
      </c>
      <c r="B14" s="2248"/>
      <c r="C14" s="2248"/>
      <c r="D14" s="2248"/>
      <c r="E14" s="2249"/>
      <c r="F14" s="790" t="s">
        <v>909</v>
      </c>
      <c r="G14" s="783"/>
      <c r="H14" s="765">
        <v>2839</v>
      </c>
      <c r="I14" s="772"/>
      <c r="J14" s="774"/>
      <c r="K14" s="766"/>
    </row>
    <row r="15" spans="1:11" x14ac:dyDescent="0.2">
      <c r="A15" s="2242" t="s">
        <v>4</v>
      </c>
      <c r="B15" s="2242"/>
      <c r="C15" s="2242"/>
      <c r="D15" s="2242"/>
      <c r="E15" s="2243"/>
      <c r="F15" s="790" t="s">
        <v>910</v>
      </c>
      <c r="G15" s="772"/>
      <c r="H15" s="765"/>
      <c r="I15" s="765"/>
      <c r="J15" s="766"/>
      <c r="K15" s="766"/>
    </row>
    <row r="16" spans="1:11" x14ac:dyDescent="0.2">
      <c r="A16" s="2242" t="s">
        <v>316</v>
      </c>
      <c r="B16" s="2242"/>
      <c r="C16" s="2242"/>
      <c r="D16" s="2242"/>
      <c r="E16" s="2243"/>
      <c r="F16" s="790" t="s">
        <v>980</v>
      </c>
      <c r="G16" s="773"/>
      <c r="H16" s="768"/>
      <c r="I16" s="768"/>
      <c r="J16" s="770"/>
      <c r="K16" s="770"/>
    </row>
    <row r="17" spans="1:11" x14ac:dyDescent="0.2">
      <c r="A17" s="2273" t="s">
        <v>992</v>
      </c>
      <c r="B17" s="2273"/>
      <c r="C17" s="2273"/>
      <c r="D17" s="2273"/>
      <c r="E17" s="2274"/>
      <c r="F17" s="791"/>
      <c r="G17" s="792"/>
      <c r="H17" s="793"/>
      <c r="I17" s="793"/>
      <c r="J17" s="794"/>
      <c r="K17" s="795"/>
    </row>
    <row r="18" spans="1:11" x14ac:dyDescent="0.2">
      <c r="A18" s="2252" t="s">
        <v>386</v>
      </c>
      <c r="B18" s="2253"/>
      <c r="C18" s="2253"/>
      <c r="D18" s="2253"/>
      <c r="E18" s="2254"/>
      <c r="F18" s="790" t="s">
        <v>989</v>
      </c>
      <c r="G18" s="783"/>
      <c r="H18" s="783"/>
      <c r="I18" s="783"/>
      <c r="J18" s="766"/>
      <c r="K18" s="796"/>
    </row>
    <row r="19" spans="1:11" ht="21.75" customHeight="1" x14ac:dyDescent="0.2">
      <c r="A19" s="2250" t="s">
        <v>1916</v>
      </c>
      <c r="B19" s="2250"/>
      <c r="C19" s="2250"/>
      <c r="D19" s="2250"/>
      <c r="E19" s="2251"/>
      <c r="F19" s="790" t="s">
        <v>990</v>
      </c>
      <c r="G19" s="783"/>
      <c r="H19" s="783"/>
      <c r="I19" s="783"/>
      <c r="J19" s="766"/>
      <c r="K19" s="796"/>
    </row>
    <row r="20" spans="1:11" x14ac:dyDescent="0.2">
      <c r="A20" s="2252" t="s">
        <v>1921</v>
      </c>
      <c r="B20" s="2253"/>
      <c r="C20" s="2253"/>
      <c r="D20" s="2253"/>
      <c r="E20" s="2254"/>
      <c r="F20" s="790" t="s">
        <v>991</v>
      </c>
      <c r="G20" s="783"/>
      <c r="H20" s="783"/>
      <c r="I20" s="783"/>
      <c r="J20" s="766"/>
      <c r="K20" s="796"/>
    </row>
    <row r="21" spans="1:11" ht="13.5" thickBot="1" x14ac:dyDescent="0.25">
      <c r="A21" s="2271" t="s">
        <v>659</v>
      </c>
      <c r="B21" s="2271"/>
      <c r="C21" s="2271"/>
      <c r="D21" s="2271"/>
      <c r="E21" s="2271"/>
      <c r="F21" s="1781"/>
      <c r="G21" s="793"/>
      <c r="H21" s="797"/>
      <c r="I21" s="797"/>
      <c r="J21" s="1782">
        <f>SUM(J18:J20)</f>
        <v>0</v>
      </c>
      <c r="K21" s="794"/>
    </row>
    <row r="22" spans="1:11" ht="13.5" thickTop="1" x14ac:dyDescent="0.2">
      <c r="A22" s="2242" t="s">
        <v>1922</v>
      </c>
      <c r="B22" s="2242"/>
      <c r="C22" s="2242"/>
      <c r="D22" s="2242"/>
      <c r="E22" s="2243"/>
      <c r="F22" s="790" t="s">
        <v>917</v>
      </c>
      <c r="G22" s="783"/>
      <c r="H22" s="765"/>
      <c r="I22" s="765"/>
      <c r="J22" s="798"/>
      <c r="K22" s="766"/>
    </row>
    <row r="23" spans="1:11" ht="13.5" thickBot="1" x14ac:dyDescent="0.25">
      <c r="A23" s="2272" t="s">
        <v>962</v>
      </c>
      <c r="B23" s="2271"/>
      <c r="C23" s="2271"/>
      <c r="D23" s="2271"/>
      <c r="E23" s="2271"/>
      <c r="F23" s="1783"/>
      <c r="G23" s="1780">
        <f>SUM(G14:G16,G21,G22)</f>
        <v>0</v>
      </c>
      <c r="H23" s="1780">
        <f>SUM(H14:H16,H21,H22)</f>
        <v>2839</v>
      </c>
      <c r="I23" s="1780">
        <f>SUM(I14:I16,I21,I22)</f>
        <v>0</v>
      </c>
      <c r="J23" s="1780">
        <f>SUM(J14:J16,J21,J22)</f>
        <v>0</v>
      </c>
      <c r="K23" s="1780">
        <f>SUM(K14:K16,K21,K22)</f>
        <v>0</v>
      </c>
    </row>
    <row r="24" spans="1:11" ht="14.25" thickTop="1" thickBot="1" x14ac:dyDescent="0.25">
      <c r="A24" s="2272" t="s">
        <v>2026</v>
      </c>
      <c r="B24" s="2271"/>
      <c r="C24" s="2271"/>
      <c r="D24" s="2271"/>
      <c r="E24" s="2271"/>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897" t="s">
        <v>2036</v>
      </c>
      <c r="B28" s="1898"/>
      <c r="C28" s="1898"/>
      <c r="D28" s="1898"/>
      <c r="E28" s="1899"/>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45"/>
      <c r="I31" s="2246"/>
      <c r="J31" s="2246"/>
      <c r="K31" s="2246"/>
    </row>
    <row r="32" spans="1:11" x14ac:dyDescent="0.2">
      <c r="A32" s="810"/>
      <c r="B32" s="237"/>
      <c r="C32" s="237"/>
      <c r="D32" s="237"/>
      <c r="E32" s="806"/>
      <c r="F32" s="812" t="s">
        <v>561</v>
      </c>
      <c r="G32" s="765"/>
      <c r="H32" s="2247"/>
      <c r="I32" s="2246"/>
      <c r="J32" s="2246"/>
      <c r="K32" s="2246"/>
    </row>
    <row r="33" spans="1:11" ht="1.5" customHeight="1" x14ac:dyDescent="0.2">
      <c r="A33" s="813" t="s">
        <v>1231</v>
      </c>
      <c r="B33" s="364"/>
      <c r="C33" s="364"/>
      <c r="D33" s="364"/>
      <c r="E33" s="364"/>
      <c r="F33" s="364"/>
      <c r="G33" s="814"/>
      <c r="H33" s="2247"/>
      <c r="I33" s="2246"/>
      <c r="J33" s="2246"/>
      <c r="K33" s="2246"/>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2" t="s">
        <v>562</v>
      </c>
      <c r="B41" s="2255"/>
      <c r="C41" s="2255"/>
      <c r="D41" s="2255"/>
      <c r="E41" s="2255"/>
      <c r="F41" s="225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6" sqref="F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2035</v>
      </c>
      <c r="B1" s="2278"/>
      <c r="C1" s="2279"/>
      <c r="D1" s="827"/>
      <c r="E1" s="828"/>
      <c r="F1" s="828"/>
      <c r="G1" s="829"/>
      <c r="H1" s="830"/>
      <c r="I1" s="831"/>
      <c r="J1" s="2275"/>
      <c r="K1" s="2276"/>
      <c r="L1" s="2276"/>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3351</v>
      </c>
      <c r="D5" s="842"/>
      <c r="E5" s="842"/>
      <c r="F5" s="1782">
        <f>(C5+D5)-E5</f>
        <v>3351</v>
      </c>
      <c r="G5" s="838"/>
      <c r="H5" s="843"/>
      <c r="I5" s="843"/>
      <c r="J5" s="843"/>
      <c r="K5" s="794"/>
      <c r="L5" s="1791">
        <f>F5-K5</f>
        <v>3351</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2058011</v>
      </c>
      <c r="D8" s="845"/>
      <c r="E8" s="845"/>
      <c r="F8" s="1782">
        <f>(C8+D8)-E8</f>
        <v>2058011</v>
      </c>
      <c r="G8" s="844">
        <v>50</v>
      </c>
      <c r="H8" s="766">
        <v>765276</v>
      </c>
      <c r="I8" s="766">
        <v>37359</v>
      </c>
      <c r="J8" s="766"/>
      <c r="K8" s="1791">
        <f>(H8+I8)-J8</f>
        <v>802635</v>
      </c>
      <c r="L8" s="1791">
        <f>F8-K8</f>
        <v>1255376</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10926</v>
      </c>
      <c r="D10" s="847"/>
      <c r="E10" s="847"/>
      <c r="F10" s="1786">
        <f>(C10+D10)-E10</f>
        <v>10926</v>
      </c>
      <c r="G10" s="844">
        <v>20</v>
      </c>
      <c r="H10" s="848">
        <v>10926</v>
      </c>
      <c r="I10" s="848"/>
      <c r="J10" s="848"/>
      <c r="K10" s="1791">
        <f>(H10+I10)-J10</f>
        <v>10926</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38212</v>
      </c>
      <c r="D12" s="845">
        <v>30579</v>
      </c>
      <c r="E12" s="845">
        <v>22712</v>
      </c>
      <c r="F12" s="1782">
        <f>(C12+D12)-E12</f>
        <v>46079</v>
      </c>
      <c r="G12" s="844">
        <v>10</v>
      </c>
      <c r="H12" s="766">
        <v>28967</v>
      </c>
      <c r="I12" s="766">
        <v>3078.95</v>
      </c>
      <c r="J12" s="766">
        <v>22712</v>
      </c>
      <c r="K12" s="1791">
        <f>(H12+I12)-J12</f>
        <v>9333.9500000000007</v>
      </c>
      <c r="L12" s="1791">
        <f>F12-K12</f>
        <v>36745.050000000003</v>
      </c>
    </row>
    <row r="13" spans="1:14" ht="14.25" thickTop="1" thickBot="1" x14ac:dyDescent="0.25">
      <c r="A13" s="849" t="s">
        <v>1184</v>
      </c>
      <c r="B13" s="841">
        <v>252</v>
      </c>
      <c r="C13" s="845">
        <v>22129</v>
      </c>
      <c r="D13" s="845"/>
      <c r="E13" s="845"/>
      <c r="F13" s="1782">
        <f>(C13+D13)-E13</f>
        <v>22129</v>
      </c>
      <c r="G13" s="844">
        <v>5</v>
      </c>
      <c r="H13" s="766">
        <v>22129</v>
      </c>
      <c r="I13" s="766"/>
      <c r="J13" s="766"/>
      <c r="K13" s="1791">
        <f>(H13+I13)-J13</f>
        <v>22129</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2132629</v>
      </c>
      <c r="D16" s="1782">
        <f>SUM(D3,D5:D6,D8:D10,D12:D15)</f>
        <v>30579</v>
      </c>
      <c r="E16" s="1782">
        <f>SUM(E3,E5:E6,E8:E10,E12:E15)</f>
        <v>22712</v>
      </c>
      <c r="F16" s="1782">
        <f>SUM(F3,F5:F6,F8:F10,F12:F15)</f>
        <v>2140496</v>
      </c>
      <c r="G16" s="844"/>
      <c r="H16" s="1782">
        <f>SUM(H3,H6,H8:H10,H12:H14,)</f>
        <v>827298</v>
      </c>
      <c r="I16" s="1782">
        <f>SUM(I3,I6,I8:I10,I12:I14,)</f>
        <v>40437.949999999997</v>
      </c>
      <c r="J16" s="1782">
        <f>SUM(J3,J6,J8:J10,J12:J14,)</f>
        <v>22712</v>
      </c>
      <c r="K16" s="1782">
        <f>(H16+I16)-J16</f>
        <v>845023.95</v>
      </c>
      <c r="L16" s="1782">
        <f>F16-K16</f>
        <v>1295472.05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40437.949999999997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08" activePane="bottomLeft" state="frozen"/>
      <selection activeCell="O12" sqref="O12"/>
      <selection pane="bottomLeft" activeCell="F82" sqref="F82"/>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3" t="s">
        <v>1699</v>
      </c>
      <c r="B1" s="2284"/>
      <c r="C1" s="2284"/>
      <c r="D1" s="2284"/>
      <c r="E1" s="2284"/>
      <c r="F1" s="2285"/>
      <c r="G1" s="856"/>
    </row>
    <row r="2" spans="1:7" ht="15" customHeight="1" thickBot="1" x14ac:dyDescent="0.25">
      <c r="A2" s="2286" t="s">
        <v>498</v>
      </c>
      <c r="B2" s="2287"/>
      <c r="C2" s="2287"/>
      <c r="D2" s="2287"/>
      <c r="E2" s="2287"/>
      <c r="F2" s="228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9"/>
      <c r="B5" s="2290"/>
      <c r="C5" s="2290"/>
      <c r="D5" s="2290"/>
      <c r="E5" s="2290"/>
      <c r="F5" s="2290"/>
    </row>
    <row r="6" spans="1:7" ht="13.5" customHeight="1" thickBot="1" x14ac:dyDescent="0.25">
      <c r="A6" s="2280" t="s">
        <v>1166</v>
      </c>
      <c r="B6" s="2281"/>
      <c r="C6" s="2281"/>
      <c r="D6" s="2281"/>
      <c r="E6" s="2281"/>
      <c r="F6" s="228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5">
        <f>'Expenditures 15-22'!K114</f>
        <v>1886759</v>
      </c>
      <c r="G8" s="866"/>
    </row>
    <row r="9" spans="1:7" x14ac:dyDescent="0.2">
      <c r="A9" s="870" t="s">
        <v>480</v>
      </c>
      <c r="B9" s="871" t="s">
        <v>1989</v>
      </c>
      <c r="C9" s="872"/>
      <c r="D9" s="870" t="s">
        <v>522</v>
      </c>
      <c r="E9" s="869"/>
      <c r="F9" s="1926">
        <f>'Expenditures 15-22'!K151</f>
        <v>106979</v>
      </c>
      <c r="G9" s="873"/>
    </row>
    <row r="10" spans="1:7" x14ac:dyDescent="0.2">
      <c r="A10" s="870" t="s">
        <v>520</v>
      </c>
      <c r="B10" s="871" t="s">
        <v>1990</v>
      </c>
      <c r="C10" s="872"/>
      <c r="D10" s="870" t="s">
        <v>522</v>
      </c>
      <c r="E10" s="869"/>
      <c r="F10" s="1926">
        <f>'Expenditures 15-22'!K174</f>
        <v>98192</v>
      </c>
      <c r="G10" s="873"/>
    </row>
    <row r="11" spans="1:7" x14ac:dyDescent="0.2">
      <c r="A11" s="870" t="s">
        <v>481</v>
      </c>
      <c r="B11" s="871" t="s">
        <v>1991</v>
      </c>
      <c r="C11" s="872"/>
      <c r="D11" s="870" t="s">
        <v>522</v>
      </c>
      <c r="E11" s="869"/>
      <c r="F11" s="1926">
        <f>'Expenditures 15-22'!K210</f>
        <v>65266</v>
      </c>
      <c r="G11" s="873"/>
    </row>
    <row r="12" spans="1:7" x14ac:dyDescent="0.2">
      <c r="A12" s="870" t="s">
        <v>482</v>
      </c>
      <c r="B12" s="871" t="s">
        <v>1992</v>
      </c>
      <c r="C12" s="872"/>
      <c r="D12" s="870" t="s">
        <v>522</v>
      </c>
      <c r="E12" s="869"/>
      <c r="F12" s="1926">
        <f>'Expenditures 15-22'!K295</f>
        <v>82677</v>
      </c>
      <c r="G12" s="873"/>
    </row>
    <row r="13" spans="1:7" x14ac:dyDescent="0.2">
      <c r="A13" s="870" t="s">
        <v>108</v>
      </c>
      <c r="B13" s="871" t="s">
        <v>1993</v>
      </c>
      <c r="C13" s="872"/>
      <c r="D13" s="870" t="s">
        <v>522</v>
      </c>
      <c r="E13" s="869"/>
      <c r="F13" s="1926">
        <f>'Expenditures 15-22'!K342</f>
        <v>17500</v>
      </c>
      <c r="G13" s="874"/>
    </row>
    <row r="14" spans="1:7" ht="12" customHeight="1" thickBot="1" x14ac:dyDescent="0.25">
      <c r="A14" s="1792"/>
      <c r="B14" s="1793"/>
      <c r="C14" s="1794"/>
      <c r="D14" s="1795" t="s">
        <v>522</v>
      </c>
      <c r="E14" s="1796" t="s">
        <v>1015</v>
      </c>
      <c r="F14" s="1797">
        <f>SUM(F8:F13)</f>
        <v>2257373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27">
        <f>'Revenues 9-14'!F43</f>
        <v>0</v>
      </c>
      <c r="G18" s="866"/>
    </row>
    <row r="19" spans="1:7" x14ac:dyDescent="0.2">
      <c r="A19" s="870" t="s">
        <v>481</v>
      </c>
      <c r="B19" s="871" t="s">
        <v>1069</v>
      </c>
      <c r="C19" s="878">
        <f>'Revenues 9-14'!B47</f>
        <v>1421</v>
      </c>
      <c r="D19" s="879" t="str">
        <f>'Revenues 9-14'!A47</f>
        <v>Summer Sch - Transp. Fees from Pupils or Parents (In State)</v>
      </c>
      <c r="E19" s="880"/>
      <c r="F19" s="1928">
        <f>'Revenues 9-14'!F47</f>
        <v>0</v>
      </c>
      <c r="G19" s="866"/>
    </row>
    <row r="20" spans="1:7" x14ac:dyDescent="0.2">
      <c r="A20" s="870" t="s">
        <v>481</v>
      </c>
      <c r="B20" s="871" t="s">
        <v>1070</v>
      </c>
      <c r="C20" s="876">
        <f>'Revenues 9-14'!B48</f>
        <v>1422</v>
      </c>
      <c r="D20" s="877" t="str">
        <f>'Revenues 9-14'!A48</f>
        <v>Summer Sch - Transp. Fees from Other Districts (In State)</v>
      </c>
      <c r="E20" s="869"/>
      <c r="F20" s="1929">
        <f>'Revenues 9-14'!F48</f>
        <v>0</v>
      </c>
      <c r="G20" s="866"/>
    </row>
    <row r="21" spans="1:7" x14ac:dyDescent="0.2">
      <c r="A21" s="870" t="s">
        <v>481</v>
      </c>
      <c r="B21" s="871" t="s">
        <v>1071</v>
      </c>
      <c r="C21" s="878">
        <f>'Revenues 9-14'!B49</f>
        <v>1423</v>
      </c>
      <c r="D21" s="877" t="str">
        <f>'Revenues 9-14'!A49</f>
        <v>Summer Sch - Transp. Fees from Other Sources (In State)</v>
      </c>
      <c r="E21" s="869"/>
      <c r="F21" s="1930">
        <f>'Revenues 9-14'!F49</f>
        <v>0</v>
      </c>
      <c r="G21" s="866"/>
    </row>
    <row r="22" spans="1:7" x14ac:dyDescent="0.2">
      <c r="A22" s="870" t="s">
        <v>481</v>
      </c>
      <c r="B22" s="871" t="s">
        <v>1072</v>
      </c>
      <c r="C22" s="878">
        <f>'Revenues 9-14'!B50</f>
        <v>1424</v>
      </c>
      <c r="D22" s="877" t="str">
        <f>'Revenues 9-14'!A50</f>
        <v>Summer Sch - Transp. Fees from Other Sources (Out of State)</v>
      </c>
      <c r="E22" s="869"/>
      <c r="F22" s="1930">
        <f>'Revenues 9-14'!F50</f>
        <v>0</v>
      </c>
      <c r="G22" s="866"/>
    </row>
    <row r="23" spans="1:7" x14ac:dyDescent="0.2">
      <c r="A23" s="870" t="s">
        <v>481</v>
      </c>
      <c r="B23" s="871" t="s">
        <v>1073</v>
      </c>
      <c r="C23" s="876">
        <f>'Revenues 9-14'!B52</f>
        <v>1432</v>
      </c>
      <c r="D23" s="877" t="str">
        <f>'Revenues 9-14'!A52</f>
        <v>CTE - Transp Fees from Other Districts (In State)</v>
      </c>
      <c r="E23" s="869"/>
      <c r="F23" s="1930">
        <f>'Revenues 9-14'!F52</f>
        <v>0</v>
      </c>
      <c r="G23" s="866"/>
    </row>
    <row r="24" spans="1:7" x14ac:dyDescent="0.2">
      <c r="A24" s="870" t="s">
        <v>481</v>
      </c>
      <c r="B24" s="871" t="s">
        <v>1074</v>
      </c>
      <c r="C24" s="876">
        <f>'Revenues 9-14'!B56</f>
        <v>1442</v>
      </c>
      <c r="D24" s="877" t="str">
        <f>'Revenues 9-14'!A56</f>
        <v>Special Ed - Transp Fees from Other Districts (In State)</v>
      </c>
      <c r="E24" s="869"/>
      <c r="F24" s="1930">
        <f>'Revenues 9-14'!F56</f>
        <v>0</v>
      </c>
      <c r="G24" s="866"/>
    </row>
    <row r="25" spans="1:7" x14ac:dyDescent="0.2">
      <c r="A25" s="870" t="s">
        <v>481</v>
      </c>
      <c r="B25" s="871" t="s">
        <v>1075</v>
      </c>
      <c r="C25" s="876">
        <f>'Revenues 9-14'!B59</f>
        <v>1451</v>
      </c>
      <c r="D25" s="877" t="str">
        <f>'Revenues 9-14'!A59</f>
        <v>Adult - Transp Fees from Pupils or Parents (In State)</v>
      </c>
      <c r="E25" s="869"/>
      <c r="F25" s="1930">
        <f>'Revenues 9-14'!F59</f>
        <v>0</v>
      </c>
      <c r="G25" s="866"/>
    </row>
    <row r="26" spans="1:7" x14ac:dyDescent="0.2">
      <c r="A26" s="870" t="s">
        <v>481</v>
      </c>
      <c r="B26" s="871" t="s">
        <v>1076</v>
      </c>
      <c r="C26" s="876">
        <f>'Revenues 9-14'!B60</f>
        <v>1452</v>
      </c>
      <c r="D26" s="877" t="str">
        <f>'Revenues 9-14'!A60</f>
        <v>Adult - Transp Fees from Other Districts (In State)</v>
      </c>
      <c r="E26" s="869"/>
      <c r="F26" s="1930">
        <f>'Revenues 9-14'!F60</f>
        <v>0</v>
      </c>
      <c r="G26" s="866"/>
    </row>
    <row r="27" spans="1:7" x14ac:dyDescent="0.2">
      <c r="A27" s="870" t="s">
        <v>481</v>
      </c>
      <c r="B27" s="871" t="s">
        <v>1077</v>
      </c>
      <c r="C27" s="876">
        <f>'Revenues 9-14'!B61</f>
        <v>1453</v>
      </c>
      <c r="D27" s="877" t="str">
        <f>'Revenues 9-14'!A61</f>
        <v>Adult - Transp Fees from Other Sources (In State)</v>
      </c>
      <c r="E27" s="869"/>
      <c r="F27" s="1930">
        <f>'Revenues 9-14'!F61</f>
        <v>0</v>
      </c>
      <c r="G27" s="866"/>
    </row>
    <row r="28" spans="1:7" x14ac:dyDescent="0.2">
      <c r="A28" s="870" t="s">
        <v>481</v>
      </c>
      <c r="B28" s="871" t="s">
        <v>1078</v>
      </c>
      <c r="C28" s="876">
        <f>'Revenues 9-14'!B62</f>
        <v>1454</v>
      </c>
      <c r="D28" s="877" t="str">
        <f>'Revenues 9-14'!A62</f>
        <v>Adult - Transp Fees from Other Sources (Out of State)</v>
      </c>
      <c r="E28" s="869"/>
      <c r="F28" s="1930">
        <f>'Revenues 9-14'!F62</f>
        <v>0</v>
      </c>
      <c r="G28" s="866"/>
    </row>
    <row r="29" spans="1:7" x14ac:dyDescent="0.2">
      <c r="A29" s="870" t="s">
        <v>1159</v>
      </c>
      <c r="B29" s="871" t="s">
        <v>1683</v>
      </c>
      <c r="C29" s="881">
        <f>'Revenues 9-14'!B148</f>
        <v>3410</v>
      </c>
      <c r="D29" s="882" t="str">
        <f>'Revenues 9-14'!A148</f>
        <v>Adult Ed (from ICCB)</v>
      </c>
      <c r="E29" s="869"/>
      <c r="F29" s="1930">
        <f>SUM('Revenues 9-14'!D148,F149)</f>
        <v>0</v>
      </c>
      <c r="G29" s="866"/>
    </row>
    <row r="30" spans="1:7" x14ac:dyDescent="0.2">
      <c r="A30" s="870" t="s">
        <v>1159</v>
      </c>
      <c r="B30" s="871" t="s">
        <v>861</v>
      </c>
      <c r="C30" s="881">
        <f>'Revenues 9-14'!B149</f>
        <v>3499</v>
      </c>
      <c r="D30" s="882" t="str">
        <f>'Revenues 9-14'!A149</f>
        <v>Adult Ed - Other (Describe &amp; Itemize)</v>
      </c>
      <c r="E30" s="869"/>
      <c r="F30" s="1931">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0">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0">
        <f>SUM('Revenues 9-14'!D219,'Revenues 9-14'!F219)</f>
        <v>0</v>
      </c>
      <c r="G32" s="866"/>
    </row>
    <row r="33" spans="1:7" x14ac:dyDescent="0.2">
      <c r="A33" s="870" t="s">
        <v>480</v>
      </c>
      <c r="B33" s="871" t="s">
        <v>801</v>
      </c>
      <c r="C33" s="876">
        <f>'Revenues 9-14'!B229</f>
        <v>4810</v>
      </c>
      <c r="D33" s="884" t="str">
        <f>'Revenues 9-14'!A229</f>
        <v>Federal - Adult Education</v>
      </c>
      <c r="E33" s="869"/>
      <c r="F33" s="1930">
        <f>'Revenues 9-14'!D229</f>
        <v>0</v>
      </c>
      <c r="G33" s="866"/>
    </row>
    <row r="34" spans="1:7" x14ac:dyDescent="0.2">
      <c r="A34" s="870" t="s">
        <v>479</v>
      </c>
      <c r="B34" s="870" t="s">
        <v>1545</v>
      </c>
      <c r="C34" s="887" t="str">
        <f>'Expenditures 15-22'!B7</f>
        <v>1125</v>
      </c>
      <c r="D34" s="888" t="str">
        <f>'Expenditures 15-22'!A7</f>
        <v>Pre-K Programs</v>
      </c>
      <c r="E34" s="869"/>
      <c r="F34" s="1930">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0">
        <f>'Expenditures 15-22'!K9-SUM('Expenditures 15-22'!G9+'Expenditures 15-22'!I9)</f>
        <v>45044</v>
      </c>
      <c r="G35" s="866"/>
    </row>
    <row r="36" spans="1:7" x14ac:dyDescent="0.2">
      <c r="A36" s="870" t="s">
        <v>479</v>
      </c>
      <c r="B36" s="870" t="s">
        <v>118</v>
      </c>
      <c r="C36" s="887" t="str">
        <f>'Expenditures 15-22'!B11</f>
        <v>1275</v>
      </c>
      <c r="D36" s="888" t="str">
        <f>'Expenditures 15-22'!A11</f>
        <v>Remedial and Supplemental Programs Pre-K</v>
      </c>
      <c r="E36" s="869"/>
      <c r="F36" s="1930">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0">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0">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0">
        <f>'Expenditures 15-22'!K20</f>
        <v>0</v>
      </c>
      <c r="G39" s="866"/>
    </row>
    <row r="40" spans="1:7" x14ac:dyDescent="0.2">
      <c r="A40" s="870" t="s">
        <v>479</v>
      </c>
      <c r="B40" s="870" t="s">
        <v>120</v>
      </c>
      <c r="C40" s="887" t="str">
        <f>'Expenditures 15-22'!B21</f>
        <v>1911</v>
      </c>
      <c r="D40" s="889" t="str">
        <f>'Expenditures 15-22'!A21</f>
        <v>Regular K-12 Programs - Private Tuition</v>
      </c>
      <c r="E40" s="869"/>
      <c r="F40" s="1930">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0">
        <f>'Expenditures 15-22'!K22</f>
        <v>5165</v>
      </c>
      <c r="G41" s="866"/>
    </row>
    <row r="42" spans="1:7" x14ac:dyDescent="0.2">
      <c r="A42" s="870" t="s">
        <v>479</v>
      </c>
      <c r="B42" s="870" t="s">
        <v>122</v>
      </c>
      <c r="C42" s="890" t="str">
        <f>'Expenditures 15-22'!B23</f>
        <v>1913</v>
      </c>
      <c r="D42" s="889" t="str">
        <f>'Expenditures 15-22'!A23</f>
        <v>Special Education Programs Pre-K - Tuition</v>
      </c>
      <c r="E42" s="869"/>
      <c r="F42" s="1930">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0">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0">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0">
        <f>'Expenditures 15-22'!K26</f>
        <v>0</v>
      </c>
      <c r="G45" s="866"/>
    </row>
    <row r="46" spans="1:7" x14ac:dyDescent="0.2">
      <c r="A46" s="870" t="s">
        <v>479</v>
      </c>
      <c r="B46" s="870" t="s">
        <v>126</v>
      </c>
      <c r="C46" s="887" t="str">
        <f>'Expenditures 15-22'!B27</f>
        <v>1917</v>
      </c>
      <c r="D46" s="889" t="str">
        <f>'Expenditures 15-22'!A27</f>
        <v>CTE Programs - Private Tuition</v>
      </c>
      <c r="E46" s="869"/>
      <c r="F46" s="1930">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0">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0">
        <f>'Expenditures 15-22'!K29</f>
        <v>0</v>
      </c>
      <c r="G48" s="866"/>
    </row>
    <row r="49" spans="1:7" x14ac:dyDescent="0.2">
      <c r="A49" s="870" t="s">
        <v>479</v>
      </c>
      <c r="B49" s="870" t="s">
        <v>129</v>
      </c>
      <c r="C49" s="887" t="str">
        <f>'Expenditures 15-22'!B30</f>
        <v>1920</v>
      </c>
      <c r="D49" s="889" t="str">
        <f>'Expenditures 15-22'!A30</f>
        <v>Gifted Programs - Private Tuition</v>
      </c>
      <c r="E49" s="869"/>
      <c r="F49" s="1930">
        <f>'Expenditures 15-22'!K30</f>
        <v>0</v>
      </c>
      <c r="G49" s="866"/>
    </row>
    <row r="50" spans="1:7" x14ac:dyDescent="0.2">
      <c r="A50" s="870" t="s">
        <v>479</v>
      </c>
      <c r="B50" s="870" t="s">
        <v>130</v>
      </c>
      <c r="C50" s="887" t="str">
        <f>'Expenditures 15-22'!B31</f>
        <v>1921</v>
      </c>
      <c r="D50" s="889" t="str">
        <f>'Expenditures 15-22'!A31</f>
        <v>Bilingual Programs - Private Tuition</v>
      </c>
      <c r="E50" s="869"/>
      <c r="F50" s="1930">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0">
        <f>'Expenditures 15-22'!K32</f>
        <v>0</v>
      </c>
      <c r="G51" s="866"/>
    </row>
    <row r="52" spans="1:7" x14ac:dyDescent="0.2">
      <c r="A52" s="870" t="s">
        <v>479</v>
      </c>
      <c r="B52" s="870" t="s">
        <v>1550</v>
      </c>
      <c r="C52" s="890" t="str">
        <f>'Expenditures 15-22'!B75</f>
        <v>3000</v>
      </c>
      <c r="D52" s="889" t="s">
        <v>469</v>
      </c>
      <c r="E52" s="869"/>
      <c r="F52" s="1930">
        <f>'Expenditures 15-22'!K75-SUM('Expenditures 15-22'!G75,'Expenditures 15-22'!I75)</f>
        <v>598</v>
      </c>
      <c r="G52" s="866"/>
    </row>
    <row r="53" spans="1:7" x14ac:dyDescent="0.2">
      <c r="A53" s="870" t="s">
        <v>479</v>
      </c>
      <c r="B53" s="870" t="s">
        <v>1551</v>
      </c>
      <c r="C53" s="890">
        <f>'Expenditures 15-22'!B102</f>
        <v>4000</v>
      </c>
      <c r="D53" s="889" t="str">
        <f>'Expenditures 15-22'!A102</f>
        <v>Total Payments to Other Govt Units</v>
      </c>
      <c r="E53" s="869"/>
      <c r="F53" s="1930">
        <f>'Expenditures 15-22'!K102</f>
        <v>55407</v>
      </c>
      <c r="G53" s="866"/>
    </row>
    <row r="54" spans="1:7" x14ac:dyDescent="0.2">
      <c r="A54" s="870" t="s">
        <v>479</v>
      </c>
      <c r="B54" s="870" t="s">
        <v>1552</v>
      </c>
      <c r="C54" s="890" t="s">
        <v>1039</v>
      </c>
      <c r="D54" s="886" t="s">
        <v>1157</v>
      </c>
      <c r="E54" s="869"/>
      <c r="F54" s="1930">
        <f>'Expenditures 15-22'!G114</f>
        <v>9213</v>
      </c>
      <c r="G54" s="866"/>
    </row>
    <row r="55" spans="1:7" x14ac:dyDescent="0.2">
      <c r="A55" s="870" t="s">
        <v>479</v>
      </c>
      <c r="B55" s="870" t="s">
        <v>1553</v>
      </c>
      <c r="C55" s="890" t="s">
        <v>1039</v>
      </c>
      <c r="D55" s="886" t="s">
        <v>309</v>
      </c>
      <c r="E55" s="869"/>
      <c r="F55" s="1930">
        <f>'Expenditures 15-22'!I114</f>
        <v>0</v>
      </c>
      <c r="G55" s="866"/>
    </row>
    <row r="56" spans="1:7" x14ac:dyDescent="0.2">
      <c r="A56" s="870" t="s">
        <v>480</v>
      </c>
      <c r="B56" s="870" t="s">
        <v>1554</v>
      </c>
      <c r="C56" s="887" t="str">
        <f>'Expenditures 15-22'!B130</f>
        <v>3000</v>
      </c>
      <c r="D56" s="893" t="s">
        <v>469</v>
      </c>
      <c r="E56" s="869"/>
      <c r="F56" s="1930">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0">
        <f>'Expenditures 15-22'!K139</f>
        <v>0</v>
      </c>
      <c r="G57" s="866"/>
    </row>
    <row r="58" spans="1:7" x14ac:dyDescent="0.2">
      <c r="A58" s="870" t="s">
        <v>480</v>
      </c>
      <c r="B58" s="870" t="s">
        <v>1995</v>
      </c>
      <c r="C58" s="887" t="s">
        <v>1039</v>
      </c>
      <c r="D58" s="886" t="s">
        <v>1157</v>
      </c>
      <c r="E58" s="869"/>
      <c r="F58" s="1932">
        <f>'Expenditures 15-22'!G151</f>
        <v>21366</v>
      </c>
      <c r="G58" s="866"/>
    </row>
    <row r="59" spans="1:7" x14ac:dyDescent="0.2">
      <c r="A59" s="894" t="s">
        <v>480</v>
      </c>
      <c r="B59" s="857" t="s">
        <v>1996</v>
      </c>
      <c r="C59" s="895" t="s">
        <v>1039</v>
      </c>
      <c r="D59" s="857" t="s">
        <v>309</v>
      </c>
      <c r="F59" s="1933">
        <f>'Expenditures 15-22'!I151</f>
        <v>0</v>
      </c>
      <c r="G59" s="866"/>
    </row>
    <row r="60" spans="1:7" x14ac:dyDescent="0.2">
      <c r="A60" s="894" t="s">
        <v>520</v>
      </c>
      <c r="B60" s="857" t="s">
        <v>1997</v>
      </c>
      <c r="C60" s="895">
        <v>4000</v>
      </c>
      <c r="D60" s="857" t="s">
        <v>330</v>
      </c>
      <c r="F60" s="1931">
        <f>'Expenditures 15-22'!K160</f>
        <v>0</v>
      </c>
      <c r="G60" s="866"/>
    </row>
    <row r="61" spans="1:7" x14ac:dyDescent="0.2">
      <c r="A61" s="896" t="s">
        <v>520</v>
      </c>
      <c r="B61" s="896" t="s">
        <v>1998</v>
      </c>
      <c r="C61" s="897" t="str">
        <f>'Expenditures 15-22'!B170</f>
        <v>5300</v>
      </c>
      <c r="D61" s="898" t="s">
        <v>329</v>
      </c>
      <c r="E61" s="880"/>
      <c r="F61" s="1930">
        <f>'Expenditures 15-22'!K170</f>
        <v>50000</v>
      </c>
      <c r="G61" s="866"/>
    </row>
    <row r="62" spans="1:7" x14ac:dyDescent="0.2">
      <c r="A62" s="870" t="s">
        <v>481</v>
      </c>
      <c r="B62" s="870" t="s">
        <v>1999</v>
      </c>
      <c r="C62" s="887">
        <f>'Expenditures 15-22'!B185</f>
        <v>3000</v>
      </c>
      <c r="D62" s="877" t="s">
        <v>469</v>
      </c>
      <c r="E62" s="869"/>
      <c r="F62" s="1930">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0">
        <f>'Expenditures 15-22'!K196</f>
        <v>0</v>
      </c>
      <c r="G63" s="866"/>
    </row>
    <row r="64" spans="1:7" x14ac:dyDescent="0.2">
      <c r="A64" s="896" t="s">
        <v>481</v>
      </c>
      <c r="B64" s="896" t="s">
        <v>2001</v>
      </c>
      <c r="C64" s="897" t="str">
        <f>'Expenditures 15-22'!B206</f>
        <v>5300</v>
      </c>
      <c r="D64" s="893" t="s">
        <v>329</v>
      </c>
      <c r="E64" s="869"/>
      <c r="F64" s="1930">
        <f>'Expenditures 15-22'!K206</f>
        <v>0</v>
      </c>
      <c r="G64" s="866"/>
    </row>
    <row r="65" spans="1:8" x14ac:dyDescent="0.2">
      <c r="A65" s="870" t="s">
        <v>481</v>
      </c>
      <c r="B65" s="870" t="s">
        <v>2002</v>
      </c>
      <c r="C65" s="887" t="s">
        <v>1039</v>
      </c>
      <c r="D65" s="886" t="s">
        <v>1157</v>
      </c>
      <c r="E65" s="869"/>
      <c r="F65" s="1930">
        <f>'Expenditures 15-22'!G210</f>
        <v>0</v>
      </c>
      <c r="G65" s="866"/>
    </row>
    <row r="66" spans="1:8" x14ac:dyDescent="0.2">
      <c r="A66" s="870" t="s">
        <v>481</v>
      </c>
      <c r="B66" s="870" t="s">
        <v>2003</v>
      </c>
      <c r="C66" s="887" t="s">
        <v>1039</v>
      </c>
      <c r="D66" s="886" t="s">
        <v>309</v>
      </c>
      <c r="E66" s="869"/>
      <c r="F66" s="1930">
        <f>'Expenditures 15-22'!I210</f>
        <v>0</v>
      </c>
      <c r="G66" s="866"/>
    </row>
    <row r="67" spans="1:8" x14ac:dyDescent="0.2">
      <c r="A67" s="870" t="s">
        <v>482</v>
      </c>
      <c r="B67" s="870" t="s">
        <v>2004</v>
      </c>
      <c r="C67" s="887" t="str">
        <f>'Expenditures 15-22'!B216</f>
        <v>1125</v>
      </c>
      <c r="D67" s="893" t="str">
        <f>'Expenditures 15-22'!A216</f>
        <v>Pre-K Programs</v>
      </c>
      <c r="E67" s="869"/>
      <c r="F67" s="1930">
        <f>'Expenditures 15-22'!K216</f>
        <v>0</v>
      </c>
      <c r="G67" s="866"/>
    </row>
    <row r="68" spans="1:8" x14ac:dyDescent="0.2">
      <c r="A68" s="870" t="s">
        <v>482</v>
      </c>
      <c r="B68" s="870" t="s">
        <v>1555</v>
      </c>
      <c r="C68" s="887" t="str">
        <f>'Expenditures 15-22'!B218</f>
        <v>1225</v>
      </c>
      <c r="D68" s="893" t="str">
        <f>'Expenditures 15-22'!A218</f>
        <v>Special Education Programs - Pre-K</v>
      </c>
      <c r="E68" s="869"/>
      <c r="F68" s="1930">
        <f>'Expenditures 15-22'!K218</f>
        <v>577</v>
      </c>
      <c r="G68" s="866"/>
    </row>
    <row r="69" spans="1:8" x14ac:dyDescent="0.2">
      <c r="A69" s="870" t="s">
        <v>482</v>
      </c>
      <c r="B69" s="870" t="s">
        <v>2005</v>
      </c>
      <c r="C69" s="887" t="str">
        <f>'Expenditures 15-22'!B220</f>
        <v>1275</v>
      </c>
      <c r="D69" s="893" t="str">
        <f>'Expenditures 15-22'!A220</f>
        <v>Remedial and Supplemental Programs - Pre-K</v>
      </c>
      <c r="E69" s="869"/>
      <c r="F69" s="1930">
        <f>'Expenditures 15-22'!K220</f>
        <v>0</v>
      </c>
      <c r="G69" s="866"/>
    </row>
    <row r="70" spans="1:8" x14ac:dyDescent="0.2">
      <c r="A70" s="870" t="s">
        <v>482</v>
      </c>
      <c r="B70" s="870" t="s">
        <v>2006</v>
      </c>
      <c r="C70" s="887">
        <f>'Expenditures 15-22'!B221</f>
        <v>1300</v>
      </c>
      <c r="D70" s="888" t="str">
        <f>'Expenditures 15-22'!A221</f>
        <v>Adult/Continuing Education Programs</v>
      </c>
      <c r="E70" s="869"/>
      <c r="F70" s="1930">
        <f>'Expenditures 15-22'!K221</f>
        <v>0</v>
      </c>
      <c r="G70" s="866"/>
    </row>
    <row r="71" spans="1:8" x14ac:dyDescent="0.2">
      <c r="A71" s="870" t="s">
        <v>482</v>
      </c>
      <c r="B71" s="870" t="s">
        <v>2007</v>
      </c>
      <c r="C71" s="887">
        <f>'Expenditures 15-22'!B224</f>
        <v>1600</v>
      </c>
      <c r="D71" s="888" t="str">
        <f>'Expenditures 15-22'!A224</f>
        <v>Summer School Programs</v>
      </c>
      <c r="E71" s="869"/>
      <c r="F71" s="1930">
        <f>'Expenditures 15-22'!K224</f>
        <v>0</v>
      </c>
      <c r="G71" s="866"/>
    </row>
    <row r="72" spans="1:8" x14ac:dyDescent="0.2">
      <c r="A72" s="870" t="s">
        <v>482</v>
      </c>
      <c r="B72" s="870" t="s">
        <v>2008</v>
      </c>
      <c r="C72" s="887">
        <f>'Expenditures 15-22'!B280</f>
        <v>3000</v>
      </c>
      <c r="D72" s="877" t="s">
        <v>469</v>
      </c>
      <c r="E72" s="869"/>
      <c r="F72" s="1930">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0">
        <f>'Expenditures 15-22'!K285</f>
        <v>0</v>
      </c>
      <c r="G73" s="866"/>
    </row>
    <row r="74" spans="1:8" x14ac:dyDescent="0.2">
      <c r="A74" s="870" t="s">
        <v>456</v>
      </c>
      <c r="B74" s="870" t="s">
        <v>2010</v>
      </c>
      <c r="C74" s="887" t="s">
        <v>915</v>
      </c>
      <c r="D74" s="888" t="s">
        <v>1567</v>
      </c>
      <c r="E74" s="869"/>
      <c r="F74" s="1934">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187370</v>
      </c>
      <c r="G76" s="866"/>
    </row>
    <row r="77" spans="1:8" s="894" customFormat="1" ht="12" customHeight="1" thickTop="1" thickBot="1" x14ac:dyDescent="0.25">
      <c r="A77" s="1801"/>
      <c r="B77" s="1798"/>
      <c r="C77" s="1794"/>
      <c r="D77" s="1799" t="s">
        <v>2012</v>
      </c>
      <c r="E77" s="1796"/>
      <c r="F77" s="1802">
        <f>(F14-F76)</f>
        <v>2070003</v>
      </c>
      <c r="G77" s="870"/>
    </row>
    <row r="78" spans="1:8" s="894" customFormat="1" ht="12" customHeight="1" thickTop="1" x14ac:dyDescent="0.2">
      <c r="A78" s="1803"/>
      <c r="B78" s="1798"/>
      <c r="C78" s="1794"/>
      <c r="D78" s="1799" t="s">
        <v>2059</v>
      </c>
      <c r="E78" s="1796"/>
      <c r="F78" s="899">
        <v>198.36</v>
      </c>
      <c r="G78" s="900"/>
      <c r="H78" s="870"/>
    </row>
    <row r="79" spans="1:8" s="894" customFormat="1" ht="12" customHeight="1" thickBot="1" x14ac:dyDescent="0.25">
      <c r="A79" s="1804"/>
      <c r="B79" s="1798"/>
      <c r="C79" s="1794"/>
      <c r="D79" s="1799" t="s">
        <v>2013</v>
      </c>
      <c r="E79" s="1796" t="s">
        <v>1015</v>
      </c>
      <c r="F79" s="1805">
        <f>IF(F78&gt;0,F77/F78," Complete Line 78")</f>
        <v>10435.586811857229</v>
      </c>
      <c r="G79" s="870"/>
    </row>
    <row r="80" spans="1:8" s="894" customFormat="1" ht="8.25" customHeight="1" thickTop="1" x14ac:dyDescent="0.2">
      <c r="A80" s="901"/>
      <c r="B80" s="870"/>
      <c r="C80" s="872"/>
      <c r="D80" s="902"/>
      <c r="E80" s="869"/>
      <c r="F80" s="903"/>
      <c r="G80" s="870"/>
    </row>
    <row r="81" spans="1:7" s="894" customFormat="1" ht="12" thickBot="1" x14ac:dyDescent="0.25">
      <c r="A81" s="2280" t="s">
        <v>1167</v>
      </c>
      <c r="B81" s="2281"/>
      <c r="C81" s="2281"/>
      <c r="D81" s="2281"/>
      <c r="E81" s="2281"/>
      <c r="F81" s="228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4">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1957</v>
      </c>
      <c r="G94" s="913"/>
    </row>
    <row r="95" spans="1:7" x14ac:dyDescent="0.2">
      <c r="A95" s="909" t="s">
        <v>142</v>
      </c>
      <c r="B95" s="909" t="s">
        <v>177</v>
      </c>
      <c r="C95" s="911">
        <v>1700</v>
      </c>
      <c r="D95" s="919" t="str">
        <f>'Revenues 9-14'!A82</f>
        <v>Total District/School Activity Income</v>
      </c>
      <c r="E95" s="907"/>
      <c r="F95" s="1811">
        <f>SUM('Revenues 9-14'!C82,'Revenues 9-14'!D82)</f>
        <v>6320</v>
      </c>
      <c r="G95" s="913"/>
    </row>
    <row r="96" spans="1:7" x14ac:dyDescent="0.2">
      <c r="A96" s="909" t="s">
        <v>479</v>
      </c>
      <c r="B96" s="909" t="s">
        <v>178</v>
      </c>
      <c r="C96" s="911">
        <f>'Revenues 9-14'!B84</f>
        <v>1811</v>
      </c>
      <c r="D96" s="912" t="str">
        <f>'Revenues 9-14'!A84</f>
        <v>Rentals - Regular Textbooks</v>
      </c>
      <c r="E96" s="907"/>
      <c r="F96" s="1811">
        <f>'Revenues 9-14'!C84</f>
        <v>4084</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280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24486</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58591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1461</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35392</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3">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4">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4">
        <f>SUM('Revenues 9-14'!C166:G166)</f>
        <v>0</v>
      </c>
      <c r="G122" s="913"/>
    </row>
    <row r="123" spans="1:7" x14ac:dyDescent="0.2">
      <c r="A123" s="924" t="s">
        <v>525</v>
      </c>
      <c r="B123" s="924" t="s">
        <v>853</v>
      </c>
      <c r="C123" s="925">
        <f>'Revenues 9-14'!B167</f>
        <v>3815</v>
      </c>
      <c r="D123" s="926" t="str">
        <f>'Revenues 9-14'!A167</f>
        <v>State Charter Schools</v>
      </c>
      <c r="E123" s="907"/>
      <c r="F123" s="1924">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3626</v>
      </c>
      <c r="G128" s="931"/>
    </row>
    <row r="129" spans="1:7" x14ac:dyDescent="0.2">
      <c r="A129" s="928" t="s">
        <v>685</v>
      </c>
      <c r="B129" s="928" t="s">
        <v>803</v>
      </c>
      <c r="C129" s="933">
        <v>4200</v>
      </c>
      <c r="D129" s="930" t="str">
        <f>'Revenues 9-14'!A201</f>
        <v>Total Food Service</v>
      </c>
      <c r="E129" s="907"/>
      <c r="F129" s="1811">
        <f>SUM('Revenues 9-14'!C201,'Revenues 9-14'!G201)</f>
        <v>106021</v>
      </c>
      <c r="G129" s="931"/>
    </row>
    <row r="130" spans="1:7" x14ac:dyDescent="0.2">
      <c r="A130" s="928" t="s">
        <v>689</v>
      </c>
      <c r="B130" s="928" t="s">
        <v>804</v>
      </c>
      <c r="C130" s="933">
        <v>4300</v>
      </c>
      <c r="D130" s="934" t="str">
        <f>'Revenues 9-14'!A211</f>
        <v>Total Title I</v>
      </c>
      <c r="E130" s="907"/>
      <c r="F130" s="1811">
        <f>SUM('Revenues 9-14'!C211,'Revenues 9-14'!D211,'Revenues 9-14'!F211,'Revenues 9-14'!G211)</f>
        <v>125911</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25390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4">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4">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4">
        <f>SUM('Revenues 9-14'!C268,'Revenues 9-14'!D268,'Revenues 9-14'!F268,'Revenues 9-14'!G268)</f>
        <v>16578</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4695</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11879</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35" t="s">
        <v>5</v>
      </c>
      <c r="B175" s="1936" t="s">
        <v>2058</v>
      </c>
      <c r="C175" s="1937">
        <v>3100</v>
      </c>
      <c r="D175" s="1938" t="s">
        <v>2061</v>
      </c>
      <c r="E175" s="907"/>
      <c r="F175" s="1922"/>
      <c r="G175" s="928"/>
    </row>
    <row r="176" spans="1:7" x14ac:dyDescent="0.2">
      <c r="A176" s="1935" t="s">
        <v>685</v>
      </c>
      <c r="B176" s="1936" t="s">
        <v>2058</v>
      </c>
      <c r="C176" s="1937">
        <v>3300</v>
      </c>
      <c r="D176" s="1938" t="s">
        <v>2062</v>
      </c>
      <c r="E176" s="907"/>
      <c r="F176" s="1922"/>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426671</v>
      </c>
    </row>
    <row r="179" spans="1:7" ht="12" customHeight="1" x14ac:dyDescent="0.2">
      <c r="A179" s="1792"/>
      <c r="B179" s="1806"/>
      <c r="C179" s="1807"/>
      <c r="D179" s="1808" t="s">
        <v>2015</v>
      </c>
      <c r="E179" s="1809"/>
      <c r="F179" s="1811">
        <f>'PCTC-OEPP 27-28'!F77-F178</f>
        <v>1643332</v>
      </c>
    </row>
    <row r="180" spans="1:7" ht="12" customHeight="1" x14ac:dyDescent="0.2">
      <c r="A180" s="1792"/>
      <c r="B180" s="1806"/>
      <c r="C180" s="1807"/>
      <c r="D180" s="1808" t="s">
        <v>1924</v>
      </c>
      <c r="E180" s="1809"/>
      <c r="F180" s="1811">
        <f>'Cap Outlay Deprec 26'!I18</f>
        <v>40437.949999999997</v>
      </c>
    </row>
    <row r="181" spans="1:7" ht="12" customHeight="1" x14ac:dyDescent="0.2">
      <c r="A181" s="1792"/>
      <c r="B181" s="1806"/>
      <c r="C181" s="1807"/>
      <c r="D181" s="1808" t="s">
        <v>2016</v>
      </c>
      <c r="E181" s="1809"/>
      <c r="F181" s="1811">
        <f>F179+F180</f>
        <v>1683769.95</v>
      </c>
    </row>
    <row r="182" spans="1:7" ht="12" customHeight="1" x14ac:dyDescent="0.2">
      <c r="A182" s="1792"/>
      <c r="B182" s="1812"/>
      <c r="C182" s="1807"/>
      <c r="D182" s="1808" t="str">
        <f>D78</f>
        <v>9 Month ADA from District Average Daily Attendance/Prior General State Aid Inquiry 2017-2018</v>
      </c>
      <c r="E182" s="1809"/>
      <c r="F182" s="1813">
        <f>'PCTC-OEPP 27-28'!F78</f>
        <v>198.36</v>
      </c>
      <c r="G182" s="931"/>
    </row>
    <row r="183" spans="1:7" ht="12" customHeight="1" thickBot="1" x14ac:dyDescent="0.25">
      <c r="A183" s="1792"/>
      <c r="B183" s="1812"/>
      <c r="C183" s="1807"/>
      <c r="D183" s="1808" t="s">
        <v>2017</v>
      </c>
      <c r="E183" s="1809" t="s">
        <v>1626</v>
      </c>
      <c r="F183" s="1814">
        <f>F181/F182</f>
        <v>8488.4550816696901</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39" customFormat="1" ht="12.2" customHeight="1" x14ac:dyDescent="0.2">
      <c r="A186" s="1939" t="s">
        <v>2065</v>
      </c>
      <c r="B186" s="1940"/>
      <c r="C186" s="1941"/>
      <c r="D186" s="1940"/>
      <c r="E186" s="1941"/>
      <c r="F186" s="1940"/>
      <c r="G186" s="1940"/>
    </row>
    <row r="187" spans="1:7" s="1939" customFormat="1" ht="12.2" customHeight="1" x14ac:dyDescent="0.2">
      <c r="A187" s="1942" t="s">
        <v>2066</v>
      </c>
      <c r="C187" s="1941"/>
      <c r="D187" s="1940"/>
      <c r="E187" s="1941"/>
      <c r="F187" s="1940"/>
      <c r="G187" s="1940"/>
    </row>
    <row r="188" spans="1:7" ht="12" customHeight="1" x14ac:dyDescent="0.2">
      <c r="C188" s="950"/>
      <c r="D188" s="931"/>
      <c r="E188" s="950"/>
      <c r="F188" s="931"/>
      <c r="G188" s="931"/>
    </row>
    <row r="189" spans="1:7" x14ac:dyDescent="0.2">
      <c r="A189" s="1943" t="s">
        <v>2064</v>
      </c>
      <c r="B189" s="1944"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view="pageBreakPreview" zoomScale="60" zoomScaleNormal="100" workbookViewId="0">
      <pane ySplit="16" topLeftCell="A17" activePane="bottomLeft" state="frozen"/>
      <selection activeCell="O12" sqref="O12"/>
      <selection pane="bottomLeft" activeCell="C143" sqref="C143"/>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4" t="s">
        <v>1925</v>
      </c>
      <c r="B4" s="2295"/>
      <c r="C4" s="2295"/>
      <c r="D4" s="2295"/>
      <c r="E4" s="2295"/>
      <c r="F4" s="2295"/>
      <c r="G4" s="2296"/>
    </row>
    <row r="5" spans="1:7" x14ac:dyDescent="0.25">
      <c r="A5" s="2297"/>
      <c r="B5" s="2298"/>
      <c r="C5" s="2298"/>
      <c r="D5" s="2298"/>
      <c r="E5" s="2298"/>
      <c r="F5" s="2298"/>
      <c r="G5" s="2299"/>
    </row>
    <row r="6" spans="1:7" ht="18.75" x14ac:dyDescent="0.25">
      <c r="A6" s="1556" t="s">
        <v>1926</v>
      </c>
      <c r="B6" s="1557"/>
      <c r="C6" s="1557"/>
      <c r="D6" s="1557"/>
      <c r="E6" s="1557"/>
      <c r="F6" s="1557"/>
      <c r="G6" s="1558"/>
    </row>
    <row r="7" spans="1:7" ht="30.75" customHeight="1" x14ac:dyDescent="0.25">
      <c r="A7" s="2300" t="s">
        <v>2075</v>
      </c>
      <c r="B7" s="2301"/>
      <c r="C7" s="2301"/>
      <c r="D7" s="2301"/>
      <c r="E7" s="2301"/>
      <c r="F7" s="2301"/>
      <c r="G7" s="2302"/>
    </row>
    <row r="8" spans="1:7" ht="15.75" customHeight="1" x14ac:dyDescent="0.25">
      <c r="A8" s="2303" t="s">
        <v>2024</v>
      </c>
      <c r="B8" s="2304"/>
      <c r="C8" s="2304"/>
      <c r="D8" s="2304"/>
      <c r="E8" s="2304"/>
      <c r="F8" s="2304"/>
      <c r="G8" s="2305"/>
    </row>
    <row r="9" spans="1:7" ht="35.25" customHeight="1" x14ac:dyDescent="0.25">
      <c r="A9" s="2300" t="s">
        <v>2023</v>
      </c>
      <c r="B9" s="2301"/>
      <c r="C9" s="2301"/>
      <c r="D9" s="2301"/>
      <c r="E9" s="2301"/>
      <c r="F9" s="2301"/>
      <c r="G9" s="2302"/>
    </row>
    <row r="10" spans="1:7" ht="15" customHeight="1" x14ac:dyDescent="0.25">
      <c r="A10" s="1559" t="s">
        <v>1927</v>
      </c>
      <c r="B10" s="1560"/>
      <c r="C10" s="1560"/>
      <c r="D10" s="1560"/>
      <c r="E10" s="1560"/>
      <c r="F10" s="1560"/>
      <c r="G10" s="1561"/>
    </row>
    <row r="11" spans="1:7" ht="17.25" customHeight="1" x14ac:dyDescent="0.25">
      <c r="A11" s="2300" t="s">
        <v>1941</v>
      </c>
      <c r="B11" s="2301"/>
      <c r="C11" s="2301"/>
      <c r="D11" s="2301"/>
      <c r="E11" s="2301"/>
      <c r="F11" s="2301"/>
      <c r="G11" s="2302"/>
    </row>
    <row r="12" spans="1:7" ht="15" customHeight="1" x14ac:dyDescent="0.25">
      <c r="A12" s="1559" t="s">
        <v>1932</v>
      </c>
      <c r="B12" s="1560"/>
      <c r="C12" s="1560"/>
      <c r="D12" s="1560"/>
      <c r="E12" s="1560"/>
      <c r="F12" s="1560"/>
      <c r="G12" s="1561"/>
    </row>
    <row r="13" spans="1:7" ht="32.25" customHeight="1" x14ac:dyDescent="0.25">
      <c r="A13" s="2291" t="s">
        <v>1933</v>
      </c>
      <c r="B13" s="2292"/>
      <c r="C13" s="2292"/>
      <c r="D13" s="2292"/>
      <c r="E13" s="2292"/>
      <c r="F13" s="2292"/>
      <c r="G13" s="2293"/>
    </row>
    <row r="14" spans="1:7" x14ac:dyDescent="0.25">
      <c r="A14" s="1683" t="s">
        <v>1942</v>
      </c>
      <c r="B14" s="1684"/>
      <c r="C14" s="1684"/>
      <c r="D14" s="1684"/>
      <c r="E14" s="1684"/>
      <c r="F14" s="1684"/>
      <c r="G14" s="1685"/>
    </row>
    <row r="15" spans="1:7" ht="95.2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3" t="s">
        <v>2133</v>
      </c>
      <c r="B17" s="1961" t="s">
        <v>2126</v>
      </c>
      <c r="C17" s="1962" t="s">
        <v>2129</v>
      </c>
      <c r="D17" s="1867">
        <v>540</v>
      </c>
      <c r="E17" s="1562">
        <f t="shared" ref="E17:E141" si="1">IF(D17&lt;=25000,D17,IF(D17&gt;25000,25000,0))</f>
        <v>540</v>
      </c>
      <c r="F17" s="1815">
        <v>540</v>
      </c>
      <c r="G17" s="1816">
        <f>IF(F17=0,0,D17-F17)</f>
        <v>0</v>
      </c>
      <c r="H17" s="1669"/>
    </row>
    <row r="18" spans="1:8" x14ac:dyDescent="0.25">
      <c r="A18" s="1963" t="s">
        <v>2133</v>
      </c>
      <c r="B18" s="1961" t="s">
        <v>2126</v>
      </c>
      <c r="C18" s="1962" t="s">
        <v>2130</v>
      </c>
      <c r="D18" s="1867">
        <v>576</v>
      </c>
      <c r="E18" s="1562">
        <f t="shared" ref="E18:E140" si="2">IF(D18&lt;=25000,D18,IF(D18&gt;25000,25000,0))</f>
        <v>576</v>
      </c>
      <c r="F18" s="1815">
        <v>576</v>
      </c>
      <c r="G18" s="1816">
        <f t="shared" ref="G18:G140" si="3">IF(F18=0,0,D18-F18)</f>
        <v>0</v>
      </c>
    </row>
    <row r="19" spans="1:8" x14ac:dyDescent="0.25">
      <c r="A19" s="1963" t="s">
        <v>2134</v>
      </c>
      <c r="B19" s="1961" t="s">
        <v>2127</v>
      </c>
      <c r="C19" s="1962" t="s">
        <v>2131</v>
      </c>
      <c r="D19" s="1867">
        <v>3720</v>
      </c>
      <c r="E19" s="1562">
        <f t="shared" si="2"/>
        <v>3720</v>
      </c>
      <c r="F19" s="1815">
        <v>3720</v>
      </c>
      <c r="G19" s="1816">
        <f t="shared" si="3"/>
        <v>0</v>
      </c>
    </row>
    <row r="20" spans="1:8" x14ac:dyDescent="0.25">
      <c r="A20" s="1963" t="s">
        <v>2135</v>
      </c>
      <c r="B20" s="1961" t="s">
        <v>2128</v>
      </c>
      <c r="C20" s="1962" t="s">
        <v>2132</v>
      </c>
      <c r="D20" s="1867">
        <v>9662</v>
      </c>
      <c r="E20" s="1562">
        <f t="shared" si="2"/>
        <v>9662</v>
      </c>
      <c r="F20" s="1815">
        <v>9662</v>
      </c>
      <c r="G20" s="1816">
        <f t="shared" si="3"/>
        <v>0</v>
      </c>
    </row>
    <row r="21" spans="1:8" x14ac:dyDescent="0.25">
      <c r="A21" s="1958"/>
      <c r="B21" s="1959"/>
      <c r="C21" s="1960"/>
      <c r="D21" s="1867"/>
      <c r="E21" s="1562">
        <f t="shared" si="2"/>
        <v>0</v>
      </c>
      <c r="F21" s="1815"/>
      <c r="G21" s="1816">
        <f t="shared" si="3"/>
        <v>0</v>
      </c>
    </row>
    <row r="22" spans="1:8" x14ac:dyDescent="0.25">
      <c r="A22" s="1675"/>
      <c r="B22" s="1868"/>
      <c r="C22" s="1678"/>
      <c r="D22" s="1867"/>
      <c r="E22" s="1562">
        <f t="shared" si="2"/>
        <v>0</v>
      </c>
      <c r="F22" s="1815">
        <f t="shared" ref="F22:F140" si="4">IF(OR(B22="10-1000-100",B22="10-1000-200",B22="10-1000-300",B22="10-1000-400",B22="10-1000-600",B22="10-1000-800",B22="50-1000-200",B22="10-2100-100",B22="10-2100-200",B22="10-2100-300",B22="10-2100-400",B22="10-2100-600",B22="10-2100-800",B22="20-2100-200",B22="20-2190-100",B22="20-2190-200",B22="20-2190-300",B22="20-2190-400",B22="20-2190-600",B22="20-2190-800",B22="40-2190-100",B22="40-2190-200",B22="40-2190-300",B22="40-2190-400",B22="40-2190-600",B22="40-2190-800",B22="50-2190-200",B22="10-2200-100",B22="10-2200-200",B22="10-2200-300",B22="10-2200-400",B22="10-2200-600",B22="10-2200-800",B22="50-2200-200",B22="10-2300-100",B22="10-2300-200",B22="10-2300-300",B22="10-2300-400",B22="10-2300-600",B22="10-2300-800",B22="50-2300-200",B22="80-2300-100",B22="80-2300-200",B22="80-2300-300",B22="80-2300-400",B22="80-2300-600",B22="80-2300-800",B22="10-2400-100",B22="10-2400-200",B22="10-2400-300",B22="10-2400-400",B22="10-2400-600",B22="10-2400-800",B22="50-2400-200",B22="10-2510-100",B22="10-2510-200",B22="10-2510-300",B22="10-2510-400",B22="10-2510-600",B22="10-2510-800",B22="20-2510-100",B22="20-2510-200",B22="20-2510-300",B22="20-2510-400",B22="20-2510-600",B22="20-2510-800",B22="50-2510-200",B22="10-2520-100",B22="10-2520-200",B22="10-2520-300",B22="10-2520-400",B22="10-2520-600",B22="10-2520-800",B22="50-2520-200",B22="10-2540-100",B22="10-2540-200",B22="10-2540-300",B22="10-2540-400",B22="10-2540-600",B22="20-2540-800",B22="20-2540-100",B22="20-2540-200",B22="20-2540-300",B22="20-2540-400",B22="20-2540-600",B22="50-2540-200",B22="90-2540-100",B22="90-2540-200",B22="90-2540-300",B22="90-2540-400",B22="90-2540-600",B22="90-2540-800",B22="90-2540-800",B22="10-2550-100",B22="10-2550-200",B22="10-2550-300",B22="10-2550-400",B22="10-2550-600",B22="10-2550-800",B22="20-2550-100",B22="20-2550-200",B22="20-2550-300",B22="20-2550-400",B22="20-2550-600",B22="20-2550-800",B22="40-2550-100",B22="40-2550-200",B22="40-2550-300",B22="40-2550-400",B22="40-2550-600",B22="40-2550-800",B22="50-2550-200",B22="10-2560-100",B22="10-2560-200",B22="10-2560-300",B22="10-2560-400",B22="10-2560-600",B22="10-2560-800",B22="20-2560-100",B22="20-2560-200",B22="20-2560-300",B22="20-2560-400",B22="20-2560-600",B22="20-2560-800",B22="50-2560-200",B22="10-2570-100",B22="10-2570-200",B22="10-2570-300",B22="10-2570-400",B22="10-2570-600",B22="10-2570-800",B22="50-2570-200",B22="10-2610-100",B22="10-2610-200",B22="10-2610-300",B22="10-2610-400",B22="10-2610-600",B22="10-2610-800",B22="50-2610-200",B22="10-2620-100",B22="10-2620-200",B22="10-2620-300",B22="10-2620-400",B22="10-2620-600",B22="10-2620-800",B22="50-2620-200",B22="10-2630-100",B22="10-2630-200",B22="10-2630-300",B22="10-2630-400",B22="10-2630-600",B22="10-2630-800",B22="50-2630-200",B22="10-2640-100",B22="10-2640-200",B22="10-2640-300",B22="10-2640-400",B22="10-2640-600",B22="10-2640-800",B22="50-2640-200",B22="10-2660-100",B22="10-2660-200",B22="10-2660-300",B22="10-2660-400",B22="10-2660-600",B22="10-2660-800",B22="50-2660-200",B22="10-2900-100",B22="10-2900-200",B22="10-2900-300",B22="10-2900-400",B22="10-2900-600",B22="10-2900-800",B22="20-2900-100",B22="20-2900-200",B22="20-2900-300",B22="20-2900-400",B22="20-2900-600",B22="20-2900-800",B22="40-2900-100",B22="40-2900-200",B22="40-2900-300",B22="40-2900-400",B22="40-2900-600",B22="40-2900-800",B22="50-2900-200",B22="60-2900-100",B22="60-2900-200",B22="60-2900-300",B22="60-2900-400",B22="60-2900-600",B22="60-2900-800",B22="90-2900-100",B22="90-2900-200",B22="90-2900-300",B22="90-2900-400",B22="90-2900-600",B22="90-2900-800",B22="10-3000-100",B22="10-3000-200",B22="10-3000-300",B22="10-3000-400",B22="10-3000-600",B22="10-3000-800",B22="20-3000-100",B22="20-3000-200",B22="20-3000-300",B22="20-3000-400",B22="20-3000-600",B22="20-3000-800",B22="40-3000-100",B22="40-3000-200",B22="40-3000-300",B22="40-3000-400",B22="40-3000-600",B22="40-3000-800",B22="50-3000-200"),E22,0)</f>
        <v>0</v>
      </c>
      <c r="G22" s="1816">
        <f t="shared" si="3"/>
        <v>0</v>
      </c>
    </row>
    <row r="23" spans="1:8" hidden="1" x14ac:dyDescent="0.25">
      <c r="A23" s="1675"/>
      <c r="B23" s="1868"/>
      <c r="C23" s="1678"/>
      <c r="D23" s="1867"/>
      <c r="E23" s="1562">
        <f t="shared" si="2"/>
        <v>0</v>
      </c>
      <c r="F23" s="1815">
        <f t="shared" si="4"/>
        <v>0</v>
      </c>
      <c r="G23" s="1816">
        <f t="shared" si="3"/>
        <v>0</v>
      </c>
    </row>
    <row r="24" spans="1:8" hidden="1" x14ac:dyDescent="0.25">
      <c r="A24" s="1675"/>
      <c r="B24" s="1869"/>
      <c r="C24" s="1678"/>
      <c r="D24" s="1867"/>
      <c r="E24" s="1562">
        <f t="shared" si="2"/>
        <v>0</v>
      </c>
      <c r="F24" s="1815">
        <f t="shared" si="4"/>
        <v>0</v>
      </c>
      <c r="G24" s="1816">
        <f t="shared" si="3"/>
        <v>0</v>
      </c>
    </row>
    <row r="25" spans="1:8" hidden="1" x14ac:dyDescent="0.25">
      <c r="A25" s="1675"/>
      <c r="B25" s="1868"/>
      <c r="C25" s="1678"/>
      <c r="D25" s="1867"/>
      <c r="E25" s="1562">
        <f t="shared" si="2"/>
        <v>0</v>
      </c>
      <c r="F25" s="1815">
        <f t="shared" si="4"/>
        <v>0</v>
      </c>
      <c r="G25" s="1816">
        <f t="shared" si="3"/>
        <v>0</v>
      </c>
    </row>
    <row r="26" spans="1:8" hidden="1" x14ac:dyDescent="0.25">
      <c r="A26" s="1675"/>
      <c r="B26" s="1869"/>
      <c r="C26" s="1676"/>
      <c r="D26" s="1867"/>
      <c r="E26" s="1562">
        <f t="shared" si="2"/>
        <v>0</v>
      </c>
      <c r="F26" s="1815">
        <f t="shared" si="4"/>
        <v>0</v>
      </c>
      <c r="G26" s="1816">
        <f t="shared" si="3"/>
        <v>0</v>
      </c>
    </row>
    <row r="27" spans="1:8" hidden="1" x14ac:dyDescent="0.25">
      <c r="A27" s="1675"/>
      <c r="B27" s="1869"/>
      <c r="C27" s="1676"/>
      <c r="D27" s="1867"/>
      <c r="E27" s="1562">
        <f t="shared" si="2"/>
        <v>0</v>
      </c>
      <c r="F27" s="1815">
        <f t="shared" si="4"/>
        <v>0</v>
      </c>
      <c r="G27" s="1816">
        <f t="shared" si="3"/>
        <v>0</v>
      </c>
    </row>
    <row r="28" spans="1:8" hidden="1" x14ac:dyDescent="0.25">
      <c r="A28" s="1675"/>
      <c r="B28" s="1869"/>
      <c r="C28" s="1676"/>
      <c r="D28" s="1867"/>
      <c r="E28" s="1562">
        <f t="shared" si="2"/>
        <v>0</v>
      </c>
      <c r="F28" s="1815">
        <f t="shared" si="4"/>
        <v>0</v>
      </c>
      <c r="G28" s="1816">
        <f t="shared" si="3"/>
        <v>0</v>
      </c>
    </row>
    <row r="29" spans="1:8" hidden="1" x14ac:dyDescent="0.25">
      <c r="A29" s="1675"/>
      <c r="B29" s="1869"/>
      <c r="C29" s="1676"/>
      <c r="D29" s="1867"/>
      <c r="E29" s="1562">
        <f t="shared" si="2"/>
        <v>0</v>
      </c>
      <c r="F29" s="1815">
        <f t="shared" si="4"/>
        <v>0</v>
      </c>
      <c r="G29" s="1816">
        <f t="shared" si="3"/>
        <v>0</v>
      </c>
    </row>
    <row r="30" spans="1:8" hidden="1" x14ac:dyDescent="0.25">
      <c r="A30" s="1675"/>
      <c r="B30" s="1869"/>
      <c r="C30" s="1676"/>
      <c r="D30" s="1867"/>
      <c r="E30" s="1562">
        <f t="shared" si="2"/>
        <v>0</v>
      </c>
      <c r="F30" s="1815">
        <f t="shared" si="4"/>
        <v>0</v>
      </c>
      <c r="G30" s="1816">
        <f t="shared" si="3"/>
        <v>0</v>
      </c>
    </row>
    <row r="31" spans="1:8" hidden="1" x14ac:dyDescent="0.25">
      <c r="A31" s="1675"/>
      <c r="B31" s="1869"/>
      <c r="C31" s="1676"/>
      <c r="D31" s="1867"/>
      <c r="E31" s="1562">
        <f t="shared" si="2"/>
        <v>0</v>
      </c>
      <c r="F31" s="1815">
        <f t="shared" si="4"/>
        <v>0</v>
      </c>
      <c r="G31" s="1816">
        <f t="shared" si="3"/>
        <v>0</v>
      </c>
    </row>
    <row r="32" spans="1:8" hidden="1" x14ac:dyDescent="0.25">
      <c r="A32" s="1675"/>
      <c r="B32" s="1869"/>
      <c r="C32" s="1676"/>
      <c r="D32" s="1867"/>
      <c r="E32" s="1562">
        <f t="shared" si="2"/>
        <v>0</v>
      </c>
      <c r="F32" s="1815">
        <f t="shared" si="4"/>
        <v>0</v>
      </c>
      <c r="G32" s="1816">
        <f t="shared" si="3"/>
        <v>0</v>
      </c>
    </row>
    <row r="33" spans="1:7" hidden="1" x14ac:dyDescent="0.25">
      <c r="A33" s="1675"/>
      <c r="B33" s="1869"/>
      <c r="C33" s="1676"/>
      <c r="D33" s="1867"/>
      <c r="E33" s="1562">
        <f t="shared" si="2"/>
        <v>0</v>
      </c>
      <c r="F33" s="1815">
        <f t="shared" si="4"/>
        <v>0</v>
      </c>
      <c r="G33" s="1816">
        <f t="shared" si="3"/>
        <v>0</v>
      </c>
    </row>
    <row r="34" spans="1:7" hidden="1" x14ac:dyDescent="0.25">
      <c r="A34" s="1675"/>
      <c r="B34" s="1869"/>
      <c r="C34" s="1676"/>
      <c r="D34" s="1867"/>
      <c r="E34" s="1562">
        <f t="shared" si="2"/>
        <v>0</v>
      </c>
      <c r="F34" s="1815">
        <f t="shared" si="4"/>
        <v>0</v>
      </c>
      <c r="G34" s="1816">
        <f t="shared" si="3"/>
        <v>0</v>
      </c>
    </row>
    <row r="35" spans="1:7" hidden="1" x14ac:dyDescent="0.25">
      <c r="A35" s="1675"/>
      <c r="B35" s="1869"/>
      <c r="C35" s="1676"/>
      <c r="D35" s="1867"/>
      <c r="E35" s="1562">
        <f t="shared" si="2"/>
        <v>0</v>
      </c>
      <c r="F35" s="1815">
        <f t="shared" si="4"/>
        <v>0</v>
      </c>
      <c r="G35" s="1816">
        <f t="shared" si="3"/>
        <v>0</v>
      </c>
    </row>
    <row r="36" spans="1:7" hidden="1" x14ac:dyDescent="0.25">
      <c r="A36" s="1675"/>
      <c r="B36" s="1869"/>
      <c r="C36" s="1676"/>
      <c r="D36" s="1867"/>
      <c r="E36" s="1562">
        <f t="shared" si="2"/>
        <v>0</v>
      </c>
      <c r="F36" s="1815">
        <f t="shared" si="4"/>
        <v>0</v>
      </c>
      <c r="G36" s="1816">
        <f t="shared" si="3"/>
        <v>0</v>
      </c>
    </row>
    <row r="37" spans="1:7" hidden="1" x14ac:dyDescent="0.25">
      <c r="A37" s="1675"/>
      <c r="B37" s="1869"/>
      <c r="C37" s="1676"/>
      <c r="D37" s="1867"/>
      <c r="E37" s="1562">
        <f t="shared" si="2"/>
        <v>0</v>
      </c>
      <c r="F37" s="1815">
        <f t="shared" si="4"/>
        <v>0</v>
      </c>
      <c r="G37" s="1816">
        <f t="shared" si="3"/>
        <v>0</v>
      </c>
    </row>
    <row r="38" spans="1:7" hidden="1" x14ac:dyDescent="0.25">
      <c r="A38" s="1675"/>
      <c r="B38" s="1689"/>
      <c r="C38" s="1676"/>
      <c r="D38" s="1867"/>
      <c r="E38" s="1562">
        <f t="shared" si="2"/>
        <v>0</v>
      </c>
      <c r="F38" s="1815">
        <f t="shared" si="4"/>
        <v>0</v>
      </c>
      <c r="G38" s="1816">
        <f t="shared" si="3"/>
        <v>0</v>
      </c>
    </row>
    <row r="39" spans="1:7" hidden="1" x14ac:dyDescent="0.25">
      <c r="A39" s="1675"/>
      <c r="B39" s="1689"/>
      <c r="C39" s="1676"/>
      <c r="D39" s="1867"/>
      <c r="E39" s="1562">
        <f t="shared" si="2"/>
        <v>0</v>
      </c>
      <c r="F39" s="1815">
        <f t="shared" si="4"/>
        <v>0</v>
      </c>
      <c r="G39" s="1816">
        <f t="shared" si="3"/>
        <v>0</v>
      </c>
    </row>
    <row r="40" spans="1:7" hidden="1" x14ac:dyDescent="0.25">
      <c r="A40" s="1675"/>
      <c r="B40" s="1689"/>
      <c r="C40" s="1676"/>
      <c r="D40" s="1867"/>
      <c r="E40" s="1562">
        <f t="shared" si="2"/>
        <v>0</v>
      </c>
      <c r="F40" s="1815">
        <f t="shared" si="4"/>
        <v>0</v>
      </c>
      <c r="G40" s="1816">
        <f t="shared" si="3"/>
        <v>0</v>
      </c>
    </row>
    <row r="41" spans="1:7" hidden="1" x14ac:dyDescent="0.25">
      <c r="A41" s="1675"/>
      <c r="B41" s="1689"/>
      <c r="C41" s="1676"/>
      <c r="D41" s="1867"/>
      <c r="E41" s="1562">
        <f t="shared" si="2"/>
        <v>0</v>
      </c>
      <c r="F41" s="1815">
        <f t="shared" si="4"/>
        <v>0</v>
      </c>
      <c r="G41" s="1816">
        <f t="shared" si="3"/>
        <v>0</v>
      </c>
    </row>
    <row r="42" spans="1:7" hidden="1" x14ac:dyDescent="0.25">
      <c r="A42" s="1675"/>
      <c r="B42" s="1689"/>
      <c r="C42" s="1676"/>
      <c r="D42" s="1867"/>
      <c r="E42" s="1562">
        <f t="shared" si="2"/>
        <v>0</v>
      </c>
      <c r="F42" s="1815">
        <f t="shared" si="4"/>
        <v>0</v>
      </c>
      <c r="G42" s="1816">
        <f t="shared" si="3"/>
        <v>0</v>
      </c>
    </row>
    <row r="43" spans="1:7" hidden="1" x14ac:dyDescent="0.25">
      <c r="A43" s="1675"/>
      <c r="B43" s="1689"/>
      <c r="C43" s="1676"/>
      <c r="D43" s="1867"/>
      <c r="E43" s="1562">
        <f t="shared" si="2"/>
        <v>0</v>
      </c>
      <c r="F43" s="1815">
        <f t="shared" si="4"/>
        <v>0</v>
      </c>
      <c r="G43" s="1816">
        <f t="shared" si="3"/>
        <v>0</v>
      </c>
    </row>
    <row r="44" spans="1:7" hidden="1" x14ac:dyDescent="0.25">
      <c r="A44" s="1675"/>
      <c r="B44" s="1689"/>
      <c r="C44" s="1676"/>
      <c r="D44" s="1867"/>
      <c r="E44" s="1562">
        <f t="shared" si="2"/>
        <v>0</v>
      </c>
      <c r="F44" s="1815">
        <f t="shared" si="4"/>
        <v>0</v>
      </c>
      <c r="G44" s="1816">
        <f t="shared" si="3"/>
        <v>0</v>
      </c>
    </row>
    <row r="45" spans="1:7" hidden="1" x14ac:dyDescent="0.25">
      <c r="A45" s="1675"/>
      <c r="B45" s="1689"/>
      <c r="C45" s="1676"/>
      <c r="D45" s="1867"/>
      <c r="E45" s="1562">
        <f t="shared" si="2"/>
        <v>0</v>
      </c>
      <c r="F45" s="1815">
        <f t="shared" si="4"/>
        <v>0</v>
      </c>
      <c r="G45" s="1816">
        <f t="shared" si="3"/>
        <v>0</v>
      </c>
    </row>
    <row r="46" spans="1:7" hidden="1" x14ac:dyDescent="0.25">
      <c r="A46" s="1675"/>
      <c r="B46" s="1689"/>
      <c r="C46" s="1676"/>
      <c r="D46" s="1867"/>
      <c r="E46" s="1562">
        <f t="shared" si="2"/>
        <v>0</v>
      </c>
      <c r="F46" s="1815">
        <f t="shared" si="4"/>
        <v>0</v>
      </c>
      <c r="G46" s="1816">
        <f t="shared" si="3"/>
        <v>0</v>
      </c>
    </row>
    <row r="47" spans="1:7" hidden="1" x14ac:dyDescent="0.25">
      <c r="A47" s="1675"/>
      <c r="B47" s="1689"/>
      <c r="C47" s="1676"/>
      <c r="D47" s="1867"/>
      <c r="E47" s="1562">
        <f t="shared" si="2"/>
        <v>0</v>
      </c>
      <c r="F47" s="1815">
        <f t="shared" si="4"/>
        <v>0</v>
      </c>
      <c r="G47" s="1816">
        <f t="shared" si="3"/>
        <v>0</v>
      </c>
    </row>
    <row r="48" spans="1:7" hidden="1" x14ac:dyDescent="0.25">
      <c r="A48" s="1675"/>
      <c r="B48" s="1689"/>
      <c r="C48" s="1676"/>
      <c r="D48" s="1867"/>
      <c r="E48" s="1562">
        <f t="shared" si="2"/>
        <v>0</v>
      </c>
      <c r="F48" s="1815">
        <f t="shared" si="4"/>
        <v>0</v>
      </c>
      <c r="G48" s="1816">
        <f t="shared" si="3"/>
        <v>0</v>
      </c>
    </row>
    <row r="49" spans="1:7" hidden="1" x14ac:dyDescent="0.25">
      <c r="A49" s="1675"/>
      <c r="B49" s="1689"/>
      <c r="C49" s="1676"/>
      <c r="D49" s="1867"/>
      <c r="E49" s="1562">
        <f t="shared" si="2"/>
        <v>0</v>
      </c>
      <c r="F49" s="1815">
        <f t="shared" si="4"/>
        <v>0</v>
      </c>
      <c r="G49" s="1816">
        <f t="shared" si="3"/>
        <v>0</v>
      </c>
    </row>
    <row r="50" spans="1:7" hidden="1" x14ac:dyDescent="0.25">
      <c r="A50" s="1675"/>
      <c r="B50" s="1689"/>
      <c r="C50" s="1676"/>
      <c r="D50" s="1867"/>
      <c r="E50" s="1562">
        <f t="shared" si="2"/>
        <v>0</v>
      </c>
      <c r="F50" s="1815">
        <f t="shared" si="4"/>
        <v>0</v>
      </c>
      <c r="G50" s="1816">
        <f t="shared" si="3"/>
        <v>0</v>
      </c>
    </row>
    <row r="51" spans="1:7" hidden="1" x14ac:dyDescent="0.25">
      <c r="A51" s="1675"/>
      <c r="B51" s="1689"/>
      <c r="C51" s="1676"/>
      <c r="D51" s="1867"/>
      <c r="E51" s="1562">
        <f t="shared" si="2"/>
        <v>0</v>
      </c>
      <c r="F51" s="1815">
        <f t="shared" si="4"/>
        <v>0</v>
      </c>
      <c r="G51" s="1816">
        <f t="shared" si="3"/>
        <v>0</v>
      </c>
    </row>
    <row r="52" spans="1:7" hidden="1" x14ac:dyDescent="0.25">
      <c r="A52" s="1675"/>
      <c r="B52" s="1689"/>
      <c r="C52" s="1676"/>
      <c r="D52" s="1867"/>
      <c r="E52" s="1562">
        <f t="shared" si="2"/>
        <v>0</v>
      </c>
      <c r="F52" s="1815">
        <f t="shared" si="4"/>
        <v>0</v>
      </c>
      <c r="G52" s="1816">
        <f t="shared" si="3"/>
        <v>0</v>
      </c>
    </row>
    <row r="53" spans="1:7" hidden="1" x14ac:dyDescent="0.25">
      <c r="A53" s="1675"/>
      <c r="B53" s="1689"/>
      <c r="C53" s="1676"/>
      <c r="D53" s="1867"/>
      <c r="E53" s="1562">
        <f t="shared" si="2"/>
        <v>0</v>
      </c>
      <c r="F53" s="1815">
        <f t="shared" si="4"/>
        <v>0</v>
      </c>
      <c r="G53" s="1816">
        <f t="shared" si="3"/>
        <v>0</v>
      </c>
    </row>
    <row r="54" spans="1:7" hidden="1" x14ac:dyDescent="0.25">
      <c r="A54" s="1675"/>
      <c r="B54" s="1689"/>
      <c r="C54" s="1676"/>
      <c r="D54" s="1867"/>
      <c r="E54" s="1562">
        <f t="shared" si="2"/>
        <v>0</v>
      </c>
      <c r="F54" s="1815">
        <f t="shared" si="4"/>
        <v>0</v>
      </c>
      <c r="G54" s="1816">
        <f t="shared" si="3"/>
        <v>0</v>
      </c>
    </row>
    <row r="55" spans="1:7" hidden="1" x14ac:dyDescent="0.25">
      <c r="A55" s="1675"/>
      <c r="B55" s="1689"/>
      <c r="C55" s="1676"/>
      <c r="D55" s="1867"/>
      <c r="E55" s="1562">
        <f t="shared" si="2"/>
        <v>0</v>
      </c>
      <c r="F55" s="1815">
        <f t="shared" si="4"/>
        <v>0</v>
      </c>
      <c r="G55" s="1816">
        <f t="shared" si="3"/>
        <v>0</v>
      </c>
    </row>
    <row r="56" spans="1:7" hidden="1" x14ac:dyDescent="0.25">
      <c r="A56" s="1675"/>
      <c r="B56" s="1689"/>
      <c r="C56" s="1676"/>
      <c r="D56" s="1867"/>
      <c r="E56" s="1562">
        <f t="shared" si="2"/>
        <v>0</v>
      </c>
      <c r="F56" s="1815">
        <f t="shared" si="4"/>
        <v>0</v>
      </c>
      <c r="G56" s="1816">
        <f t="shared" si="3"/>
        <v>0</v>
      </c>
    </row>
    <row r="57" spans="1:7" hidden="1" x14ac:dyDescent="0.25">
      <c r="A57" s="1675"/>
      <c r="B57" s="1689"/>
      <c r="C57" s="1676"/>
      <c r="D57" s="1867"/>
      <c r="E57" s="1562">
        <f t="shared" si="2"/>
        <v>0</v>
      </c>
      <c r="F57" s="1815">
        <f t="shared" si="4"/>
        <v>0</v>
      </c>
      <c r="G57" s="1816">
        <f t="shared" si="3"/>
        <v>0</v>
      </c>
    </row>
    <row r="58" spans="1:7" hidden="1" x14ac:dyDescent="0.25">
      <c r="A58" s="1675"/>
      <c r="B58" s="1689"/>
      <c r="C58" s="1676"/>
      <c r="D58" s="1867"/>
      <c r="E58" s="1562">
        <f t="shared" si="2"/>
        <v>0</v>
      </c>
      <c r="F58" s="1815">
        <f t="shared" si="4"/>
        <v>0</v>
      </c>
      <c r="G58" s="1816">
        <f t="shared" si="3"/>
        <v>0</v>
      </c>
    </row>
    <row r="59" spans="1:7" hidden="1" x14ac:dyDescent="0.25">
      <c r="A59" s="1675"/>
      <c r="B59" s="1689"/>
      <c r="C59" s="1676"/>
      <c r="D59" s="1867"/>
      <c r="E59" s="1562">
        <f t="shared" si="2"/>
        <v>0</v>
      </c>
      <c r="F59" s="1815">
        <f t="shared" si="4"/>
        <v>0</v>
      </c>
      <c r="G59" s="1816">
        <f t="shared" si="3"/>
        <v>0</v>
      </c>
    </row>
    <row r="60" spans="1:7" hidden="1" x14ac:dyDescent="0.25">
      <c r="A60" s="1675"/>
      <c r="B60" s="1689"/>
      <c r="C60" s="1676"/>
      <c r="D60" s="1867"/>
      <c r="E60" s="1562">
        <f t="shared" si="2"/>
        <v>0</v>
      </c>
      <c r="F60" s="1815">
        <f t="shared" si="4"/>
        <v>0</v>
      </c>
      <c r="G60" s="1816">
        <f t="shared" si="3"/>
        <v>0</v>
      </c>
    </row>
    <row r="61" spans="1:7" hidden="1" x14ac:dyDescent="0.25">
      <c r="A61" s="1675"/>
      <c r="B61" s="1689"/>
      <c r="C61" s="1676"/>
      <c r="D61" s="1867"/>
      <c r="E61" s="1562">
        <f t="shared" si="2"/>
        <v>0</v>
      </c>
      <c r="F61" s="1815">
        <f t="shared" si="4"/>
        <v>0</v>
      </c>
      <c r="G61" s="1816">
        <f t="shared" si="3"/>
        <v>0</v>
      </c>
    </row>
    <row r="62" spans="1:7" hidden="1" x14ac:dyDescent="0.25">
      <c r="A62" s="1675"/>
      <c r="B62" s="1689"/>
      <c r="C62" s="1676"/>
      <c r="D62" s="1867"/>
      <c r="E62" s="1562">
        <f t="shared" si="2"/>
        <v>0</v>
      </c>
      <c r="F62" s="1815">
        <f t="shared" si="4"/>
        <v>0</v>
      </c>
      <c r="G62" s="1816">
        <f t="shared" si="3"/>
        <v>0</v>
      </c>
    </row>
    <row r="63" spans="1:7" hidden="1" x14ac:dyDescent="0.25">
      <c r="A63" s="1675"/>
      <c r="B63" s="1689"/>
      <c r="C63" s="1676"/>
      <c r="D63" s="1867"/>
      <c r="E63" s="1562">
        <f t="shared" si="2"/>
        <v>0</v>
      </c>
      <c r="F63" s="1815">
        <f t="shared" si="4"/>
        <v>0</v>
      </c>
      <c r="G63" s="1816">
        <f t="shared" si="3"/>
        <v>0</v>
      </c>
    </row>
    <row r="64" spans="1:7" hidden="1" x14ac:dyDescent="0.25">
      <c r="A64" s="1677"/>
      <c r="B64" s="1689"/>
      <c r="C64" s="1678"/>
      <c r="D64" s="1867"/>
      <c r="E64" s="1562">
        <f t="shared" si="2"/>
        <v>0</v>
      </c>
      <c r="F64" s="1815">
        <f t="shared" si="4"/>
        <v>0</v>
      </c>
      <c r="G64" s="1816">
        <f t="shared" si="3"/>
        <v>0</v>
      </c>
    </row>
    <row r="65" spans="1:7" hidden="1" x14ac:dyDescent="0.25">
      <c r="A65" s="1675"/>
      <c r="B65" s="1689"/>
      <c r="C65" s="1676"/>
      <c r="D65" s="1867"/>
      <c r="E65" s="1562">
        <f t="shared" si="2"/>
        <v>0</v>
      </c>
      <c r="F65" s="1815">
        <f t="shared" si="4"/>
        <v>0</v>
      </c>
      <c r="G65" s="1816">
        <f t="shared" si="3"/>
        <v>0</v>
      </c>
    </row>
    <row r="66" spans="1:7" hidden="1" x14ac:dyDescent="0.25">
      <c r="A66" s="1675"/>
      <c r="B66" s="1689"/>
      <c r="C66" s="1676"/>
      <c r="D66" s="1867"/>
      <c r="E66" s="1562">
        <f t="shared" si="2"/>
        <v>0</v>
      </c>
      <c r="F66" s="1815">
        <f t="shared" si="4"/>
        <v>0</v>
      </c>
      <c r="G66" s="1816">
        <f t="shared" si="3"/>
        <v>0</v>
      </c>
    </row>
    <row r="67" spans="1:7" hidden="1" x14ac:dyDescent="0.25">
      <c r="A67" s="1675"/>
      <c r="B67" s="1689"/>
      <c r="C67" s="1676"/>
      <c r="D67" s="1867"/>
      <c r="E67" s="1562">
        <f t="shared" si="2"/>
        <v>0</v>
      </c>
      <c r="F67" s="1815">
        <f t="shared" si="4"/>
        <v>0</v>
      </c>
      <c r="G67" s="1816">
        <f t="shared" si="3"/>
        <v>0</v>
      </c>
    </row>
    <row r="68" spans="1:7" hidden="1" x14ac:dyDescent="0.25">
      <c r="A68" s="1675"/>
      <c r="B68" s="1689"/>
      <c r="C68" s="1676"/>
      <c r="D68" s="1867"/>
      <c r="E68" s="1562">
        <f t="shared" si="2"/>
        <v>0</v>
      </c>
      <c r="F68" s="1815">
        <f t="shared" si="4"/>
        <v>0</v>
      </c>
      <c r="G68" s="1816">
        <f t="shared" si="3"/>
        <v>0</v>
      </c>
    </row>
    <row r="69" spans="1:7" hidden="1" x14ac:dyDescent="0.25">
      <c r="A69" s="1675"/>
      <c r="B69" s="1689"/>
      <c r="C69" s="1676"/>
      <c r="D69" s="1867"/>
      <c r="E69" s="1562">
        <f t="shared" si="2"/>
        <v>0</v>
      </c>
      <c r="F69" s="1815">
        <f t="shared" si="4"/>
        <v>0</v>
      </c>
      <c r="G69" s="1816">
        <f t="shared" si="3"/>
        <v>0</v>
      </c>
    </row>
    <row r="70" spans="1:7" hidden="1" x14ac:dyDescent="0.25">
      <c r="A70" s="1675"/>
      <c r="B70" s="1689"/>
      <c r="C70" s="1676"/>
      <c r="D70" s="1867"/>
      <c r="E70" s="1562">
        <f t="shared" si="2"/>
        <v>0</v>
      </c>
      <c r="F70" s="1815">
        <f t="shared" si="4"/>
        <v>0</v>
      </c>
      <c r="G70" s="1816">
        <f t="shared" si="3"/>
        <v>0</v>
      </c>
    </row>
    <row r="71" spans="1:7" hidden="1" x14ac:dyDescent="0.25">
      <c r="A71" s="1675"/>
      <c r="B71" s="1689"/>
      <c r="C71" s="1676"/>
      <c r="D71" s="1867"/>
      <c r="E71" s="1562">
        <f t="shared" si="2"/>
        <v>0</v>
      </c>
      <c r="F71" s="1815">
        <f t="shared" si="4"/>
        <v>0</v>
      </c>
      <c r="G71" s="1816">
        <f t="shared" si="3"/>
        <v>0</v>
      </c>
    </row>
    <row r="72" spans="1:7" hidden="1" x14ac:dyDescent="0.25">
      <c r="A72" s="1675"/>
      <c r="B72" s="1689"/>
      <c r="C72" s="1676"/>
      <c r="D72" s="1867"/>
      <c r="E72" s="1562">
        <f t="shared" si="2"/>
        <v>0</v>
      </c>
      <c r="F72" s="1815">
        <f t="shared" si="4"/>
        <v>0</v>
      </c>
      <c r="G72" s="1816">
        <f t="shared" si="3"/>
        <v>0</v>
      </c>
    </row>
    <row r="73" spans="1:7" hidden="1"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hidden="1" x14ac:dyDescent="0.25">
      <c r="A74" s="1675"/>
      <c r="B74" s="1689"/>
      <c r="C74" s="1676"/>
      <c r="D74" s="1867"/>
      <c r="E74" s="1562">
        <f t="shared" si="5"/>
        <v>0</v>
      </c>
      <c r="F74" s="1815">
        <f t="shared" si="6"/>
        <v>0</v>
      </c>
      <c r="G74" s="1816">
        <f t="shared" si="7"/>
        <v>0</v>
      </c>
    </row>
    <row r="75" spans="1:7" hidden="1" x14ac:dyDescent="0.25">
      <c r="A75" s="1675"/>
      <c r="B75" s="1689"/>
      <c r="C75" s="1676"/>
      <c r="D75" s="1867"/>
      <c r="E75" s="1562">
        <f t="shared" si="5"/>
        <v>0</v>
      </c>
      <c r="F75" s="1815">
        <f t="shared" si="6"/>
        <v>0</v>
      </c>
      <c r="G75" s="1816">
        <f t="shared" si="7"/>
        <v>0</v>
      </c>
    </row>
    <row r="76" spans="1:7" hidden="1" x14ac:dyDescent="0.25">
      <c r="A76" s="1675"/>
      <c r="B76" s="1689"/>
      <c r="C76" s="1676"/>
      <c r="D76" s="1867"/>
      <c r="E76" s="1562">
        <f t="shared" si="5"/>
        <v>0</v>
      </c>
      <c r="F76" s="1815">
        <f t="shared" si="6"/>
        <v>0</v>
      </c>
      <c r="G76" s="1816">
        <f t="shared" si="7"/>
        <v>0</v>
      </c>
    </row>
    <row r="77" spans="1:7" hidden="1" x14ac:dyDescent="0.25">
      <c r="A77" s="1675"/>
      <c r="B77" s="1689"/>
      <c r="C77" s="1676"/>
      <c r="D77" s="1867"/>
      <c r="E77" s="1562">
        <f t="shared" si="5"/>
        <v>0</v>
      </c>
      <c r="F77" s="1815">
        <f t="shared" si="6"/>
        <v>0</v>
      </c>
      <c r="G77" s="1816">
        <f t="shared" si="7"/>
        <v>0</v>
      </c>
    </row>
    <row r="78" spans="1:7" hidden="1" x14ac:dyDescent="0.25">
      <c r="A78" s="1675"/>
      <c r="B78" s="1689"/>
      <c r="C78" s="1676"/>
      <c r="D78" s="1867"/>
      <c r="E78" s="1562">
        <f t="shared" si="5"/>
        <v>0</v>
      </c>
      <c r="F78" s="1815">
        <f t="shared" si="6"/>
        <v>0</v>
      </c>
      <c r="G78" s="1816">
        <f t="shared" si="7"/>
        <v>0</v>
      </c>
    </row>
    <row r="79" spans="1:7" hidden="1" x14ac:dyDescent="0.25">
      <c r="A79" s="1675"/>
      <c r="B79" s="1689"/>
      <c r="C79" s="1676"/>
      <c r="D79" s="1867"/>
      <c r="E79" s="1562">
        <f t="shared" si="5"/>
        <v>0</v>
      </c>
      <c r="F79" s="1815">
        <f t="shared" si="6"/>
        <v>0</v>
      </c>
      <c r="G79" s="1816">
        <f t="shared" si="7"/>
        <v>0</v>
      </c>
    </row>
    <row r="80" spans="1:7" hidden="1" x14ac:dyDescent="0.25">
      <c r="A80" s="1675"/>
      <c r="B80" s="1689"/>
      <c r="C80" s="1676"/>
      <c r="D80" s="1867"/>
      <c r="E80" s="1562">
        <f t="shared" si="5"/>
        <v>0</v>
      </c>
      <c r="F80" s="1815">
        <f t="shared" si="6"/>
        <v>0</v>
      </c>
      <c r="G80" s="1816">
        <f t="shared" si="7"/>
        <v>0</v>
      </c>
    </row>
    <row r="81" spans="1:7" hidden="1" x14ac:dyDescent="0.25">
      <c r="A81" s="1675"/>
      <c r="B81" s="1689"/>
      <c r="C81" s="1676"/>
      <c r="D81" s="1867"/>
      <c r="E81" s="1562">
        <f t="shared" si="5"/>
        <v>0</v>
      </c>
      <c r="F81" s="1815">
        <f t="shared" si="6"/>
        <v>0</v>
      </c>
      <c r="G81" s="1816">
        <f t="shared" si="7"/>
        <v>0</v>
      </c>
    </row>
    <row r="82" spans="1:7" hidden="1" x14ac:dyDescent="0.25">
      <c r="A82" s="1675"/>
      <c r="B82" s="1689"/>
      <c r="C82" s="1676"/>
      <c r="D82" s="1867"/>
      <c r="E82" s="1562">
        <f t="shared" si="5"/>
        <v>0</v>
      </c>
      <c r="F82" s="1815">
        <f t="shared" si="6"/>
        <v>0</v>
      </c>
      <c r="G82" s="1816">
        <f t="shared" si="7"/>
        <v>0</v>
      </c>
    </row>
    <row r="83" spans="1:7" hidden="1" x14ac:dyDescent="0.25">
      <c r="A83" s="1675"/>
      <c r="B83" s="1689"/>
      <c r="C83" s="1676"/>
      <c r="D83" s="1867"/>
      <c r="E83" s="1562">
        <f t="shared" si="5"/>
        <v>0</v>
      </c>
      <c r="F83" s="1815">
        <f t="shared" si="6"/>
        <v>0</v>
      </c>
      <c r="G83" s="1816">
        <f t="shared" si="7"/>
        <v>0</v>
      </c>
    </row>
    <row r="84" spans="1:7" hidden="1" x14ac:dyDescent="0.25">
      <c r="A84" s="1675"/>
      <c r="B84" s="1689"/>
      <c r="C84" s="1676"/>
      <c r="D84" s="1867"/>
      <c r="E84" s="1562">
        <f t="shared" si="5"/>
        <v>0</v>
      </c>
      <c r="F84" s="1815">
        <f t="shared" si="6"/>
        <v>0</v>
      </c>
      <c r="G84" s="1816">
        <f t="shared" si="7"/>
        <v>0</v>
      </c>
    </row>
    <row r="85" spans="1:7" hidden="1" x14ac:dyDescent="0.25">
      <c r="A85" s="1675"/>
      <c r="B85" s="1689"/>
      <c r="C85" s="1676"/>
      <c r="D85" s="1867"/>
      <c r="E85" s="1562">
        <f t="shared" si="2"/>
        <v>0</v>
      </c>
      <c r="F85" s="1815">
        <f t="shared" si="4"/>
        <v>0</v>
      </c>
      <c r="G85" s="1816">
        <f t="shared" si="3"/>
        <v>0</v>
      </c>
    </row>
    <row r="86" spans="1:7" hidden="1" x14ac:dyDescent="0.25">
      <c r="A86" s="1675"/>
      <c r="B86" s="1689"/>
      <c r="C86" s="1676"/>
      <c r="D86" s="1867"/>
      <c r="E86" s="1562">
        <f t="shared" si="2"/>
        <v>0</v>
      </c>
      <c r="F86" s="1815">
        <f t="shared" si="4"/>
        <v>0</v>
      </c>
      <c r="G86" s="1816">
        <f t="shared" si="3"/>
        <v>0</v>
      </c>
    </row>
    <row r="87" spans="1:7" hidden="1" x14ac:dyDescent="0.25">
      <c r="A87" s="1675"/>
      <c r="B87" s="1689"/>
      <c r="C87" s="1676"/>
      <c r="D87" s="1867"/>
      <c r="E87" s="1562">
        <f t="shared" si="2"/>
        <v>0</v>
      </c>
      <c r="F87" s="1815">
        <f t="shared" si="4"/>
        <v>0</v>
      </c>
      <c r="G87" s="1816">
        <f t="shared" si="3"/>
        <v>0</v>
      </c>
    </row>
    <row r="88" spans="1:7" hidden="1" x14ac:dyDescent="0.25">
      <c r="A88" s="1675"/>
      <c r="B88" s="1689"/>
      <c r="C88" s="1676"/>
      <c r="D88" s="1867"/>
      <c r="E88" s="1562">
        <f t="shared" si="2"/>
        <v>0</v>
      </c>
      <c r="F88" s="1815">
        <f t="shared" si="4"/>
        <v>0</v>
      </c>
      <c r="G88" s="1816">
        <f t="shared" si="3"/>
        <v>0</v>
      </c>
    </row>
    <row r="89" spans="1:7" hidden="1" x14ac:dyDescent="0.25">
      <c r="A89" s="1675"/>
      <c r="B89" s="1689"/>
      <c r="C89" s="1676"/>
      <c r="D89" s="1867"/>
      <c r="E89" s="1562">
        <f t="shared" si="2"/>
        <v>0</v>
      </c>
      <c r="F89" s="1815">
        <f t="shared" si="4"/>
        <v>0</v>
      </c>
      <c r="G89" s="1816">
        <f t="shared" si="3"/>
        <v>0</v>
      </c>
    </row>
    <row r="90" spans="1:7" hidden="1" x14ac:dyDescent="0.25">
      <c r="A90" s="1675"/>
      <c r="B90" s="1689"/>
      <c r="C90" s="1676"/>
      <c r="D90" s="1867"/>
      <c r="E90" s="1562">
        <f t="shared" si="2"/>
        <v>0</v>
      </c>
      <c r="F90" s="1815">
        <f t="shared" si="4"/>
        <v>0</v>
      </c>
      <c r="G90" s="1816">
        <f t="shared" si="3"/>
        <v>0</v>
      </c>
    </row>
    <row r="91" spans="1:7" hidden="1" x14ac:dyDescent="0.25">
      <c r="A91" s="1675"/>
      <c r="B91" s="1689"/>
      <c r="C91" s="1676"/>
      <c r="D91" s="1867"/>
      <c r="E91" s="1562">
        <f t="shared" si="2"/>
        <v>0</v>
      </c>
      <c r="F91" s="1815">
        <f t="shared" si="4"/>
        <v>0</v>
      </c>
      <c r="G91" s="1816">
        <f t="shared" si="3"/>
        <v>0</v>
      </c>
    </row>
    <row r="92" spans="1:7" hidden="1" x14ac:dyDescent="0.25">
      <c r="A92" s="1675"/>
      <c r="B92" s="1689"/>
      <c r="C92" s="1676"/>
      <c r="D92" s="1867"/>
      <c r="E92" s="1562">
        <f t="shared" si="2"/>
        <v>0</v>
      </c>
      <c r="F92" s="1815">
        <f t="shared" si="4"/>
        <v>0</v>
      </c>
      <c r="G92" s="1816">
        <f t="shared" si="3"/>
        <v>0</v>
      </c>
    </row>
    <row r="93" spans="1:7" hidden="1"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hidden="1" x14ac:dyDescent="0.25">
      <c r="A94" s="1675"/>
      <c r="B94" s="1689"/>
      <c r="C94" s="1676"/>
      <c r="D94" s="1867"/>
      <c r="E94" s="1562">
        <f t="shared" si="2"/>
        <v>0</v>
      </c>
      <c r="F94" s="1815">
        <f t="shared" si="4"/>
        <v>0</v>
      </c>
      <c r="G94" s="1816">
        <f t="shared" si="3"/>
        <v>0</v>
      </c>
    </row>
    <row r="95" spans="1:7" hidden="1"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hidden="1" x14ac:dyDescent="0.25">
      <c r="A96" s="1675"/>
      <c r="B96" s="1689"/>
      <c r="C96" s="1676"/>
      <c r="D96" s="1867"/>
      <c r="E96" s="1562">
        <f t="shared" si="11"/>
        <v>0</v>
      </c>
      <c r="F96" s="1815">
        <f t="shared" si="12"/>
        <v>0</v>
      </c>
      <c r="G96" s="1816">
        <f t="shared" si="13"/>
        <v>0</v>
      </c>
    </row>
    <row r="97" spans="1:7" hidden="1" x14ac:dyDescent="0.25">
      <c r="A97" s="1675"/>
      <c r="B97" s="1689"/>
      <c r="C97" s="1676"/>
      <c r="D97" s="1867"/>
      <c r="E97" s="1562">
        <f t="shared" si="11"/>
        <v>0</v>
      </c>
      <c r="F97" s="1815">
        <f t="shared" si="12"/>
        <v>0</v>
      </c>
      <c r="G97" s="1816">
        <f t="shared" si="13"/>
        <v>0</v>
      </c>
    </row>
    <row r="98" spans="1:7" hidden="1" x14ac:dyDescent="0.25">
      <c r="A98" s="1675"/>
      <c r="B98" s="1689"/>
      <c r="C98" s="1676"/>
      <c r="D98" s="1867"/>
      <c r="E98" s="1562">
        <f t="shared" si="11"/>
        <v>0</v>
      </c>
      <c r="F98" s="1815">
        <f t="shared" si="12"/>
        <v>0</v>
      </c>
      <c r="G98" s="1816">
        <f t="shared" si="13"/>
        <v>0</v>
      </c>
    </row>
    <row r="99" spans="1:7" hidden="1"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hidden="1"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hidden="1" x14ac:dyDescent="0.25">
      <c r="A101" s="1675"/>
      <c r="B101" s="1689"/>
      <c r="C101" s="1676"/>
      <c r="D101" s="1867"/>
      <c r="E101" s="1562">
        <f t="shared" si="17"/>
        <v>0</v>
      </c>
      <c r="F101" s="1815">
        <f t="shared" si="18"/>
        <v>0</v>
      </c>
      <c r="G101" s="1816">
        <f t="shared" si="19"/>
        <v>0</v>
      </c>
    </row>
    <row r="102" spans="1:7" hidden="1" x14ac:dyDescent="0.25">
      <c r="A102" s="1675"/>
      <c r="B102" s="1689"/>
      <c r="C102" s="1676"/>
      <c r="D102" s="1867"/>
      <c r="E102" s="1562">
        <f t="shared" si="17"/>
        <v>0</v>
      </c>
      <c r="F102" s="1815">
        <f t="shared" si="18"/>
        <v>0</v>
      </c>
      <c r="G102" s="1816">
        <f t="shared" si="19"/>
        <v>0</v>
      </c>
    </row>
    <row r="103" spans="1:7" hidden="1" x14ac:dyDescent="0.25">
      <c r="A103" s="1675"/>
      <c r="B103" s="1689"/>
      <c r="C103" s="1676"/>
      <c r="D103" s="1867"/>
      <c r="E103" s="1562">
        <f t="shared" si="17"/>
        <v>0</v>
      </c>
      <c r="F103" s="1815">
        <f t="shared" si="18"/>
        <v>0</v>
      </c>
      <c r="G103" s="1816">
        <f t="shared" si="19"/>
        <v>0</v>
      </c>
    </row>
    <row r="104" spans="1:7" hidden="1" x14ac:dyDescent="0.25">
      <c r="A104" s="1675"/>
      <c r="B104" s="1689"/>
      <c r="C104" s="1676"/>
      <c r="D104" s="1867"/>
      <c r="E104" s="1562">
        <f t="shared" si="17"/>
        <v>0</v>
      </c>
      <c r="F104" s="1815">
        <f t="shared" si="18"/>
        <v>0</v>
      </c>
      <c r="G104" s="1816">
        <f t="shared" si="19"/>
        <v>0</v>
      </c>
    </row>
    <row r="105" spans="1:7" hidden="1" x14ac:dyDescent="0.25">
      <c r="A105" s="1675"/>
      <c r="B105" s="1689"/>
      <c r="C105" s="1676"/>
      <c r="D105" s="1867"/>
      <c r="E105" s="1562">
        <f t="shared" si="17"/>
        <v>0</v>
      </c>
      <c r="F105" s="1815">
        <f t="shared" si="18"/>
        <v>0</v>
      </c>
      <c r="G105" s="1816">
        <f t="shared" si="19"/>
        <v>0</v>
      </c>
    </row>
    <row r="106" spans="1:7" hidden="1" x14ac:dyDescent="0.25">
      <c r="A106" s="1675"/>
      <c r="B106" s="1689"/>
      <c r="C106" s="1676"/>
      <c r="D106" s="1867"/>
      <c r="E106" s="1562">
        <f t="shared" si="17"/>
        <v>0</v>
      </c>
      <c r="F106" s="1815">
        <f t="shared" si="18"/>
        <v>0</v>
      </c>
      <c r="G106" s="1816">
        <f t="shared" si="19"/>
        <v>0</v>
      </c>
    </row>
    <row r="107" spans="1:7" hidden="1" x14ac:dyDescent="0.25">
      <c r="A107" s="1675"/>
      <c r="B107" s="1689"/>
      <c r="C107" s="1676"/>
      <c r="D107" s="1867"/>
      <c r="E107" s="1562">
        <f t="shared" si="17"/>
        <v>0</v>
      </c>
      <c r="F107" s="1815">
        <f t="shared" si="18"/>
        <v>0</v>
      </c>
      <c r="G107" s="1816">
        <f t="shared" si="19"/>
        <v>0</v>
      </c>
    </row>
    <row r="108" spans="1:7" hidden="1" x14ac:dyDescent="0.25">
      <c r="A108" s="1675"/>
      <c r="B108" s="1689"/>
      <c r="C108" s="1676"/>
      <c r="D108" s="1867"/>
      <c r="E108" s="1562">
        <f t="shared" si="17"/>
        <v>0</v>
      </c>
      <c r="F108" s="1815">
        <f t="shared" si="18"/>
        <v>0</v>
      </c>
      <c r="G108" s="1816">
        <f t="shared" si="19"/>
        <v>0</v>
      </c>
    </row>
    <row r="109" spans="1:7" hidden="1" x14ac:dyDescent="0.25">
      <c r="A109" s="1675"/>
      <c r="B109" s="1689"/>
      <c r="C109" s="1676"/>
      <c r="D109" s="1867"/>
      <c r="E109" s="1562">
        <f t="shared" si="17"/>
        <v>0</v>
      </c>
      <c r="F109" s="1815">
        <f t="shared" si="18"/>
        <v>0</v>
      </c>
      <c r="G109" s="1816">
        <f t="shared" si="19"/>
        <v>0</v>
      </c>
    </row>
    <row r="110" spans="1:7" hidden="1" x14ac:dyDescent="0.25">
      <c r="A110" s="1675"/>
      <c r="B110" s="1689"/>
      <c r="C110" s="1676"/>
      <c r="D110" s="1867"/>
      <c r="E110" s="1562">
        <f t="shared" si="17"/>
        <v>0</v>
      </c>
      <c r="F110" s="1815">
        <f t="shared" si="18"/>
        <v>0</v>
      </c>
      <c r="G110" s="1816">
        <f t="shared" si="19"/>
        <v>0</v>
      </c>
    </row>
    <row r="111" spans="1:7" hidden="1" x14ac:dyDescent="0.25">
      <c r="A111" s="1675"/>
      <c r="B111" s="1689"/>
      <c r="C111" s="1676"/>
      <c r="D111" s="1867"/>
      <c r="E111" s="1562">
        <f t="shared" si="17"/>
        <v>0</v>
      </c>
      <c r="F111" s="1815">
        <f t="shared" si="18"/>
        <v>0</v>
      </c>
      <c r="G111" s="1816">
        <f t="shared" si="19"/>
        <v>0</v>
      </c>
    </row>
    <row r="112" spans="1:7" hidden="1" x14ac:dyDescent="0.25">
      <c r="A112" s="1675"/>
      <c r="B112" s="1689"/>
      <c r="C112" s="1676"/>
      <c r="D112" s="1867"/>
      <c r="E112" s="1562">
        <f t="shared" si="17"/>
        <v>0</v>
      </c>
      <c r="F112" s="1815">
        <f t="shared" si="18"/>
        <v>0</v>
      </c>
      <c r="G112" s="1816">
        <f t="shared" si="19"/>
        <v>0</v>
      </c>
    </row>
    <row r="113" spans="1:7" hidden="1"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hidden="1" x14ac:dyDescent="0.25">
      <c r="A114" s="1675"/>
      <c r="B114" s="1689"/>
      <c r="C114" s="1676"/>
      <c r="D114" s="1867"/>
      <c r="E114" s="1562">
        <f t="shared" si="20"/>
        <v>0</v>
      </c>
      <c r="F114" s="1815">
        <f t="shared" si="21"/>
        <v>0</v>
      </c>
      <c r="G114" s="1816">
        <f t="shared" si="22"/>
        <v>0</v>
      </c>
    </row>
    <row r="115" spans="1:7" hidden="1" x14ac:dyDescent="0.25">
      <c r="A115" s="1675"/>
      <c r="B115" s="1689"/>
      <c r="C115" s="1676"/>
      <c r="D115" s="1867"/>
      <c r="E115" s="1562">
        <f t="shared" si="20"/>
        <v>0</v>
      </c>
      <c r="F115" s="1815">
        <f t="shared" si="21"/>
        <v>0</v>
      </c>
      <c r="G115" s="1816">
        <f t="shared" si="22"/>
        <v>0</v>
      </c>
    </row>
    <row r="116" spans="1:7" hidden="1" x14ac:dyDescent="0.25">
      <c r="A116" s="1675"/>
      <c r="B116" s="1689"/>
      <c r="C116" s="1676"/>
      <c r="D116" s="1867"/>
      <c r="E116" s="1562">
        <f t="shared" si="20"/>
        <v>0</v>
      </c>
      <c r="F116" s="1815">
        <f t="shared" si="21"/>
        <v>0</v>
      </c>
      <c r="G116" s="1816">
        <f t="shared" si="22"/>
        <v>0</v>
      </c>
    </row>
    <row r="117" spans="1:7" hidden="1" x14ac:dyDescent="0.25">
      <c r="A117" s="1675"/>
      <c r="B117" s="1689"/>
      <c r="C117" s="1676"/>
      <c r="D117" s="1867"/>
      <c r="E117" s="1562">
        <f t="shared" si="20"/>
        <v>0</v>
      </c>
      <c r="F117" s="1815">
        <f t="shared" si="21"/>
        <v>0</v>
      </c>
      <c r="G117" s="1816">
        <f t="shared" si="22"/>
        <v>0</v>
      </c>
    </row>
    <row r="118" spans="1:7" hidden="1" x14ac:dyDescent="0.25">
      <c r="A118" s="1675"/>
      <c r="B118" s="1689"/>
      <c r="C118" s="1676"/>
      <c r="D118" s="1867"/>
      <c r="E118" s="1562">
        <f t="shared" si="20"/>
        <v>0</v>
      </c>
      <c r="F118" s="1815">
        <f t="shared" si="21"/>
        <v>0</v>
      </c>
      <c r="G118" s="1816">
        <f t="shared" si="22"/>
        <v>0</v>
      </c>
    </row>
    <row r="119" spans="1:7" hidden="1" x14ac:dyDescent="0.25">
      <c r="A119" s="1675"/>
      <c r="B119" s="1689"/>
      <c r="C119" s="1676"/>
      <c r="D119" s="1867"/>
      <c r="E119" s="1562">
        <f t="shared" si="20"/>
        <v>0</v>
      </c>
      <c r="F119" s="1815">
        <f t="shared" si="21"/>
        <v>0</v>
      </c>
      <c r="G119" s="1816">
        <f t="shared" si="22"/>
        <v>0</v>
      </c>
    </row>
    <row r="120" spans="1:7" hidden="1" x14ac:dyDescent="0.25">
      <c r="A120" s="1675"/>
      <c r="B120" s="1689"/>
      <c r="C120" s="1676"/>
      <c r="D120" s="1867"/>
      <c r="E120" s="1562">
        <f t="shared" si="20"/>
        <v>0</v>
      </c>
      <c r="F120" s="1815">
        <f t="shared" si="21"/>
        <v>0</v>
      </c>
      <c r="G120" s="1816">
        <f t="shared" si="22"/>
        <v>0</v>
      </c>
    </row>
    <row r="121" spans="1:7" hidden="1" x14ac:dyDescent="0.25">
      <c r="A121" s="1675"/>
      <c r="B121" s="1689"/>
      <c r="C121" s="1676"/>
      <c r="D121" s="1867"/>
      <c r="E121" s="1562">
        <f t="shared" si="20"/>
        <v>0</v>
      </c>
      <c r="F121" s="1815">
        <f t="shared" si="21"/>
        <v>0</v>
      </c>
      <c r="G121" s="1816">
        <f t="shared" si="22"/>
        <v>0</v>
      </c>
    </row>
    <row r="122" spans="1:7" hidden="1" x14ac:dyDescent="0.25">
      <c r="A122" s="1675"/>
      <c r="B122" s="1689"/>
      <c r="C122" s="1676"/>
      <c r="D122" s="1867"/>
      <c r="E122" s="1562">
        <f t="shared" si="20"/>
        <v>0</v>
      </c>
      <c r="F122" s="1815">
        <f t="shared" si="21"/>
        <v>0</v>
      </c>
      <c r="G122" s="1816">
        <f t="shared" si="22"/>
        <v>0</v>
      </c>
    </row>
    <row r="123" spans="1:7" hidden="1" x14ac:dyDescent="0.25">
      <c r="A123" s="1675"/>
      <c r="B123" s="1689"/>
      <c r="C123" s="1676"/>
      <c r="D123" s="1867"/>
      <c r="E123" s="1562">
        <f t="shared" si="20"/>
        <v>0</v>
      </c>
      <c r="F123" s="1815">
        <f t="shared" si="21"/>
        <v>0</v>
      </c>
      <c r="G123" s="1816">
        <f t="shared" si="22"/>
        <v>0</v>
      </c>
    </row>
    <row r="124" spans="1:7" hidden="1" x14ac:dyDescent="0.25">
      <c r="A124" s="1675"/>
      <c r="B124" s="1689"/>
      <c r="C124" s="1676"/>
      <c r="D124" s="1867"/>
      <c r="E124" s="1562">
        <f t="shared" si="20"/>
        <v>0</v>
      </c>
      <c r="F124" s="1815">
        <f t="shared" si="21"/>
        <v>0</v>
      </c>
      <c r="G124" s="1816">
        <f t="shared" si="22"/>
        <v>0</v>
      </c>
    </row>
    <row r="125" spans="1:7" hidden="1" x14ac:dyDescent="0.25">
      <c r="A125" s="1675"/>
      <c r="B125" s="1689"/>
      <c r="C125" s="1676"/>
      <c r="D125" s="1867"/>
      <c r="E125" s="1562">
        <f t="shared" si="20"/>
        <v>0</v>
      </c>
      <c r="F125" s="1815">
        <f t="shared" si="21"/>
        <v>0</v>
      </c>
      <c r="G125" s="1816">
        <f t="shared" si="22"/>
        <v>0</v>
      </c>
    </row>
    <row r="126" spans="1:7" hidden="1"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hidden="1" x14ac:dyDescent="0.25">
      <c r="A127" s="1675"/>
      <c r="B127" s="1689"/>
      <c r="C127" s="1676"/>
      <c r="D127" s="1867"/>
      <c r="E127" s="1562">
        <f t="shared" si="23"/>
        <v>0</v>
      </c>
      <c r="F127" s="1815">
        <f t="shared" si="24"/>
        <v>0</v>
      </c>
      <c r="G127" s="1816">
        <f t="shared" si="25"/>
        <v>0</v>
      </c>
    </row>
    <row r="128" spans="1:7" hidden="1" x14ac:dyDescent="0.25">
      <c r="A128" s="1675"/>
      <c r="B128" s="1689"/>
      <c r="C128" s="1676"/>
      <c r="D128" s="1867"/>
      <c r="E128" s="1562">
        <f t="shared" si="23"/>
        <v>0</v>
      </c>
      <c r="F128" s="1815">
        <f t="shared" si="24"/>
        <v>0</v>
      </c>
      <c r="G128" s="1816">
        <f t="shared" si="25"/>
        <v>0</v>
      </c>
    </row>
    <row r="129" spans="1:7" hidden="1" x14ac:dyDescent="0.25">
      <c r="A129" s="1675"/>
      <c r="B129" s="1689"/>
      <c r="C129" s="1676"/>
      <c r="D129" s="1867"/>
      <c r="E129" s="1562">
        <f t="shared" si="23"/>
        <v>0</v>
      </c>
      <c r="F129" s="1815">
        <f t="shared" si="24"/>
        <v>0</v>
      </c>
      <c r="G129" s="1816">
        <f t="shared" si="25"/>
        <v>0</v>
      </c>
    </row>
    <row r="130" spans="1:7" hidden="1" x14ac:dyDescent="0.25">
      <c r="A130" s="1675"/>
      <c r="B130" s="1689"/>
      <c r="C130" s="1676"/>
      <c r="D130" s="1867"/>
      <c r="E130" s="1562">
        <f t="shared" si="23"/>
        <v>0</v>
      </c>
      <c r="F130" s="1815">
        <f t="shared" si="24"/>
        <v>0</v>
      </c>
      <c r="G130" s="1816">
        <f t="shared" si="25"/>
        <v>0</v>
      </c>
    </row>
    <row r="131" spans="1:7" hidden="1" x14ac:dyDescent="0.25">
      <c r="A131" s="1675"/>
      <c r="B131" s="1860"/>
      <c r="C131" s="1676"/>
      <c r="D131" s="1867"/>
      <c r="E131" s="1562">
        <f t="shared" si="23"/>
        <v>0</v>
      </c>
      <c r="F131" s="1815">
        <f t="shared" si="24"/>
        <v>0</v>
      </c>
      <c r="G131" s="1816">
        <f t="shared" si="25"/>
        <v>0</v>
      </c>
    </row>
    <row r="132" spans="1:7" hidden="1" x14ac:dyDescent="0.25">
      <c r="A132" s="1675"/>
      <c r="B132" s="1860"/>
      <c r="C132" s="1676"/>
      <c r="D132" s="1867"/>
      <c r="E132" s="1562">
        <f t="shared" si="23"/>
        <v>0</v>
      </c>
      <c r="F132" s="1815">
        <f t="shared" si="24"/>
        <v>0</v>
      </c>
      <c r="G132" s="1816">
        <f t="shared" si="25"/>
        <v>0</v>
      </c>
    </row>
    <row r="133" spans="1:7" hidden="1" x14ac:dyDescent="0.25">
      <c r="A133" s="1675"/>
      <c r="B133" s="1689"/>
      <c r="C133" s="1676"/>
      <c r="D133" s="1867"/>
      <c r="E133" s="1562">
        <f t="shared" si="23"/>
        <v>0</v>
      </c>
      <c r="F133" s="1815">
        <f t="shared" si="24"/>
        <v>0</v>
      </c>
      <c r="G133" s="1816">
        <f t="shared" si="25"/>
        <v>0</v>
      </c>
    </row>
    <row r="134" spans="1:7" hidden="1" x14ac:dyDescent="0.25">
      <c r="A134" s="1675"/>
      <c r="B134" s="1689"/>
      <c r="C134" s="1676"/>
      <c r="D134" s="1867"/>
      <c r="E134" s="1562">
        <f t="shared" si="23"/>
        <v>0</v>
      </c>
      <c r="F134" s="1815">
        <f t="shared" si="24"/>
        <v>0</v>
      </c>
      <c r="G134" s="1816">
        <f t="shared" si="25"/>
        <v>0</v>
      </c>
    </row>
    <row r="135" spans="1:7" hidden="1"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hidden="1" x14ac:dyDescent="0.25">
      <c r="A136" s="1675"/>
      <c r="B136" s="1689"/>
      <c r="C136" s="1676"/>
      <c r="D136" s="1867"/>
      <c r="E136" s="1562">
        <f t="shared" si="26"/>
        <v>0</v>
      </c>
      <c r="F136" s="1815">
        <f t="shared" si="27"/>
        <v>0</v>
      </c>
      <c r="G136" s="1816">
        <f t="shared" si="28"/>
        <v>0</v>
      </c>
    </row>
    <row r="137" spans="1:7" hidden="1" x14ac:dyDescent="0.25">
      <c r="A137" s="1675"/>
      <c r="B137" s="1689"/>
      <c r="C137" s="1676"/>
      <c r="D137" s="1867"/>
      <c r="E137" s="1562">
        <f t="shared" si="26"/>
        <v>0</v>
      </c>
      <c r="F137" s="1815">
        <f t="shared" si="27"/>
        <v>0</v>
      </c>
      <c r="G137" s="1816">
        <f t="shared" si="28"/>
        <v>0</v>
      </c>
    </row>
    <row r="138" spans="1:7" hidden="1" x14ac:dyDescent="0.25">
      <c r="A138" s="1675"/>
      <c r="B138" s="1689"/>
      <c r="C138" s="1676"/>
      <c r="D138" s="1867"/>
      <c r="E138" s="1562">
        <f t="shared" si="26"/>
        <v>0</v>
      </c>
      <c r="F138" s="1815">
        <f t="shared" si="27"/>
        <v>0</v>
      </c>
      <c r="G138" s="1816">
        <f t="shared" si="28"/>
        <v>0</v>
      </c>
    </row>
    <row r="139" spans="1:7" hidden="1" x14ac:dyDescent="0.25">
      <c r="A139" s="1675"/>
      <c r="B139" s="1689"/>
      <c r="C139" s="1676"/>
      <c r="D139" s="1867"/>
      <c r="E139" s="1562">
        <f t="shared" si="26"/>
        <v>0</v>
      </c>
      <c r="F139" s="1815">
        <f t="shared" si="27"/>
        <v>0</v>
      </c>
      <c r="G139" s="1816">
        <f t="shared" si="28"/>
        <v>0</v>
      </c>
    </row>
    <row r="140" spans="1:7" hidden="1" x14ac:dyDescent="0.25">
      <c r="A140" s="1675"/>
      <c r="B140" s="1688"/>
      <c r="C140" s="1676"/>
      <c r="D140" s="1867"/>
      <c r="E140" s="1562">
        <f t="shared" si="2"/>
        <v>0</v>
      </c>
      <c r="F140" s="1815">
        <f t="shared" si="4"/>
        <v>0</v>
      </c>
      <c r="G140" s="1816">
        <f t="shared" si="3"/>
        <v>0</v>
      </c>
    </row>
    <row r="141" spans="1:7" x14ac:dyDescent="0.25">
      <c r="A141" s="1819" t="s">
        <v>158</v>
      </c>
      <c r="B141" s="1820"/>
      <c r="C141" s="1821"/>
      <c r="D141" s="1817">
        <f>SUM(D17:D140)</f>
        <v>14498</v>
      </c>
      <c r="E141" s="1563">
        <f t="shared" si="1"/>
        <v>14498</v>
      </c>
      <c r="F141" s="1817">
        <f>SUM(F17:F140)</f>
        <v>14498</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view="pageBreakPreview" colorId="8" zoomScale="60" zoomScaleNormal="110" workbookViewId="0">
      <selection activeCell="A7" sqref="A7:XFD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6" t="s">
        <v>1778</v>
      </c>
      <c r="B5" s="2307"/>
      <c r="C5" s="2307"/>
      <c r="D5" s="2307"/>
      <c r="E5" s="2307"/>
      <c r="F5" s="2307"/>
      <c r="G5" s="2308"/>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60364</v>
      </c>
      <c r="F10" s="975"/>
      <c r="G10" s="976"/>
      <c r="H10" s="162"/>
      <c r="I10" s="162"/>
    </row>
    <row r="11" spans="1:9" s="669" customFormat="1" ht="22.5" customHeight="1" x14ac:dyDescent="0.2">
      <c r="A11" s="2311" t="s">
        <v>1945</v>
      </c>
      <c r="B11" s="2312"/>
      <c r="C11" s="2312"/>
      <c r="D11" s="2313"/>
      <c r="E11" s="978">
        <v>12029</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1201189</v>
      </c>
      <c r="F19" s="1822"/>
      <c r="G19" s="1824">
        <f>'Expenditures 15-22'!K33-SUM('Expenditures 15-22'!G33,'Expenditures 15-22'!I33)+'Expenditures 15-22'!D229</f>
        <v>1201189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109338</v>
      </c>
      <c r="F21" s="1825"/>
      <c r="G21" s="1828">
        <f>'Expenditures 15-22'!K42-SUM('Expenditures 15-22'!G42,'Expenditures 15-22'!I42)+'Expenditures 15-22'!K120-SUM('Expenditures 15-22'!G120,'Expenditures 15-22'!I120)+'Expenditures 15-22'!K180-SUM('Expenditures 15-22'!G180,'Expenditures 15-22'!I180)+'Expenditures 15-22'!D238</f>
        <v>109338</v>
      </c>
      <c r="H21" s="988"/>
      <c r="I21" s="162"/>
    </row>
    <row r="22" spans="1:9" s="669" customFormat="1" ht="12" customHeight="1" x14ac:dyDescent="0.2">
      <c r="A22" s="995" t="s">
        <v>585</v>
      </c>
      <c r="B22" s="996"/>
      <c r="C22" s="994">
        <v>2200</v>
      </c>
      <c r="D22" s="1825"/>
      <c r="E22" s="1827">
        <f>'Expenditures 15-22'!K47-SUM('Expenditures 15-22'!G47,'Expenditures 15-22'!I47)+'Expenditures 15-22'!D243</f>
        <v>36114</v>
      </c>
      <c r="F22" s="1825"/>
      <c r="G22" s="1828">
        <f>'Expenditures 15-22'!K47-SUM('Expenditures 15-22'!G47,'Expenditures 15-22'!I47)+'Expenditures 15-22'!D243</f>
        <v>36114</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134251</v>
      </c>
      <c r="F23" s="1825"/>
      <c r="G23" s="1827">
        <f>'Expenditures 15-22'!K53-SUM('Expenditures 15-22'!G53,'Expenditures 15-22'!I53)+'Expenditures 15-22'!D257+'Expenditures 15-22'!K330-SUM('Expenditures 15-22'!G330,'Expenditures 15-22'!I330)</f>
        <v>134251</v>
      </c>
      <c r="H23" s="988"/>
      <c r="I23" s="162"/>
    </row>
    <row r="24" spans="1:9" s="669" customFormat="1" ht="12" customHeight="1" x14ac:dyDescent="0.2">
      <c r="A24" s="995" t="s">
        <v>587</v>
      </c>
      <c r="B24" s="996"/>
      <c r="C24" s="994">
        <v>2400</v>
      </c>
      <c r="D24" s="1825"/>
      <c r="E24" s="1827">
        <f>'Expenditures 15-22'!K57-SUM('Expenditures 15-22'!G57,'Expenditures 15-22'!I57)+'Expenditures 15-22'!D261</f>
        <v>145446</v>
      </c>
      <c r="F24" s="1825"/>
      <c r="G24" s="1828">
        <f>'Expenditures 15-22'!K57-SUM('Expenditures 15-22'!G57,'Expenditures 15-22'!I57)+'Expenditures 15-22'!D261</f>
        <v>145446</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64157</v>
      </c>
      <c r="E27" s="1827">
        <f>E8</f>
        <v>0</v>
      </c>
      <c r="F27" s="1827">
        <f>'Expenditures 15-22'!K60-SUM('Expenditures 15-22'!G60,'Expenditures 15-22'!I60)+'Expenditures 15-22'!D264-E8</f>
        <v>64157</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193019</v>
      </c>
      <c r="F28" s="1829">
        <f>'Expenditures 15-22'!K61-SUM('Expenditures 15-22'!G61,'Expenditures 15-22'!I61)+'Expenditures 15-22'!K124-SUM('Expenditures 15-22'!G124,'Expenditures 15-22'!I124)+'Expenditures 15-22'!D266-E9</f>
        <v>193019</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67468</v>
      </c>
      <c r="F29" s="1825"/>
      <c r="G29" s="1828">
        <f>'Expenditures 15-22'!K62-SUM('Expenditures 15-22'!G62,'Expenditures 15-22'!I62)+'Expenditures 15-22'!K125-SUM('Expenditures 15-22'!G125,'Expenditures 15-22'!I125)+'Expenditures 15-22'!K182-SUM('Expenditures 15-22'!G182,'Expenditures 15-22'!I182)+'Expenditures 15-22'!D267</f>
        <v>67468</v>
      </c>
      <c r="H29" s="986"/>
    </row>
    <row r="30" spans="1:9" ht="12" customHeight="1" x14ac:dyDescent="0.2">
      <c r="A30" s="995" t="s">
        <v>102</v>
      </c>
      <c r="B30" s="998"/>
      <c r="C30" s="994">
        <v>2560</v>
      </c>
      <c r="D30" s="1825"/>
      <c r="E30" s="1827">
        <f>'Expenditures 15-22'!K63-SUM('Expenditures 15-22'!G63,'Expenditures 15-22'!I63)+'Expenditures 15-22'!D268-E10</f>
        <v>60001</v>
      </c>
      <c r="F30" s="1825"/>
      <c r="G30" s="1827">
        <f>'Expenditures 15-22'!K63-SUM('Expenditures 15-22'!G63,'Expenditures 15-22'!I63)+'Expenditures 15-22'!D268-E10</f>
        <v>60001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1250</v>
      </c>
      <c r="F38" s="1825"/>
      <c r="G38" s="1827">
        <f>'Expenditures 15-22'!K73-SUM('Expenditures 15-22'!G73,'Expenditures 15-22'!I73)+'Expenditures 15-22'!K128-SUM('Expenditures 15-22'!G128,'Expenditures 15-22'!I128)+'Expenditures 15-22'!K183-SUM('Expenditures 15-22'!G183,'Expenditures 15-22'!I183)+'Expenditures 15-22'!D278</f>
        <v>1250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598</v>
      </c>
      <c r="F39" s="1825"/>
      <c r="G39" s="1827">
        <f>'Expenditures 15-22'!K75-SUM('Expenditures 15-22'!G75,'Expenditures 15-22'!I75)+'Expenditures 15-22'!K130-SUM('Expenditures 15-22'!G130,'Expenditures 15-22'!I130)+'Expenditures 15-22'!K185-SUM('Expenditures 15-22'!G185,'Expenditures 15-22'!I185)+'Expenditures 15-22'!D280</f>
        <v>598</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64157</v>
      </c>
      <c r="E41" s="1829">
        <f>SUM(E19:E40)</f>
        <v>1948674</v>
      </c>
      <c r="F41" s="1829">
        <f>SUM(F19:F39)</f>
        <v>257176</v>
      </c>
      <c r="G41" s="1829">
        <f>SUM(G19:G40)</f>
        <v>1755655</v>
      </c>
    </row>
    <row r="42" spans="1:7" x14ac:dyDescent="0.2">
      <c r="A42" s="988"/>
      <c r="B42" s="162"/>
      <c r="C42" s="1002"/>
      <c r="D42" s="2309" t="s">
        <v>543</v>
      </c>
      <c r="E42" s="2310"/>
      <c r="F42" s="1003" t="s">
        <v>544</v>
      </c>
      <c r="G42" s="1004"/>
    </row>
    <row r="43" spans="1:7" ht="12" customHeight="1" x14ac:dyDescent="0.2">
      <c r="A43" s="988"/>
      <c r="B43" s="162"/>
      <c r="C43" s="1002"/>
      <c r="D43" s="1830" t="s">
        <v>493</v>
      </c>
      <c r="E43" s="1831">
        <f>D41</f>
        <v>64157</v>
      </c>
      <c r="F43" s="1830" t="s">
        <v>495</v>
      </c>
      <c r="G43" s="1831">
        <f>F41</f>
        <v>257176</v>
      </c>
    </row>
    <row r="44" spans="1:7" ht="12" customHeight="1" x14ac:dyDescent="0.2">
      <c r="A44" s="988"/>
      <c r="B44" s="162"/>
      <c r="C44" s="1002"/>
      <c r="D44" s="1830" t="s">
        <v>494</v>
      </c>
      <c r="E44" s="1831">
        <f>E41</f>
        <v>1948674</v>
      </c>
      <c r="F44" s="1830" t="s">
        <v>494</v>
      </c>
      <c r="G44" s="1831">
        <f>G41</f>
        <v>1755655</v>
      </c>
    </row>
    <row r="45" spans="1:7" ht="12" customHeight="1" x14ac:dyDescent="0.2">
      <c r="A45" s="988"/>
      <c r="B45" s="162"/>
      <c r="C45" s="162"/>
      <c r="D45" s="1832" t="s">
        <v>1063</v>
      </c>
      <c r="E45" s="1833">
        <f>(E43/E44)</f>
        <v>3.2923413562247969E-2</v>
      </c>
      <c r="F45" s="1832" t="s">
        <v>1063</v>
      </c>
      <c r="G45" s="1833">
        <f>(G43/G44)</f>
        <v>0.14648436053780498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view="pageBreakPreview" topLeftCell="A22" zoomScale="120" zoomScaleNormal="110" zoomScaleSheetLayoutView="120" workbookViewId="0">
      <selection activeCell="F22" sqref="F22"/>
    </sheetView>
  </sheetViews>
  <sheetFormatPr defaultColWidth="9.140625" defaultRowHeight="12.75" x14ac:dyDescent="0.2"/>
  <cols>
    <col min="1" max="1" width="54.5703125" style="1895" customWidth="1"/>
    <col min="2" max="2" width="4.140625" style="1895" customWidth="1"/>
    <col min="3" max="4" width="9.85546875" style="1872" customWidth="1"/>
    <col min="5" max="5" width="12.5703125" style="1896" customWidth="1"/>
    <col min="6" max="6" width="67.5703125" style="1872" customWidth="1"/>
    <col min="7" max="7" width="9.140625" style="1953" customWidth="1"/>
    <col min="8" max="8" width="5.7109375" style="1954" bestFit="1" customWidth="1"/>
    <col min="9" max="10" width="3" style="1954" bestFit="1" customWidth="1"/>
    <col min="11" max="11" width="9" style="1954" customWidth="1"/>
    <col min="12" max="16384" width="9.140625" style="1872"/>
  </cols>
  <sheetData>
    <row r="1" spans="1:10" x14ac:dyDescent="0.2">
      <c r="A1" s="2328" t="s">
        <v>1446</v>
      </c>
      <c r="B1" s="2328"/>
      <c r="C1" s="2328"/>
      <c r="D1" s="2328"/>
      <c r="E1" s="2328"/>
      <c r="F1" s="2328"/>
    </row>
    <row r="2" spans="1:10" x14ac:dyDescent="0.2">
      <c r="A2" s="1904" t="s">
        <v>2048</v>
      </c>
      <c r="B2" s="1873"/>
      <c r="C2" s="1904"/>
      <c r="D2" s="1873"/>
      <c r="E2" s="1873"/>
      <c r="F2" s="1874"/>
    </row>
    <row r="3" spans="1:10" x14ac:dyDescent="0.2">
      <c r="A3" s="1904" t="s">
        <v>1700</v>
      </c>
      <c r="B3" s="1873"/>
      <c r="C3" s="1904"/>
      <c r="D3" s="1873"/>
      <c r="E3" s="1873"/>
      <c r="F3" s="1874"/>
    </row>
    <row r="4" spans="1:10" ht="3.75" customHeight="1" x14ac:dyDescent="0.2">
      <c r="A4" s="1873"/>
      <c r="B4" s="1873"/>
      <c r="C4" s="1873"/>
      <c r="D4" s="1873"/>
      <c r="E4" s="1873"/>
      <c r="F4" s="1874"/>
    </row>
    <row r="5" spans="1:10" ht="15" x14ac:dyDescent="0.25">
      <c r="A5" s="2329" t="s">
        <v>1627</v>
      </c>
      <c r="B5" s="2330"/>
      <c r="C5" s="2331"/>
      <c r="D5" s="2331"/>
      <c r="E5" s="2331"/>
      <c r="F5" s="2331"/>
    </row>
    <row r="6" spans="1:10" ht="12" customHeight="1" x14ac:dyDescent="0.25">
      <c r="A6" s="1875"/>
      <c r="B6" s="1876"/>
      <c r="C6" s="2332" t="str">
        <f>COVER!A17</f>
        <v>South Pekin SD 137</v>
      </c>
      <c r="D6" s="2332"/>
      <c r="E6" s="2332"/>
      <c r="F6" s="1877"/>
    </row>
    <row r="7" spans="1:10" ht="11.25" customHeight="1" thickBot="1" x14ac:dyDescent="0.3">
      <c r="A7" s="1875"/>
      <c r="B7" s="1876"/>
      <c r="C7" s="2333">
        <f>COVER!A13</f>
        <v>53090137002</v>
      </c>
      <c r="D7" s="2333"/>
      <c r="E7" s="2333"/>
      <c r="F7" s="1877"/>
    </row>
    <row r="8" spans="1:10" ht="25.5" customHeight="1" thickBot="1" x14ac:dyDescent="0.25">
      <c r="A8" s="1909" t="s">
        <v>2025</v>
      </c>
      <c r="B8" s="1878"/>
      <c r="C8" s="1906" t="s">
        <v>1780</v>
      </c>
      <c r="D8" s="1905" t="s">
        <v>1781</v>
      </c>
      <c r="E8" s="1907" t="s">
        <v>1447</v>
      </c>
      <c r="F8" s="1949" t="s">
        <v>1782</v>
      </c>
      <c r="H8" s="1955" t="b">
        <v>0</v>
      </c>
    </row>
    <row r="9" spans="1:10" ht="15.75" customHeight="1" x14ac:dyDescent="0.2">
      <c r="A9" s="1879" t="s">
        <v>1623</v>
      </c>
      <c r="B9" s="1880"/>
      <c r="C9" s="1881"/>
      <c r="D9" s="1881"/>
      <c r="E9" s="1882"/>
      <c r="F9" s="1950"/>
    </row>
    <row r="10" spans="1:10" ht="27.75" customHeight="1" x14ac:dyDescent="0.2">
      <c r="A10" s="1883" t="s">
        <v>1779</v>
      </c>
      <c r="B10" s="1884"/>
      <c r="C10" s="1885"/>
      <c r="D10" s="1885"/>
      <c r="E10" s="1908" t="s">
        <v>1448</v>
      </c>
      <c r="F10" s="1951" t="s">
        <v>1449</v>
      </c>
    </row>
    <row r="11" spans="1:10" ht="12" customHeight="1" x14ac:dyDescent="0.2">
      <c r="A11" s="1886" t="s">
        <v>1450</v>
      </c>
      <c r="B11" s="1887"/>
      <c r="C11" s="1947" t="s">
        <v>2077</v>
      </c>
      <c r="D11" s="1947" t="s">
        <v>2077</v>
      </c>
      <c r="E11" s="1947"/>
      <c r="F11" s="1952" t="s">
        <v>2112</v>
      </c>
      <c r="H11" s="1954">
        <f>IF(C11="X",5,0)</f>
        <v>5</v>
      </c>
      <c r="I11" s="1954">
        <f>IF(D11="X",5,0)</f>
        <v>5</v>
      </c>
      <c r="J11" s="1954">
        <f>IF(E11="X",5,0)</f>
        <v>0</v>
      </c>
    </row>
    <row r="12" spans="1:10" ht="12" customHeight="1" x14ac:dyDescent="0.2">
      <c r="A12" s="1886" t="s">
        <v>1451</v>
      </c>
      <c r="B12" s="1887"/>
      <c r="C12" s="1947"/>
      <c r="D12" s="1947"/>
      <c r="E12" s="1947"/>
      <c r="F12" s="1952"/>
      <c r="H12" s="1954">
        <f t="shared" ref="H12:H33" si="0">IF(C12="X",5,0)</f>
        <v>0</v>
      </c>
      <c r="I12" s="1954">
        <f t="shared" ref="I12:I33" si="1">IF(D12="X",5,0)</f>
        <v>0</v>
      </c>
      <c r="J12" s="1954">
        <f t="shared" ref="J12:J33" si="2">IF(E12="X",5,0)</f>
        <v>0</v>
      </c>
    </row>
    <row r="13" spans="1:10" ht="12" customHeight="1" x14ac:dyDescent="0.2">
      <c r="A13" s="1886" t="s">
        <v>1452</v>
      </c>
      <c r="B13" s="1887"/>
      <c r="C13" s="1947"/>
      <c r="D13" s="1947"/>
      <c r="E13" s="1947"/>
      <c r="F13" s="1952"/>
      <c r="H13" s="1954">
        <f t="shared" si="0"/>
        <v>0</v>
      </c>
      <c r="I13" s="1954">
        <f t="shared" si="1"/>
        <v>0</v>
      </c>
      <c r="J13" s="1954">
        <f t="shared" si="2"/>
        <v>0</v>
      </c>
    </row>
    <row r="14" spans="1:10" ht="12" customHeight="1" x14ac:dyDescent="0.2">
      <c r="A14" s="1886" t="s">
        <v>1453</v>
      </c>
      <c r="B14" s="1887"/>
      <c r="C14" s="1947"/>
      <c r="D14" s="1947"/>
      <c r="E14" s="1947"/>
      <c r="F14" s="1952"/>
      <c r="H14" s="1954">
        <f t="shared" si="0"/>
        <v>0</v>
      </c>
      <c r="I14" s="1954">
        <f t="shared" si="1"/>
        <v>0</v>
      </c>
      <c r="J14" s="1954">
        <f t="shared" si="2"/>
        <v>0</v>
      </c>
    </row>
    <row r="15" spans="1:10" ht="12" customHeight="1" x14ac:dyDescent="0.2">
      <c r="A15" s="1886" t="s">
        <v>1454</v>
      </c>
      <c r="B15" s="1887"/>
      <c r="C15" s="1947" t="s">
        <v>2077</v>
      </c>
      <c r="D15" s="1947" t="s">
        <v>2077</v>
      </c>
      <c r="E15" s="1947"/>
      <c r="F15" s="1952" t="s">
        <v>2124</v>
      </c>
      <c r="H15" s="1954">
        <f t="shared" si="0"/>
        <v>5</v>
      </c>
      <c r="I15" s="1954">
        <f t="shared" si="1"/>
        <v>5</v>
      </c>
      <c r="J15" s="1954">
        <f t="shared" si="2"/>
        <v>0</v>
      </c>
    </row>
    <row r="16" spans="1:10" ht="12" customHeight="1" x14ac:dyDescent="0.2">
      <c r="A16" s="1886" t="s">
        <v>1455</v>
      </c>
      <c r="B16" s="1887"/>
      <c r="C16" s="1947" t="s">
        <v>2077</v>
      </c>
      <c r="D16" s="1947" t="s">
        <v>2077</v>
      </c>
      <c r="E16" s="1947"/>
      <c r="F16" s="1952" t="s">
        <v>2083</v>
      </c>
      <c r="H16" s="1954">
        <f t="shared" si="0"/>
        <v>5</v>
      </c>
      <c r="I16" s="1954">
        <f t="shared" si="1"/>
        <v>5</v>
      </c>
      <c r="J16" s="1954">
        <f t="shared" si="2"/>
        <v>0</v>
      </c>
    </row>
    <row r="17" spans="1:12" ht="12" customHeight="1" x14ac:dyDescent="0.2">
      <c r="A17" s="1886" t="s">
        <v>1456</v>
      </c>
      <c r="B17" s="1887"/>
      <c r="C17" s="1947"/>
      <c r="D17" s="1947"/>
      <c r="E17" s="1947"/>
      <c r="F17" s="1952"/>
      <c r="H17" s="1954">
        <f t="shared" si="0"/>
        <v>0</v>
      </c>
      <c r="I17" s="1954">
        <f t="shared" si="1"/>
        <v>0</v>
      </c>
      <c r="J17" s="1954">
        <f t="shared" si="2"/>
        <v>0</v>
      </c>
    </row>
    <row r="18" spans="1:12" ht="12" customHeight="1" x14ac:dyDescent="0.2">
      <c r="A18" s="1886" t="s">
        <v>1457</v>
      </c>
      <c r="B18" s="1887"/>
      <c r="C18" s="1947"/>
      <c r="D18" s="1947"/>
      <c r="E18" s="1947"/>
      <c r="F18" s="1952"/>
      <c r="H18" s="1954">
        <f t="shared" si="0"/>
        <v>0</v>
      </c>
      <c r="I18" s="1954">
        <f t="shared" si="1"/>
        <v>0</v>
      </c>
      <c r="J18" s="1954">
        <f t="shared" si="2"/>
        <v>0</v>
      </c>
    </row>
    <row r="19" spans="1:12" ht="12" customHeight="1" x14ac:dyDescent="0.2">
      <c r="A19" s="1886" t="s">
        <v>1608</v>
      </c>
      <c r="B19" s="1887"/>
      <c r="C19" s="1947"/>
      <c r="D19" s="1947"/>
      <c r="E19" s="1947"/>
      <c r="F19" s="1952"/>
      <c r="H19" s="1954">
        <f t="shared" si="0"/>
        <v>0</v>
      </c>
      <c r="I19" s="1954">
        <f t="shared" si="1"/>
        <v>0</v>
      </c>
      <c r="J19" s="1954">
        <f t="shared" si="2"/>
        <v>0</v>
      </c>
    </row>
    <row r="20" spans="1:12" ht="12" customHeight="1" x14ac:dyDescent="0.2">
      <c r="A20" s="1886" t="s">
        <v>1609</v>
      </c>
      <c r="B20" s="1887"/>
      <c r="C20" s="1947"/>
      <c r="D20" s="1947"/>
      <c r="E20" s="1947"/>
      <c r="F20" s="1952"/>
      <c r="H20" s="1954">
        <f t="shared" si="0"/>
        <v>0</v>
      </c>
      <c r="I20" s="1954">
        <f t="shared" si="1"/>
        <v>0</v>
      </c>
      <c r="J20" s="1954">
        <f t="shared" si="2"/>
        <v>0</v>
      </c>
    </row>
    <row r="21" spans="1:12" ht="12" customHeight="1" x14ac:dyDescent="0.2">
      <c r="A21" s="1886" t="s">
        <v>1610</v>
      </c>
      <c r="B21" s="1887"/>
      <c r="C21" s="1947"/>
      <c r="D21" s="1947"/>
      <c r="E21" s="1947"/>
      <c r="F21" s="1952"/>
      <c r="H21" s="1954">
        <f t="shared" si="0"/>
        <v>0</v>
      </c>
      <c r="I21" s="1954">
        <f t="shared" si="1"/>
        <v>0</v>
      </c>
      <c r="J21" s="1954">
        <f t="shared" si="2"/>
        <v>0</v>
      </c>
    </row>
    <row r="22" spans="1:12" ht="12" customHeight="1" x14ac:dyDescent="0.2">
      <c r="A22" s="1886" t="s">
        <v>1611</v>
      </c>
      <c r="B22" s="1887"/>
      <c r="C22" s="1947"/>
      <c r="D22" s="1947"/>
      <c r="E22" s="1947"/>
      <c r="F22" s="1952"/>
      <c r="H22" s="1954">
        <f t="shared" si="0"/>
        <v>0</v>
      </c>
      <c r="I22" s="1954">
        <f t="shared" si="1"/>
        <v>0</v>
      </c>
      <c r="J22" s="1954">
        <f t="shared" si="2"/>
        <v>0</v>
      </c>
    </row>
    <row r="23" spans="1:12" ht="12" customHeight="1" x14ac:dyDescent="0.2">
      <c r="A23" s="1886" t="s">
        <v>1612</v>
      </c>
      <c r="B23" s="1887"/>
      <c r="C23" s="1947"/>
      <c r="D23" s="1947"/>
      <c r="E23" s="1947"/>
      <c r="F23" s="1952"/>
      <c r="H23" s="1954">
        <f t="shared" si="0"/>
        <v>0</v>
      </c>
      <c r="I23" s="1954">
        <f t="shared" si="1"/>
        <v>0</v>
      </c>
      <c r="J23" s="1954">
        <f t="shared" si="2"/>
        <v>0</v>
      </c>
    </row>
    <row r="24" spans="1:12" ht="12" customHeight="1" x14ac:dyDescent="0.2">
      <c r="A24" s="1886" t="s">
        <v>1613</v>
      </c>
      <c r="B24" s="1887"/>
      <c r="C24" s="1947" t="s">
        <v>2077</v>
      </c>
      <c r="D24" s="1947" t="s">
        <v>2077</v>
      </c>
      <c r="E24" s="1947"/>
      <c r="F24" s="1952" t="s">
        <v>2084</v>
      </c>
      <c r="H24" s="1954">
        <f t="shared" si="0"/>
        <v>5</v>
      </c>
      <c r="I24" s="1954">
        <f t="shared" si="1"/>
        <v>5</v>
      </c>
      <c r="J24" s="1954">
        <f t="shared" si="2"/>
        <v>0</v>
      </c>
    </row>
    <row r="25" spans="1:12" ht="12" customHeight="1" x14ac:dyDescent="0.2">
      <c r="A25" s="1886" t="s">
        <v>1614</v>
      </c>
      <c r="B25" s="1887"/>
      <c r="C25" s="1947" t="s">
        <v>2077</v>
      </c>
      <c r="D25" s="1947" t="s">
        <v>2077</v>
      </c>
      <c r="E25" s="1947"/>
      <c r="F25" s="1952" t="s">
        <v>2085</v>
      </c>
      <c r="H25" s="1954">
        <f t="shared" si="0"/>
        <v>5</v>
      </c>
      <c r="I25" s="1954">
        <f t="shared" si="1"/>
        <v>5</v>
      </c>
      <c r="J25" s="1954">
        <f t="shared" si="2"/>
        <v>0</v>
      </c>
    </row>
    <row r="26" spans="1:12" ht="12" customHeight="1" x14ac:dyDescent="0.2">
      <c r="A26" s="1886" t="s">
        <v>1615</v>
      </c>
      <c r="B26" s="1887"/>
      <c r="C26" s="1947" t="s">
        <v>2077</v>
      </c>
      <c r="D26" s="1947" t="s">
        <v>2077</v>
      </c>
      <c r="E26" s="1947"/>
      <c r="F26" s="1952" t="s">
        <v>2085</v>
      </c>
      <c r="H26" s="1954">
        <f t="shared" si="0"/>
        <v>5</v>
      </c>
      <c r="I26" s="1954">
        <f t="shared" si="1"/>
        <v>5</v>
      </c>
      <c r="J26" s="1954">
        <f t="shared" si="2"/>
        <v>0</v>
      </c>
    </row>
    <row r="27" spans="1:12" x14ac:dyDescent="0.2">
      <c r="A27" s="1886" t="s">
        <v>1616</v>
      </c>
      <c r="B27" s="1887"/>
      <c r="C27" s="1947"/>
      <c r="D27" s="1947"/>
      <c r="E27" s="1947"/>
      <c r="F27" s="1952"/>
      <c r="H27" s="1954">
        <f t="shared" si="0"/>
        <v>0</v>
      </c>
      <c r="I27" s="1954">
        <f t="shared" si="1"/>
        <v>0</v>
      </c>
      <c r="J27" s="1954">
        <f t="shared" si="2"/>
        <v>0</v>
      </c>
    </row>
    <row r="28" spans="1:12" ht="12" customHeight="1" x14ac:dyDescent="0.2">
      <c r="A28" s="1886" t="s">
        <v>1617</v>
      </c>
      <c r="B28" s="1887"/>
      <c r="C28" s="1947" t="s">
        <v>2077</v>
      </c>
      <c r="D28" s="1947" t="s">
        <v>2077</v>
      </c>
      <c r="E28" s="1947"/>
      <c r="F28" s="1952" t="s">
        <v>2125</v>
      </c>
      <c r="H28" s="1954">
        <f t="shared" si="0"/>
        <v>5</v>
      </c>
      <c r="I28" s="1954">
        <f t="shared" si="1"/>
        <v>5</v>
      </c>
      <c r="J28" s="1954">
        <f t="shared" si="2"/>
        <v>0</v>
      </c>
    </row>
    <row r="29" spans="1:12" ht="12" customHeight="1" x14ac:dyDescent="0.2">
      <c r="A29" s="1886" t="s">
        <v>1618</v>
      </c>
      <c r="B29" s="1887"/>
      <c r="C29" s="1947"/>
      <c r="D29" s="1947"/>
      <c r="E29" s="1947"/>
      <c r="F29" s="1952"/>
      <c r="H29" s="1954">
        <f t="shared" si="0"/>
        <v>0</v>
      </c>
      <c r="I29" s="1954">
        <f t="shared" si="1"/>
        <v>0</v>
      </c>
      <c r="J29" s="1954">
        <f t="shared" si="2"/>
        <v>0</v>
      </c>
    </row>
    <row r="30" spans="1:12" ht="12" customHeight="1" x14ac:dyDescent="0.2">
      <c r="A30" s="1886" t="s">
        <v>1619</v>
      </c>
      <c r="B30" s="1887"/>
      <c r="C30" s="1947" t="s">
        <v>2077</v>
      </c>
      <c r="D30" s="1947" t="s">
        <v>2077</v>
      </c>
      <c r="E30" s="1947"/>
      <c r="F30" s="1952" t="s">
        <v>2086</v>
      </c>
      <c r="H30" s="1954">
        <f t="shared" si="0"/>
        <v>5</v>
      </c>
      <c r="I30" s="1954">
        <f t="shared" si="1"/>
        <v>5</v>
      </c>
      <c r="J30" s="1954">
        <f t="shared" si="2"/>
        <v>0</v>
      </c>
    </row>
    <row r="31" spans="1:12" ht="12" customHeight="1" x14ac:dyDescent="0.2">
      <c r="A31" s="1886" t="s">
        <v>1620</v>
      </c>
      <c r="B31" s="1887"/>
      <c r="C31" s="1947"/>
      <c r="D31" s="1947"/>
      <c r="E31" s="1947"/>
      <c r="F31" s="1952"/>
      <c r="H31" s="1954">
        <f t="shared" si="0"/>
        <v>0</v>
      </c>
      <c r="I31" s="1954">
        <f t="shared" si="1"/>
        <v>0</v>
      </c>
      <c r="J31" s="1954">
        <f t="shared" si="2"/>
        <v>0</v>
      </c>
      <c r="L31" s="1888"/>
    </row>
    <row r="32" spans="1:12" ht="12" customHeight="1" x14ac:dyDescent="0.2">
      <c r="A32" s="1886" t="s">
        <v>1621</v>
      </c>
      <c r="B32" s="1887"/>
      <c r="C32" s="1947" t="s">
        <v>2077</v>
      </c>
      <c r="D32" s="1947" t="s">
        <v>2077</v>
      </c>
      <c r="E32" s="1947"/>
      <c r="F32" s="1952" t="s">
        <v>2087</v>
      </c>
      <c r="H32" s="1954">
        <f t="shared" si="0"/>
        <v>5</v>
      </c>
      <c r="I32" s="1954">
        <f t="shared" si="1"/>
        <v>5</v>
      </c>
      <c r="J32" s="1954">
        <f t="shared" si="2"/>
        <v>0</v>
      </c>
    </row>
    <row r="33" spans="1:11" ht="12" customHeight="1" x14ac:dyDescent="0.2">
      <c r="A33" s="1886" t="s">
        <v>1622</v>
      </c>
      <c r="B33" s="1887"/>
      <c r="C33" s="1947"/>
      <c r="D33" s="1947"/>
      <c r="E33" s="1947"/>
      <c r="F33" s="1952"/>
      <c r="H33" s="1954">
        <f t="shared" si="0"/>
        <v>0</v>
      </c>
      <c r="I33" s="1954">
        <f t="shared" si="1"/>
        <v>0</v>
      </c>
      <c r="J33" s="1954">
        <f t="shared" si="2"/>
        <v>0</v>
      </c>
    </row>
    <row r="34" spans="1:11" ht="12" customHeight="1" x14ac:dyDescent="0.25">
      <c r="A34" s="1889"/>
      <c r="B34" s="1889"/>
      <c r="C34" s="1889"/>
      <c r="D34" s="1889"/>
      <c r="E34" s="1889"/>
      <c r="F34" s="1889"/>
      <c r="H34" s="1954">
        <f>SUM(H11:H32)</f>
        <v>45</v>
      </c>
      <c r="I34" s="1954">
        <f>SUM(I11:I32)</f>
        <v>45</v>
      </c>
      <c r="J34" s="1954">
        <f>SUM(J11:J32)</f>
        <v>0</v>
      </c>
      <c r="K34" s="1954">
        <f>SUM(H34:J34)</f>
        <v>90</v>
      </c>
    </row>
    <row r="35" spans="1:11" ht="12" customHeight="1" x14ac:dyDescent="0.2">
      <c r="A35" s="1890" t="s">
        <v>1459</v>
      </c>
      <c r="B35" s="1891"/>
      <c r="C35" s="2334"/>
      <c r="D35" s="2334"/>
      <c r="E35" s="2334"/>
      <c r="F35" s="2335"/>
    </row>
    <row r="36" spans="1:11" ht="12" customHeight="1" x14ac:dyDescent="0.2">
      <c r="A36" s="2317"/>
      <c r="B36" s="2318"/>
      <c r="C36" s="2318"/>
      <c r="D36" s="2318"/>
      <c r="E36" s="2318"/>
      <c r="F36" s="2319"/>
    </row>
    <row r="37" spans="1:11" ht="12" customHeight="1" x14ac:dyDescent="0.2">
      <c r="A37" s="2317"/>
      <c r="B37" s="2318"/>
      <c r="C37" s="2318"/>
      <c r="D37" s="2318"/>
      <c r="E37" s="2318"/>
      <c r="F37" s="2319"/>
    </row>
    <row r="38" spans="1:11" ht="12" customHeight="1" x14ac:dyDescent="0.2">
      <c r="A38" s="2320"/>
      <c r="B38" s="2321"/>
      <c r="C38" s="2321"/>
      <c r="D38" s="2321"/>
      <c r="E38" s="2321"/>
      <c r="F38" s="2322"/>
    </row>
    <row r="39" spans="1:11" ht="4.5" hidden="1" customHeight="1" x14ac:dyDescent="0.2">
      <c r="A39" s="1892"/>
      <c r="B39" s="1892"/>
      <c r="C39" s="1892"/>
      <c r="D39" s="1892"/>
      <c r="E39" s="1892"/>
      <c r="F39" s="1892"/>
    </row>
    <row r="40" spans="1:11" s="1889" customFormat="1" ht="12" customHeight="1" x14ac:dyDescent="0.25">
      <c r="A40" s="1893" t="s">
        <v>1458</v>
      </c>
      <c r="B40" s="1894"/>
      <c r="C40" s="2323"/>
      <c r="D40" s="2323"/>
      <c r="E40" s="2323"/>
      <c r="F40" s="2324"/>
      <c r="G40" s="1956"/>
      <c r="H40" s="1957"/>
      <c r="I40" s="1957"/>
      <c r="J40" s="1957"/>
      <c r="K40" s="1957"/>
    </row>
    <row r="41" spans="1:11" s="1889" customFormat="1" ht="12" customHeight="1" x14ac:dyDescent="0.25">
      <c r="A41" s="2325"/>
      <c r="B41" s="2326"/>
      <c r="C41" s="2326"/>
      <c r="D41" s="2326"/>
      <c r="E41" s="2326"/>
      <c r="F41" s="2327"/>
      <c r="G41" s="1956"/>
      <c r="H41" s="1957"/>
      <c r="I41" s="1957"/>
      <c r="J41" s="1957"/>
      <c r="K41" s="1957"/>
    </row>
    <row r="42" spans="1:11" s="1889" customFormat="1" ht="12" customHeight="1" x14ac:dyDescent="0.25">
      <c r="A42" s="2325"/>
      <c r="B42" s="2326"/>
      <c r="C42" s="2326"/>
      <c r="D42" s="2326"/>
      <c r="E42" s="2326"/>
      <c r="F42" s="2327"/>
      <c r="G42" s="1956"/>
      <c r="H42" s="1957"/>
      <c r="I42" s="1957"/>
      <c r="J42" s="1957"/>
      <c r="K42" s="1957"/>
    </row>
    <row r="43" spans="1:11" s="1889" customFormat="1" ht="15" x14ac:dyDescent="0.25">
      <c r="A43" s="2314"/>
      <c r="B43" s="2315"/>
      <c r="C43" s="2315"/>
      <c r="D43" s="2315"/>
      <c r="E43" s="2315"/>
      <c r="F43" s="2316"/>
      <c r="G43" s="1956"/>
      <c r="H43" s="1957"/>
      <c r="I43" s="1957"/>
      <c r="J43" s="1957"/>
      <c r="K43" s="1957"/>
    </row>
    <row r="44" spans="1:11" s="1889" customFormat="1" ht="12" hidden="1" customHeight="1" x14ac:dyDescent="0.25">
      <c r="A44" s="2314"/>
      <c r="B44" s="2315"/>
      <c r="C44" s="2315"/>
      <c r="D44" s="2315"/>
      <c r="E44" s="2315"/>
      <c r="F44" s="2316"/>
      <c r="G44" s="1956"/>
      <c r="H44" s="1957"/>
      <c r="I44" s="1957"/>
      <c r="J44" s="1957"/>
      <c r="K44" s="1957"/>
    </row>
    <row r="45" spans="1:11" s="1889" customFormat="1" ht="12" customHeight="1" x14ac:dyDescent="0.25">
      <c r="G45" s="1956"/>
      <c r="H45" s="1957"/>
      <c r="I45" s="1957"/>
      <c r="J45" s="1957"/>
      <c r="K45" s="1957"/>
    </row>
    <row r="46" spans="1:11" s="1889" customFormat="1" ht="9.75" customHeight="1" x14ac:dyDescent="0.25">
      <c r="G46" s="1956"/>
      <c r="H46" s="1957"/>
      <c r="I46" s="1957"/>
      <c r="J46" s="1957"/>
      <c r="K46" s="1957"/>
    </row>
    <row r="47" spans="1:11" s="1889" customFormat="1" ht="13.5" customHeight="1" x14ac:dyDescent="0.25">
      <c r="G47" s="1956"/>
      <c r="H47" s="1957"/>
      <c r="I47" s="1957"/>
      <c r="J47" s="1957"/>
      <c r="K47" s="1957"/>
    </row>
    <row r="48" spans="1:11" s="1889" customFormat="1" ht="15" x14ac:dyDescent="0.25">
      <c r="G48" s="1956"/>
      <c r="H48" s="1957"/>
      <c r="I48" s="1957"/>
      <c r="J48" s="1957"/>
      <c r="K48" s="1957"/>
    </row>
    <row r="49" spans="1:11" s="1889" customFormat="1" ht="15" hidden="1" x14ac:dyDescent="0.25">
      <c r="A49" s="1889" t="b">
        <v>0</v>
      </c>
      <c r="G49" s="1956"/>
      <c r="H49" s="1957"/>
      <c r="I49" s="1957"/>
      <c r="J49" s="1957"/>
      <c r="K49" s="1957"/>
    </row>
    <row r="50" spans="1:11" s="1889" customFormat="1" ht="15" x14ac:dyDescent="0.25">
      <c r="G50" s="1956"/>
      <c r="H50" s="1957"/>
      <c r="I50" s="1957"/>
      <c r="J50" s="1957"/>
      <c r="K50" s="1957"/>
    </row>
    <row r="51" spans="1:11" s="1889" customFormat="1" ht="15" x14ac:dyDescent="0.25">
      <c r="G51" s="1956"/>
      <c r="H51" s="1957"/>
      <c r="I51" s="1957"/>
      <c r="J51" s="1957"/>
      <c r="K51" s="1957"/>
    </row>
    <row r="52" spans="1:11" s="1889" customFormat="1" ht="15" x14ac:dyDescent="0.25">
      <c r="G52" s="1956"/>
      <c r="H52" s="1957"/>
      <c r="I52" s="1957"/>
      <c r="J52" s="1957"/>
      <c r="K52" s="1957"/>
    </row>
    <row r="53" spans="1:11" s="1889" customFormat="1" ht="15" x14ac:dyDescent="0.25">
      <c r="G53" s="1956"/>
      <c r="H53" s="1957"/>
      <c r="I53" s="1957"/>
      <c r="J53" s="1957"/>
      <c r="K53" s="1957"/>
    </row>
    <row r="54" spans="1:11" s="1889" customFormat="1" ht="15" x14ac:dyDescent="0.25">
      <c r="G54" s="1956"/>
      <c r="H54" s="1957"/>
      <c r="I54" s="1957"/>
      <c r="J54" s="1957"/>
      <c r="K54" s="1957"/>
    </row>
    <row r="55" spans="1:11" s="1889" customFormat="1" ht="15" x14ac:dyDescent="0.25">
      <c r="G55" s="1956"/>
      <c r="H55" s="1957"/>
      <c r="I55" s="1957"/>
      <c r="J55" s="1957"/>
      <c r="K55" s="1957"/>
    </row>
    <row r="56" spans="1:11" s="1889" customFormat="1" ht="15" x14ac:dyDescent="0.25">
      <c r="G56" s="1956"/>
      <c r="H56" s="1957"/>
      <c r="I56" s="1957"/>
      <c r="J56" s="1957"/>
      <c r="K56" s="1957"/>
    </row>
    <row r="57" spans="1:11" s="1889" customFormat="1" ht="15" x14ac:dyDescent="0.25">
      <c r="G57" s="1956"/>
      <c r="H57" s="1957"/>
      <c r="I57" s="1957"/>
      <c r="J57" s="1957"/>
      <c r="K57" s="1957"/>
    </row>
    <row r="58" spans="1:11" s="1889" customFormat="1" ht="15" x14ac:dyDescent="0.25">
      <c r="G58" s="1956"/>
      <c r="H58" s="1957"/>
      <c r="I58" s="1957"/>
      <c r="J58" s="1957"/>
      <c r="K58" s="1957"/>
    </row>
    <row r="59" spans="1:11" s="1889" customFormat="1" ht="15" x14ac:dyDescent="0.25">
      <c r="G59" s="1956"/>
      <c r="H59" s="1957"/>
      <c r="I59" s="1957"/>
      <c r="J59" s="1957"/>
      <c r="K59" s="1957"/>
    </row>
    <row r="60" spans="1:11" s="1889" customFormat="1" ht="15" x14ac:dyDescent="0.25">
      <c r="G60" s="1956"/>
      <c r="H60" s="1957"/>
      <c r="I60" s="1957"/>
      <c r="J60" s="1957"/>
      <c r="K60" s="1957"/>
    </row>
    <row r="61" spans="1:11" s="1889" customFormat="1" ht="15" x14ac:dyDescent="0.25">
      <c r="G61" s="1956"/>
      <c r="H61" s="1957"/>
      <c r="I61" s="1957"/>
      <c r="J61" s="1957"/>
      <c r="K61" s="1957"/>
    </row>
    <row r="62" spans="1:11" s="1889" customFormat="1" ht="15" x14ac:dyDescent="0.25">
      <c r="G62" s="1956"/>
      <c r="H62" s="1957"/>
      <c r="I62" s="1957"/>
      <c r="J62" s="1957"/>
      <c r="K62" s="1957"/>
    </row>
    <row r="63" spans="1:11" s="1889" customFormat="1" ht="15" x14ac:dyDescent="0.25">
      <c r="G63" s="1956"/>
      <c r="H63" s="1957"/>
      <c r="I63" s="1957"/>
      <c r="J63" s="1957"/>
      <c r="K63" s="1957"/>
    </row>
    <row r="64" spans="1:11" s="1889" customFormat="1" ht="15" x14ac:dyDescent="0.25">
      <c r="G64" s="1956"/>
      <c r="H64" s="1957"/>
      <c r="I64" s="1957"/>
      <c r="J64" s="1957"/>
      <c r="K64" s="1957"/>
    </row>
    <row r="65" spans="7:11" s="1889" customFormat="1" ht="15" x14ac:dyDescent="0.25">
      <c r="G65" s="1956"/>
      <c r="H65" s="1957"/>
      <c r="I65" s="1957"/>
      <c r="J65" s="1957"/>
      <c r="K65" s="1957"/>
    </row>
    <row r="66" spans="7:11" s="1889" customFormat="1" ht="15" x14ac:dyDescent="0.25">
      <c r="G66" s="1956"/>
      <c r="H66" s="1957"/>
      <c r="I66" s="1957"/>
      <c r="J66" s="1957"/>
      <c r="K66" s="1957"/>
    </row>
    <row r="67" spans="7:11" s="1889" customFormat="1" ht="15" x14ac:dyDescent="0.25">
      <c r="G67" s="1956"/>
      <c r="H67" s="1957"/>
      <c r="I67" s="1957"/>
      <c r="J67" s="1957"/>
      <c r="K67" s="1957"/>
    </row>
    <row r="68" spans="7:11" s="1889" customFormat="1" ht="15" x14ac:dyDescent="0.25">
      <c r="G68" s="1956"/>
      <c r="H68" s="1957"/>
      <c r="I68" s="1957"/>
      <c r="J68" s="1957"/>
      <c r="K68" s="1957"/>
    </row>
    <row r="69" spans="7:11" s="1889" customFormat="1" ht="15" x14ac:dyDescent="0.25">
      <c r="G69" s="1956"/>
      <c r="H69" s="1957"/>
      <c r="I69" s="1957"/>
      <c r="J69" s="1957"/>
      <c r="K69" s="1957"/>
    </row>
    <row r="70" spans="7:11" s="1889" customFormat="1" ht="15" x14ac:dyDescent="0.25">
      <c r="G70" s="1956"/>
      <c r="H70" s="1957"/>
      <c r="I70" s="1957"/>
      <c r="J70" s="1957"/>
      <c r="K70" s="1957"/>
    </row>
    <row r="71" spans="7:11" s="1889" customFormat="1" ht="15" x14ac:dyDescent="0.25">
      <c r="G71" s="1956"/>
      <c r="H71" s="1957"/>
      <c r="I71" s="1957"/>
      <c r="J71" s="1957"/>
      <c r="K71" s="1957"/>
    </row>
    <row r="72" spans="7:11" s="1889" customFormat="1" ht="15" x14ac:dyDescent="0.25">
      <c r="G72" s="1956"/>
      <c r="H72" s="1957"/>
      <c r="I72" s="1957"/>
      <c r="J72" s="1957"/>
      <c r="K72" s="1957"/>
    </row>
    <row r="73" spans="7:11" s="1889" customFormat="1" ht="15" x14ac:dyDescent="0.25">
      <c r="G73" s="1956"/>
      <c r="H73" s="1957"/>
      <c r="I73" s="1957"/>
      <c r="J73" s="1957"/>
      <c r="K73" s="1957"/>
    </row>
    <row r="74" spans="7:11" s="1889" customFormat="1" ht="15" x14ac:dyDescent="0.25">
      <c r="G74" s="1956"/>
      <c r="H74" s="1957"/>
      <c r="I74" s="1957"/>
      <c r="J74" s="1957"/>
      <c r="K74" s="1957"/>
    </row>
    <row r="75" spans="7:11" s="1889" customFormat="1" ht="15" x14ac:dyDescent="0.25">
      <c r="G75" s="1956"/>
      <c r="H75" s="1957"/>
      <c r="I75" s="1957"/>
      <c r="J75" s="1957"/>
      <c r="K75" s="1957"/>
    </row>
    <row r="76" spans="7:11" s="1889" customFormat="1" ht="15" x14ac:dyDescent="0.25">
      <c r="G76" s="1956"/>
      <c r="H76" s="1957"/>
      <c r="I76" s="1957"/>
      <c r="J76" s="1957"/>
      <c r="K76" s="1957"/>
    </row>
    <row r="77" spans="7:11" s="1889" customFormat="1" ht="15" x14ac:dyDescent="0.25">
      <c r="G77" s="1956"/>
      <c r="H77" s="1957"/>
      <c r="I77" s="1957"/>
      <c r="J77" s="1957"/>
      <c r="K77" s="1957"/>
    </row>
    <row r="78" spans="7:11" s="1889" customFormat="1" ht="15" x14ac:dyDescent="0.25">
      <c r="G78" s="1956"/>
      <c r="H78" s="1957"/>
      <c r="I78" s="1957"/>
      <c r="J78" s="1957"/>
      <c r="K78" s="1957"/>
    </row>
    <row r="79" spans="7:11" s="1889" customFormat="1" ht="15" x14ac:dyDescent="0.25">
      <c r="G79" s="1956"/>
      <c r="H79" s="1957"/>
      <c r="I79" s="1957"/>
      <c r="J79" s="1957"/>
      <c r="K79" s="1957"/>
    </row>
    <row r="80" spans="7:11" s="1889" customFormat="1" ht="15" x14ac:dyDescent="0.25">
      <c r="G80" s="1956"/>
      <c r="H80" s="1957"/>
      <c r="I80" s="1957"/>
      <c r="J80" s="1957"/>
      <c r="K80" s="1957"/>
    </row>
    <row r="81" spans="7:11" s="1889" customFormat="1" ht="15" x14ac:dyDescent="0.25">
      <c r="G81" s="1956"/>
      <c r="H81" s="1957"/>
      <c r="I81" s="1957"/>
      <c r="J81" s="1957"/>
      <c r="K81" s="1957"/>
    </row>
    <row r="82" spans="7:11" s="1889" customFormat="1" ht="15" x14ac:dyDescent="0.25">
      <c r="G82" s="1956"/>
      <c r="H82" s="1957"/>
      <c r="I82" s="1957"/>
      <c r="J82" s="1957"/>
      <c r="K82" s="1957"/>
    </row>
    <row r="83" spans="7:11" s="1889" customFormat="1" ht="15" x14ac:dyDescent="0.25">
      <c r="G83" s="1956"/>
      <c r="H83" s="1957"/>
      <c r="I83" s="1957"/>
      <c r="J83" s="1957"/>
      <c r="K83" s="1957"/>
    </row>
    <row r="84" spans="7:11" s="1889" customFormat="1" ht="15" x14ac:dyDescent="0.25">
      <c r="G84" s="1956"/>
      <c r="H84" s="1957"/>
      <c r="I84" s="1957"/>
      <c r="J84" s="1957"/>
      <c r="K84" s="1957"/>
    </row>
    <row r="85" spans="7:11" s="1889" customFormat="1" ht="15" x14ac:dyDescent="0.25">
      <c r="G85" s="1956"/>
      <c r="H85" s="1957"/>
      <c r="I85" s="1957"/>
      <c r="J85" s="1957"/>
      <c r="K85" s="1957"/>
    </row>
    <row r="86" spans="7:11" s="1889" customFormat="1" ht="15" x14ac:dyDescent="0.25">
      <c r="G86" s="1956"/>
      <c r="H86" s="1957"/>
      <c r="I86" s="1957"/>
      <c r="J86" s="1957"/>
      <c r="K86" s="1957"/>
    </row>
    <row r="87" spans="7:11" s="1889" customFormat="1" ht="15" x14ac:dyDescent="0.25">
      <c r="G87" s="1956"/>
      <c r="H87" s="1957"/>
      <c r="I87" s="1957"/>
      <c r="J87" s="1957"/>
      <c r="K87" s="1957"/>
    </row>
    <row r="88" spans="7:11" s="1889" customFormat="1" ht="15" x14ac:dyDescent="0.25">
      <c r="G88" s="1956"/>
      <c r="H88" s="1957"/>
      <c r="I88" s="1957"/>
      <c r="J88" s="1957"/>
      <c r="K88" s="1957"/>
    </row>
    <row r="89" spans="7:11" s="1889" customFormat="1" ht="15" x14ac:dyDescent="0.25">
      <c r="G89" s="1956"/>
      <c r="H89" s="1957"/>
      <c r="I89" s="1957"/>
      <c r="J89" s="1957"/>
      <c r="K89" s="1957"/>
    </row>
    <row r="90" spans="7:11" s="1889" customFormat="1" ht="15" x14ac:dyDescent="0.25">
      <c r="G90" s="1956"/>
      <c r="H90" s="1957"/>
      <c r="I90" s="1957"/>
      <c r="J90" s="1957"/>
      <c r="K90" s="1957"/>
    </row>
    <row r="91" spans="7:11" s="1889" customFormat="1" ht="15" x14ac:dyDescent="0.25">
      <c r="G91" s="1956"/>
      <c r="H91" s="1957"/>
      <c r="I91" s="1957"/>
      <c r="J91" s="1957"/>
      <c r="K91" s="1957"/>
    </row>
    <row r="92" spans="7:11" s="1889" customFormat="1" ht="15" x14ac:dyDescent="0.25">
      <c r="G92" s="1956"/>
      <c r="H92" s="1957"/>
      <c r="I92" s="1957"/>
      <c r="J92" s="1957"/>
      <c r="K92" s="1957"/>
    </row>
    <row r="93" spans="7:11" s="1889" customFormat="1" ht="15" x14ac:dyDescent="0.25">
      <c r="G93" s="1956"/>
      <c r="H93" s="1957"/>
      <c r="I93" s="1957"/>
      <c r="J93" s="1957"/>
      <c r="K93" s="1957"/>
    </row>
    <row r="94" spans="7:11" s="1889" customFormat="1" ht="15" x14ac:dyDescent="0.25">
      <c r="G94" s="1956"/>
      <c r="H94" s="1957"/>
      <c r="I94" s="1957"/>
      <c r="J94" s="1957"/>
      <c r="K94" s="1957"/>
    </row>
    <row r="95" spans="7:11" s="1889" customFormat="1" ht="15" x14ac:dyDescent="0.25">
      <c r="G95" s="1956"/>
      <c r="H95" s="1957"/>
      <c r="I95" s="1957"/>
      <c r="J95" s="1957"/>
      <c r="K95" s="1957"/>
    </row>
    <row r="96" spans="7:11" s="1889" customFormat="1" ht="15" x14ac:dyDescent="0.25">
      <c r="G96" s="1956"/>
      <c r="H96" s="1957"/>
      <c r="I96" s="1957"/>
      <c r="J96" s="1957"/>
      <c r="K96" s="1957"/>
    </row>
    <row r="97" spans="7:11" s="1889" customFormat="1" ht="15" x14ac:dyDescent="0.25">
      <c r="G97" s="1956"/>
      <c r="H97" s="1957"/>
      <c r="I97" s="1957"/>
      <c r="J97" s="1957"/>
      <c r="K97" s="1957"/>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I13" sqref="I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0" t="s">
        <v>693</v>
      </c>
      <c r="B6" s="1664"/>
      <c r="C6" s="1664"/>
      <c r="D6" s="1664"/>
      <c r="E6" s="1665"/>
      <c r="F6" s="1016"/>
      <c r="G6" s="1010"/>
      <c r="H6" s="1017" t="s">
        <v>1086</v>
      </c>
      <c r="I6" s="2341" t="str">
        <f>COVER!A17</f>
        <v>South Pekin SD 137</v>
      </c>
      <c r="J6" s="2342"/>
      <c r="Q6" s="1686"/>
    </row>
    <row r="7" spans="1:17" x14ac:dyDescent="0.2">
      <c r="A7" s="2343" t="s">
        <v>924</v>
      </c>
      <c r="B7" s="2344"/>
      <c r="C7" s="2344"/>
      <c r="D7" s="2344"/>
      <c r="E7" s="2345"/>
      <c r="F7" s="1018"/>
      <c r="G7" s="1010"/>
      <c r="H7" s="1017" t="s">
        <v>390</v>
      </c>
      <c r="I7" s="2346">
        <f>COVER!A13</f>
        <v>53090137002</v>
      </c>
      <c r="J7" s="2346"/>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1" t="s">
        <v>1701</v>
      </c>
      <c r="F9" s="1024"/>
      <c r="G9" s="1024"/>
      <c r="H9" s="1912"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7" t="s">
        <v>502</v>
      </c>
      <c r="B11" s="2348"/>
      <c r="C11" s="234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85055</v>
      </c>
      <c r="F12" s="1040"/>
      <c r="G12" s="1834">
        <f t="shared" ref="G12:G18" si="0">SUM(E12:F12)</f>
        <v>85055</v>
      </c>
      <c r="H12" s="1041">
        <v>84800</v>
      </c>
      <c r="I12" s="1040"/>
      <c r="J12" s="1834">
        <f t="shared" ref="J12:J18" si="1">SUM(H12:I12)</f>
        <v>84800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0" t="s">
        <v>7</v>
      </c>
      <c r="C18" s="2351"/>
      <c r="D18" s="2352"/>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85055</v>
      </c>
      <c r="F19" s="1836">
        <f t="shared" si="2"/>
        <v>0</v>
      </c>
      <c r="G19" s="1836">
        <f t="shared" si="2"/>
        <v>85055</v>
      </c>
      <c r="H19" s="1836">
        <f t="shared" si="2"/>
        <v>84800</v>
      </c>
      <c r="I19" s="1836">
        <f t="shared" si="2"/>
        <v>0</v>
      </c>
      <c r="J19" s="1836">
        <f t="shared" si="2"/>
        <v>84800</v>
      </c>
    </row>
    <row r="20" spans="1:10" ht="13.5" thickTop="1" x14ac:dyDescent="0.2">
      <c r="A20" s="1036">
        <v>9</v>
      </c>
      <c r="B20" s="2353" t="s">
        <v>1703</v>
      </c>
      <c r="C20" s="2353"/>
      <c r="D20" s="2354"/>
      <c r="E20" s="1047"/>
      <c r="F20" s="1047"/>
      <c r="G20" s="1047"/>
      <c r="H20" s="1047"/>
      <c r="I20" s="1047"/>
      <c r="J20" s="1837">
        <f>IF(AND(G19&gt;0,J19&gt;0),(((J19-G19)/G19)),"Enter Budget Data")</f>
        <v>-2.9980600787725591E-3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9"/>
      <c r="D26" s="2359"/>
      <c r="E26" s="1051"/>
      <c r="F26" s="2358"/>
      <c r="G26" s="2358"/>
    </row>
    <row r="27" spans="1:10" x14ac:dyDescent="0.2">
      <c r="B27" s="1048"/>
      <c r="C27" s="1052" t="s">
        <v>1093</v>
      </c>
      <c r="D27" s="1053"/>
      <c r="E27" s="1054"/>
      <c r="F27" s="2355" t="s">
        <v>1589</v>
      </c>
      <c r="G27" s="2355"/>
    </row>
    <row r="28" spans="1:10" ht="28.5" customHeight="1" x14ac:dyDescent="0.2">
      <c r="B28" s="1048"/>
      <c r="C28" s="2357"/>
      <c r="D28" s="2357"/>
      <c r="E28" s="1055"/>
      <c r="F28" s="2357"/>
      <c r="G28" s="2357"/>
    </row>
    <row r="29" spans="1:10" x14ac:dyDescent="0.2">
      <c r="B29" s="1048"/>
      <c r="C29" s="1056" t="s">
        <v>1642</v>
      </c>
      <c r="E29" s="1057"/>
      <c r="F29" s="2356" t="s">
        <v>1590</v>
      </c>
      <c r="G29" s="235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8" t="s">
        <v>134</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63"/>
    </row>
    <row r="36" spans="1:10" ht="13.5" customHeight="1" x14ac:dyDescent="0.2">
      <c r="B36" s="1062"/>
      <c r="C36" s="2340" t="s">
        <v>1944</v>
      </c>
      <c r="D36" s="2339"/>
      <c r="E36" s="2339"/>
      <c r="F36" s="2339"/>
      <c r="G36" s="2339"/>
      <c r="H36" s="2339"/>
      <c r="I36" s="2339"/>
      <c r="J36" s="1064"/>
    </row>
    <row r="37" spans="1:10" ht="22.5" customHeight="1" x14ac:dyDescent="0.2">
      <c r="C37" s="2339"/>
      <c r="D37" s="2339"/>
      <c r="E37" s="2339"/>
      <c r="F37" s="2339"/>
      <c r="G37" s="2339"/>
      <c r="H37" s="2339"/>
      <c r="I37" s="2339"/>
      <c r="J37" s="1064"/>
    </row>
    <row r="38" spans="1:10" ht="7.5" customHeight="1" x14ac:dyDescent="0.2">
      <c r="C38" s="1063"/>
      <c r="D38" s="1065"/>
      <c r="E38" s="1066"/>
      <c r="F38" s="1067"/>
      <c r="G38" s="1066"/>
    </row>
    <row r="39" spans="1:10" ht="13.5" customHeight="1" x14ac:dyDescent="0.2">
      <c r="B39" s="1062"/>
      <c r="C39" s="2336" t="s">
        <v>937</v>
      </c>
      <c r="D39" s="2337"/>
      <c r="E39" s="2337"/>
      <c r="F39" s="2337"/>
      <c r="G39" s="2337"/>
      <c r="H39" s="2337"/>
      <c r="I39" s="233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C65"/>
  <sheetViews>
    <sheetView showGridLines="0" view="pageBreakPreview" zoomScale="90" zoomScaleNormal="110" zoomScaleSheetLayoutView="90" workbookViewId="0">
      <selection activeCell="B24" sqref="B24"/>
    </sheetView>
  </sheetViews>
  <sheetFormatPr defaultRowHeight="12.75" x14ac:dyDescent="0.2"/>
  <cols>
    <col min="1" max="1" width="3" style="329" customWidth="1"/>
    <col min="2" max="2" width="93" style="329" customWidth="1"/>
    <col min="3" max="3" width="12.7109375" style="329" customWidth="1"/>
    <col min="4" max="16384" width="9.140625" style="329"/>
  </cols>
  <sheetData>
    <row r="2" spans="1:3" x14ac:dyDescent="0.2">
      <c r="A2" s="389" t="s">
        <v>276</v>
      </c>
    </row>
    <row r="3" spans="1:3" x14ac:dyDescent="0.2">
      <c r="A3" s="329" t="s">
        <v>277</v>
      </c>
    </row>
    <row r="5" spans="1:3" x14ac:dyDescent="0.2">
      <c r="A5" s="1069">
        <v>1</v>
      </c>
      <c r="B5" s="329" t="s">
        <v>2114</v>
      </c>
    </row>
    <row r="6" spans="1:3" x14ac:dyDescent="0.2">
      <c r="A6" s="1069"/>
      <c r="B6" s="329" t="s">
        <v>2113</v>
      </c>
    </row>
    <row r="7" spans="1:3" x14ac:dyDescent="0.2">
      <c r="A7" s="1069">
        <v>2</v>
      </c>
      <c r="B7" s="329" t="s">
        <v>2120</v>
      </c>
    </row>
    <row r="8" spans="1:3" x14ac:dyDescent="0.2">
      <c r="A8" s="1069"/>
      <c r="B8" s="391" t="s">
        <v>2116</v>
      </c>
      <c r="C8" s="1948"/>
    </row>
    <row r="9" spans="1:3" x14ac:dyDescent="0.2">
      <c r="A9" s="1069"/>
      <c r="B9" s="391" t="s">
        <v>2117</v>
      </c>
      <c r="C9" s="1948"/>
    </row>
    <row r="10" spans="1:3" x14ac:dyDescent="0.2">
      <c r="A10" s="1069">
        <v>3</v>
      </c>
      <c r="B10" s="391" t="s">
        <v>2121</v>
      </c>
      <c r="C10" s="1948"/>
    </row>
    <row r="11" spans="1:3" x14ac:dyDescent="0.2">
      <c r="A11" s="1069"/>
      <c r="B11" s="391" t="s">
        <v>2119</v>
      </c>
      <c r="C11" s="1948"/>
    </row>
    <row r="12" spans="1:3" x14ac:dyDescent="0.2">
      <c r="A12" s="1069">
        <v>4</v>
      </c>
      <c r="B12" s="329" t="s">
        <v>2122</v>
      </c>
    </row>
    <row r="13" spans="1:3" x14ac:dyDescent="0.2">
      <c r="A13" s="1069"/>
      <c r="B13" s="329" t="s">
        <v>2118</v>
      </c>
    </row>
    <row r="14" spans="1:3" x14ac:dyDescent="0.2">
      <c r="A14" s="1069">
        <v>5</v>
      </c>
      <c r="B14" s="329" t="s">
        <v>2123</v>
      </c>
    </row>
    <row r="15" spans="1:3" x14ac:dyDescent="0.2">
      <c r="A15" s="1069"/>
      <c r="B15" s="329" t="s">
        <v>2115</v>
      </c>
    </row>
    <row r="16" spans="1:3"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South Pekin SD 137</v>
      </c>
    </row>
    <row r="65" spans="2:2" x14ac:dyDescent="0.2">
      <c r="B65" s="1071">
        <f>COVER!A13</f>
        <v>53090137002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70" sqref="B70"/>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7" t="s">
        <v>1125</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715</v>
      </c>
      <c r="B40" s="2074"/>
      <c r="C40" s="2074"/>
      <c r="D40" s="2074"/>
      <c r="E40" s="2074"/>
    </row>
    <row r="41" spans="1:5" x14ac:dyDescent="0.2">
      <c r="A41" s="2075" t="s">
        <v>1706</v>
      </c>
      <c r="B41" s="2075"/>
      <c r="C41" s="2075"/>
      <c r="D41" s="2075"/>
      <c r="E41" s="2075"/>
    </row>
    <row r="42" spans="1:5" ht="12.75" customHeight="1" x14ac:dyDescent="0.2">
      <c r="A42" s="2076" t="s">
        <v>1080</v>
      </c>
      <c r="B42" s="2076"/>
      <c r="C42" s="2076"/>
      <c r="D42" s="2076"/>
      <c r="E42" s="2076"/>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3" sqref="C2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1" sqref="B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0" t="s">
        <v>1784</v>
      </c>
      <c r="B18" s="236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35842"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10" zoomScale="110" zoomScaleNormal="110" workbookViewId="0">
      <selection activeCell="A5" sqref="A5:F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1790</v>
      </c>
      <c r="B1" s="2362"/>
      <c r="C1" s="2362"/>
      <c r="D1" s="2362"/>
      <c r="E1" s="2362"/>
      <c r="F1" s="2363"/>
    </row>
    <row r="2" spans="1:8" ht="45" customHeight="1" x14ac:dyDescent="0.2">
      <c r="A2" s="2371" t="s">
        <v>1791</v>
      </c>
      <c r="B2" s="2372"/>
      <c r="C2" s="2372"/>
      <c r="D2" s="2372"/>
      <c r="E2" s="2372"/>
      <c r="F2" s="2373"/>
      <c r="G2" s="1075"/>
      <c r="H2" s="1075"/>
    </row>
    <row r="3" spans="1:8" ht="57" customHeight="1" x14ac:dyDescent="0.2">
      <c r="A3" s="2374" t="s">
        <v>1786</v>
      </c>
      <c r="B3" s="2375"/>
      <c r="C3" s="2375"/>
      <c r="D3" s="2375"/>
      <c r="E3" s="2375"/>
      <c r="F3" s="2376"/>
      <c r="G3" s="1075"/>
      <c r="H3" s="1075"/>
    </row>
    <row r="4" spans="1:8" ht="14.25" customHeight="1" x14ac:dyDescent="0.2">
      <c r="A4" s="2380" t="s">
        <v>2056</v>
      </c>
      <c r="B4" s="2381"/>
      <c r="C4" s="2381"/>
      <c r="D4" s="2381"/>
      <c r="E4" s="2381"/>
      <c r="F4" s="2382"/>
      <c r="G4" s="1075"/>
      <c r="H4" s="1075"/>
    </row>
    <row r="5" spans="1:8" ht="14.25" customHeight="1" x14ac:dyDescent="0.2">
      <c r="A5" s="2383" t="s">
        <v>2057</v>
      </c>
      <c r="B5" s="2384"/>
      <c r="C5" s="2384"/>
      <c r="D5" s="2384"/>
      <c r="E5" s="2384"/>
      <c r="F5" s="2385"/>
      <c r="G5" s="1075"/>
      <c r="H5" s="1075"/>
    </row>
    <row r="6" spans="1:8" s="1076" customFormat="1" ht="41.25" customHeight="1" x14ac:dyDescent="0.2">
      <c r="A6" s="2377" t="s">
        <v>1792</v>
      </c>
      <c r="B6" s="2378"/>
      <c r="C6" s="2378"/>
      <c r="D6" s="2378"/>
      <c r="E6" s="2378"/>
      <c r="F6" s="2379"/>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2046677</v>
      </c>
      <c r="C8" s="1838">
        <f>'Acct Summary 7-8'!D8</f>
        <v>110620</v>
      </c>
      <c r="D8" s="1838">
        <f>'Acct Summary 7-8'!F8</f>
        <v>73514</v>
      </c>
      <c r="E8" s="1838">
        <f>'Acct Summary 7-8'!I8</f>
        <v>5724</v>
      </c>
      <c r="F8" s="1838">
        <f>SUM(B8:E8)</f>
        <v>2236535</v>
      </c>
    </row>
    <row r="9" spans="1:8" s="1080" customFormat="1" ht="14.25" customHeight="1" thickBot="1" x14ac:dyDescent="0.25">
      <c r="A9" s="1079" t="s">
        <v>1436</v>
      </c>
      <c r="B9" s="1839">
        <f>'Acct Summary 7-8'!C17</f>
        <v>1886759</v>
      </c>
      <c r="C9" s="1839">
        <f>'Acct Summary 7-8'!D17</f>
        <v>106979</v>
      </c>
      <c r="D9" s="1839">
        <f>'Acct Summary 7-8'!F17</f>
        <v>65266</v>
      </c>
      <c r="E9" s="1838"/>
      <c r="F9" s="1838">
        <f>SUM(B9:E9)</f>
        <v>2059004</v>
      </c>
    </row>
    <row r="10" spans="1:8" s="1080" customFormat="1" ht="14.25" thickTop="1" thickBot="1" x14ac:dyDescent="0.25">
      <c r="A10" s="1081" t="s">
        <v>1437</v>
      </c>
      <c r="B10" s="1840">
        <f>(B8-B9)</f>
        <v>159918</v>
      </c>
      <c r="C10" s="1840">
        <f>(C8-C9)</f>
        <v>3641</v>
      </c>
      <c r="D10" s="1840">
        <f>(D8-D9)</f>
        <v>8248</v>
      </c>
      <c r="E10" s="1839">
        <f>(E8-E9)</f>
        <v>5724</v>
      </c>
      <c r="F10" s="1841">
        <f>SUM(F8-F9)</f>
        <v>177531</v>
      </c>
    </row>
    <row r="11" spans="1:8" s="1080" customFormat="1" ht="14.25" thickTop="1" thickBot="1" x14ac:dyDescent="0.25">
      <c r="A11" s="1082" t="s">
        <v>1785</v>
      </c>
      <c r="B11" s="1842">
        <f>'Acct Summary 7-8'!C81</f>
        <v>850008</v>
      </c>
      <c r="C11" s="1842">
        <f>'Acct Summary 7-8'!D81</f>
        <v>31966</v>
      </c>
      <c r="D11" s="1842">
        <f>'Acct Summary 7-8'!F81</f>
        <v>27631</v>
      </c>
      <c r="E11" s="1842">
        <f>'Acct Summary 7-8'!I81</f>
        <v>103603</v>
      </c>
      <c r="F11" s="1843">
        <f>SUM(B11:E11)</f>
        <v>1013208</v>
      </c>
    </row>
    <row r="12" spans="1:8" ht="16.5" customHeight="1" thickTop="1" x14ac:dyDescent="0.2">
      <c r="A12" s="1083"/>
      <c r="B12" s="1084"/>
      <c r="C12" s="2365" t="str">
        <f>IF(AND(F10&lt;0,F11&gt;=0,ABS(F10*3)&gt;ABS(F11)),A16,IF(AND(F10&lt;0,F11&gt;0,ABS(F10*3)&lt;=ABS(F11)),A17,IF(AND(F10&lt;0,F11&lt;0),A16,IF(F11=0,A19,A18))))</f>
        <v>Balanced - no deficit reduction plan is required.</v>
      </c>
      <c r="D12" s="2366"/>
      <c r="E12" s="2366"/>
      <c r="F12" s="2367"/>
    </row>
    <row r="13" spans="1:8" ht="19.5" customHeight="1" x14ac:dyDescent="0.2">
      <c r="A13" s="1085"/>
      <c r="B13" s="1086"/>
      <c r="C13" s="2365"/>
      <c r="D13" s="2366"/>
      <c r="E13" s="2366"/>
      <c r="F13" s="2367"/>
      <c r="H13" s="1075"/>
    </row>
    <row r="14" spans="1:8" ht="19.5" customHeight="1" x14ac:dyDescent="0.2">
      <c r="A14" s="1085"/>
      <c r="B14" s="1086"/>
      <c r="C14" s="2365"/>
      <c r="D14" s="2366"/>
      <c r="E14" s="2366"/>
      <c r="F14" s="2367"/>
      <c r="H14" s="1075"/>
    </row>
    <row r="15" spans="1:8" ht="17.25" customHeight="1" x14ac:dyDescent="0.2">
      <c r="A15" s="1085"/>
      <c r="B15" s="1086"/>
      <c r="C15" s="2368"/>
      <c r="D15" s="2369"/>
      <c r="E15" s="2369"/>
      <c r="F15" s="2370"/>
      <c r="H15" s="1075"/>
    </row>
    <row r="16" spans="1:8" s="310" customFormat="1" ht="51.75" hidden="1" customHeight="1" x14ac:dyDescent="0.2">
      <c r="A16" s="2364" t="s">
        <v>1787</v>
      </c>
      <c r="B16" s="2364"/>
      <c r="C16" s="2364"/>
      <c r="D16" s="2364"/>
      <c r="E16" s="2364"/>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6" colorId="8" zoomScale="110" zoomScaleNormal="110" workbookViewId="0">
      <selection activeCell="D80" sqref="D80"/>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3"/>
      <c r="B2" s="1914"/>
      <c r="C2" s="1915"/>
      <c r="D2" s="1916"/>
    </row>
    <row r="3" spans="1:4" ht="36" customHeight="1" x14ac:dyDescent="0.2">
      <c r="A3" s="2386" t="s">
        <v>686</v>
      </c>
      <c r="B3" s="2387"/>
      <c r="C3" s="2387"/>
      <c r="D3" s="2388"/>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7" t="s">
        <v>1584</v>
      </c>
      <c r="D7" s="2398"/>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9" t="s">
        <v>1065</v>
      </c>
      <c r="B15" s="2390"/>
      <c r="C15" s="2390"/>
      <c r="D15" s="2391"/>
    </row>
    <row r="16" spans="1:4" s="669" customFormat="1" ht="24" customHeight="1" x14ac:dyDescent="0.2">
      <c r="A16" s="2392" t="s">
        <v>684</v>
      </c>
      <c r="B16" s="2393"/>
      <c r="C16" s="2393"/>
      <c r="D16" s="2394"/>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1" t="s">
        <v>332</v>
      </c>
      <c r="D21" s="2402"/>
    </row>
    <row r="22" spans="1:10" ht="12.75" x14ac:dyDescent="0.2">
      <c r="A22" s="1140"/>
      <c r="B22" s="1141">
        <v>2</v>
      </c>
      <c r="C22" s="2399" t="s">
        <v>1605</v>
      </c>
      <c r="D22" s="2400"/>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3" t="s">
        <v>557</v>
      </c>
      <c r="D43" s="2404"/>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5" t="s">
        <v>817</v>
      </c>
      <c r="D56" s="2396"/>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5" t="s">
        <v>1797</v>
      </c>
      <c r="D70" s="2396"/>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53090137002</v>
      </c>
    </row>
    <row r="3" spans="1:2" x14ac:dyDescent="0.2">
      <c r="A3" t="s">
        <v>1013</v>
      </c>
      <c r="B3" s="138" t="str">
        <f>COVER!A15</f>
        <v>TAZEWELL</v>
      </c>
    </row>
    <row r="4" spans="1:2" x14ac:dyDescent="0.2">
      <c r="A4" t="s">
        <v>1064</v>
      </c>
      <c r="B4" s="138" t="str">
        <f>COVER!A17</f>
        <v>South Pekin SD 137</v>
      </c>
    </row>
    <row r="5" spans="1:2" x14ac:dyDescent="0.2">
      <c r="A5" t="s">
        <v>728</v>
      </c>
      <c r="B5" s="138" t="str">
        <f>COVER!A38</f>
        <v>Mr. Seth Mingus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 xml:space="preserve"> 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066-004355</v>
      </c>
    </row>
    <row r="16" spans="1:2" x14ac:dyDescent="0.2">
      <c r="A16" t="s">
        <v>442</v>
      </c>
      <c r="B16" s="138" t="str">
        <f>COVER!T13</f>
        <v>PHILLIPS, SALMI, &amp; ASSOCIATES, LLC</v>
      </c>
    </row>
    <row r="17" spans="1:2" x14ac:dyDescent="0.2">
      <c r="A17" t="s">
        <v>939</v>
      </c>
      <c r="B17" s="138" t="str">
        <f>COVER!T15</f>
        <v>AARON PHILLIPS</v>
      </c>
    </row>
    <row r="18" spans="1:2" x14ac:dyDescent="0.2">
      <c r="A18" t="s">
        <v>1212</v>
      </c>
      <c r="B18" s="138" t="str">
        <f>COVER!T17</f>
        <v>112 SOUTH MAIN STREET</v>
      </c>
    </row>
    <row r="19" spans="1:2" x14ac:dyDescent="0.2">
      <c r="A19" t="s">
        <v>941</v>
      </c>
      <c r="B19" s="138" t="str">
        <f>COVER!T25</f>
        <v>aphillips@psa-cpa.com</v>
      </c>
    </row>
    <row r="20" spans="1:2" x14ac:dyDescent="0.2">
      <c r="A20" t="s">
        <v>942</v>
      </c>
      <c r="B20" s="138" t="str">
        <f>COVER!T19</f>
        <v>WASHINGTON</v>
      </c>
    </row>
    <row r="21" spans="1:2" x14ac:dyDescent="0.2">
      <c r="A21" t="s">
        <v>500</v>
      </c>
      <c r="B21" s="138" t="str">
        <f>COVER!X19</f>
        <v>IL</v>
      </c>
    </row>
    <row r="22" spans="1:2" x14ac:dyDescent="0.2">
      <c r="A22" t="s">
        <v>943</v>
      </c>
      <c r="B22" s="138">
        <f>COVER!Z19</f>
        <v>61571</v>
      </c>
    </row>
    <row r="23" spans="1:2" x14ac:dyDescent="0.2">
      <c r="A23" t="s">
        <v>1214</v>
      </c>
      <c r="B23" s="138" t="str">
        <f>COVER!T21</f>
        <v>(309)-444-4909</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850190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182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182</v>
      </c>
      <c r="C91" s="2" t="s">
        <v>594</v>
      </c>
      <c r="D91" s="2" t="str">
        <f t="shared" si="0"/>
        <v>Error?</v>
      </c>
    </row>
    <row r="92" spans="1:4" x14ac:dyDescent="0.2">
      <c r="A92" s="5">
        <v>31</v>
      </c>
      <c r="B92" s="138">
        <f>'Assets-Liab 5-6'!C39</f>
        <v>850008</v>
      </c>
      <c r="D92" s="2" t="str">
        <f t="shared" si="0"/>
        <v>Error?</v>
      </c>
    </row>
    <row r="93" spans="1:4" x14ac:dyDescent="0.2">
      <c r="A93" s="5">
        <v>32</v>
      </c>
      <c r="B93" s="138">
        <f>'Assets-Liab 5-6'!C41</f>
        <v>850190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31966</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31966</v>
      </c>
      <c r="D123" s="2" t="str">
        <f t="shared" si="0"/>
        <v>Error?</v>
      </c>
    </row>
    <row r="124" spans="1:4" x14ac:dyDescent="0.2">
      <c r="A124" s="5">
        <v>63</v>
      </c>
      <c r="B124" s="138">
        <f>'Assets-Liab 5-6'!D41</f>
        <v>31966</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551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551</v>
      </c>
      <c r="D140" s="2" t="str">
        <f t="shared" si="1"/>
        <v>Error?</v>
      </c>
    </row>
    <row r="141" spans="1:4" x14ac:dyDescent="0.2">
      <c r="A141" s="5">
        <v>80</v>
      </c>
      <c r="B141" s="138">
        <f>'Assets-Liab 5-6'!E41</f>
        <v>551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27631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27631</v>
      </c>
      <c r="D170" s="2" t="str">
        <f t="shared" si="1"/>
        <v>Error?</v>
      </c>
    </row>
    <row r="171" spans="1:4" x14ac:dyDescent="0.2">
      <c r="A171" s="5">
        <v>110</v>
      </c>
      <c r="B171" s="138">
        <f>'Assets-Liab 5-6'!F41</f>
        <v>27631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32389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32389</v>
      </c>
      <c r="D189" s="2" t="str">
        <f t="shared" si="1"/>
        <v>Error?</v>
      </c>
    </row>
    <row r="190" spans="1:4" x14ac:dyDescent="0.2">
      <c r="A190" s="5">
        <v>129</v>
      </c>
      <c r="B190" s="138">
        <f>'Assets-Liab 5-6'!G41</f>
        <v>32389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3351</v>
      </c>
      <c r="D273" s="2" t="str">
        <f t="shared" si="3"/>
        <v>Error?</v>
      </c>
    </row>
    <row r="274" spans="1:4" x14ac:dyDescent="0.2">
      <c r="A274" s="5">
        <v>213</v>
      </c>
      <c r="B274" s="138">
        <f>'Assets-Liab 5-6'!M17</f>
        <v>2058011</v>
      </c>
      <c r="D274" s="2" t="str">
        <f t="shared" si="3"/>
        <v>Error?</v>
      </c>
    </row>
    <row r="275" spans="1:4" x14ac:dyDescent="0.2">
      <c r="A275" s="5">
        <v>214</v>
      </c>
      <c r="B275" s="138">
        <f>'Assets-Liab 5-6'!M18</f>
        <v>10926</v>
      </c>
      <c r="D275" s="2" t="str">
        <f t="shared" si="3"/>
        <v>Error?</v>
      </c>
    </row>
    <row r="276" spans="1:4" x14ac:dyDescent="0.2">
      <c r="A276" s="5">
        <v>215</v>
      </c>
      <c r="B276" s="138">
        <f>'Assets-Liab 5-6'!M19</f>
        <v>68208</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2140496</v>
      </c>
      <c r="C279" s="2" t="s">
        <v>594</v>
      </c>
      <c r="D279" s="2" t="str">
        <f t="shared" si="3"/>
        <v>Error?</v>
      </c>
    </row>
    <row r="280" spans="1:4" x14ac:dyDescent="0.2">
      <c r="A280" s="5">
        <v>219</v>
      </c>
      <c r="B280" s="138">
        <f>'Assets-Liab 5-6'!M40</f>
        <v>2140496</v>
      </c>
      <c r="D280" s="2" t="str">
        <f t="shared" si="3"/>
        <v>Error?</v>
      </c>
    </row>
    <row r="281" spans="1:4" x14ac:dyDescent="0.2">
      <c r="A281" s="5">
        <v>220</v>
      </c>
      <c r="B281" s="138">
        <f>'Assets-Liab 5-6'!M41</f>
        <v>2140496</v>
      </c>
      <c r="C281" s="2" t="s">
        <v>594</v>
      </c>
      <c r="D281" s="2" t="str">
        <f t="shared" si="3"/>
        <v>Error?</v>
      </c>
    </row>
    <row r="282" spans="1:4" x14ac:dyDescent="0.2">
      <c r="A282" s="5">
        <v>221</v>
      </c>
      <c r="B282" s="138">
        <f>'Assets-Liab 5-6'!N21</f>
        <v>551</v>
      </c>
      <c r="D282" s="2" t="str">
        <f t="shared" si="3"/>
        <v>Error?</v>
      </c>
    </row>
    <row r="283" spans="1:4" x14ac:dyDescent="0.2">
      <c r="A283" s="5">
        <v>222</v>
      </c>
      <c r="B283" s="138">
        <f>'Assets-Liab 5-6'!N22</f>
        <v>699449</v>
      </c>
      <c r="D283" s="2" t="str">
        <f t="shared" si="3"/>
        <v>Error?</v>
      </c>
    </row>
    <row r="284" spans="1:4" x14ac:dyDescent="0.2">
      <c r="A284" s="5">
        <v>223</v>
      </c>
      <c r="B284" s="138">
        <f>'Assets-Liab 5-6'!N23</f>
        <v>700000</v>
      </c>
      <c r="C284" s="2" t="s">
        <v>594</v>
      </c>
      <c r="D284" s="2" t="str">
        <f t="shared" si="3"/>
        <v>Error?</v>
      </c>
    </row>
    <row r="285" spans="1:4" x14ac:dyDescent="0.2">
      <c r="A285" s="5">
        <v>224</v>
      </c>
      <c r="B285" s="138">
        <f>'Assets-Liab 5-6'!N36</f>
        <v>700000</v>
      </c>
      <c r="D285" s="2" t="str">
        <f t="shared" si="3"/>
        <v>Error?</v>
      </c>
    </row>
    <row r="286" spans="1:4" x14ac:dyDescent="0.2">
      <c r="A286" s="10">
        <v>225</v>
      </c>
      <c r="D286" s="2" t="str">
        <f t="shared" si="3"/>
        <v>OK</v>
      </c>
    </row>
    <row r="287" spans="1:4" x14ac:dyDescent="0.2">
      <c r="A287" s="5">
        <v>226</v>
      </c>
      <c r="B287" s="138">
        <f>'Assets-Liab 5-6'!N37</f>
        <v>700000</v>
      </c>
      <c r="C287" s="2" t="s">
        <v>594</v>
      </c>
      <c r="D287" s="2" t="str">
        <f t="shared" si="3"/>
        <v>Error?</v>
      </c>
    </row>
    <row r="288" spans="1:4" x14ac:dyDescent="0.2">
      <c r="A288" s="5">
        <v>227</v>
      </c>
      <c r="B288" s="138">
        <f>'Assets-Liab 5-6'!N41</f>
        <v>700000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598492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21482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924056</v>
      </c>
      <c r="C720" s="2" t="s">
        <v>594</v>
      </c>
      <c r="D720" s="2" t="str">
        <f t="shared" si="10"/>
        <v>Error?</v>
      </c>
    </row>
    <row r="721" spans="1:4" x14ac:dyDescent="0.2">
      <c r="A721" s="5">
        <v>660</v>
      </c>
      <c r="B721" s="138">
        <f>'Expenditures 15-22'!C36</f>
        <v>46056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48260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94316</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2263</v>
      </c>
      <c r="D732" s="2" t="str">
        <f t="shared" si="10"/>
        <v>Error?</v>
      </c>
    </row>
    <row r="733" spans="1:4" x14ac:dyDescent="0.2">
      <c r="A733" s="5">
        <v>672</v>
      </c>
      <c r="B733" s="138">
        <f>'Expenditures 15-22'!C50</f>
        <v>66837</v>
      </c>
      <c r="D733" s="2" t="str">
        <f t="shared" si="10"/>
        <v>Error?</v>
      </c>
    </row>
    <row r="734" spans="1:4" x14ac:dyDescent="0.2">
      <c r="A734" s="5">
        <v>673</v>
      </c>
      <c r="B734" s="138">
        <f>'Expenditures 15-22'!C53</f>
        <v>69100</v>
      </c>
      <c r="C734" s="2" t="s">
        <v>594</v>
      </c>
      <c r="D734" s="2" t="str">
        <f t="shared" si="10"/>
        <v>Error?</v>
      </c>
    </row>
    <row r="735" spans="1:4" x14ac:dyDescent="0.2">
      <c r="A735" s="5">
        <v>674</v>
      </c>
      <c r="B735" s="138">
        <f>'Expenditures 15-22'!C55</f>
        <v>102663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102663</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45977</v>
      </c>
      <c r="D739" s="2" t="str">
        <f t="shared" si="10"/>
        <v>Error?</v>
      </c>
    </row>
    <row r="740" spans="1:4" x14ac:dyDescent="0.2">
      <c r="A740" s="5">
        <v>679</v>
      </c>
      <c r="B740" s="138">
        <f>'Expenditures 15-22'!C61</f>
        <v>78249</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43458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167684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433763</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1357819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73028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505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111882</v>
      </c>
      <c r="C778" s="2" t="s">
        <v>594</v>
      </c>
      <c r="D778" s="2" t="str">
        <f t="shared" si="11"/>
        <v>Error?</v>
      </c>
    </row>
    <row r="779" spans="1:4" x14ac:dyDescent="0.2">
      <c r="A779" s="5">
        <v>718</v>
      </c>
      <c r="B779" s="138">
        <f>'Expenditures 15-22'!D36</f>
        <v>5516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5551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11067</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8550</v>
      </c>
      <c r="D791" s="2" t="str">
        <f t="shared" si="11"/>
        <v>Error?</v>
      </c>
    </row>
    <row r="792" spans="1:4" x14ac:dyDescent="0.2">
      <c r="A792" s="5">
        <v>731</v>
      </c>
      <c r="B792" s="138">
        <f>'Expenditures 15-22'!D53</f>
        <v>8550</v>
      </c>
      <c r="C792" s="2" t="s">
        <v>594</v>
      </c>
      <c r="D792" s="2" t="str">
        <f t="shared" si="11"/>
        <v>Error?</v>
      </c>
    </row>
    <row r="793" spans="1:4" x14ac:dyDescent="0.2">
      <c r="A793" s="5">
        <v>732</v>
      </c>
      <c r="B793" s="138">
        <f>'Expenditures 15-22'!D55</f>
        <v>31336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31336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6638</v>
      </c>
      <c r="D797" s="2" t="str">
        <f t="shared" si="11"/>
        <v>Error?</v>
      </c>
    </row>
    <row r="798" spans="1:4" x14ac:dyDescent="0.2">
      <c r="A798" s="5">
        <v>737</v>
      </c>
      <c r="B798" s="138">
        <f>'Expenditures 15-22'!D61</f>
        <v>10088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5376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22102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73055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184937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18872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5662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25284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1743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1743</v>
      </c>
      <c r="C843" s="2" t="s">
        <v>594</v>
      </c>
      <c r="D843" s="2" t="str">
        <f t="shared" si="12"/>
        <v>Error?</v>
      </c>
    </row>
    <row r="844" spans="1:4" x14ac:dyDescent="0.2">
      <c r="A844" s="5">
        <v>783</v>
      </c>
      <c r="B844" s="138">
        <f>'Expenditures 15-22'!E44</f>
        <v>17957</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18157</v>
      </c>
      <c r="D846" s="2" t="str">
        <f t="shared" si="12"/>
        <v>Error?</v>
      </c>
    </row>
    <row r="847" spans="1:4" x14ac:dyDescent="0.2">
      <c r="A847" s="5">
        <v>786</v>
      </c>
      <c r="B847" s="138">
        <f>'Expenditures 15-22'!E47</f>
        <v>36114</v>
      </c>
      <c r="C847" s="2" t="s">
        <v>594</v>
      </c>
      <c r="D847" s="2" t="str">
        <f t="shared" si="12"/>
        <v>Error?</v>
      </c>
    </row>
    <row r="848" spans="1:4" x14ac:dyDescent="0.2">
      <c r="A848" s="5">
        <v>787</v>
      </c>
      <c r="B848" s="138">
        <f>'Expenditures 15-22'!E49</f>
        <v>20728</v>
      </c>
      <c r="D848" s="2" t="str">
        <f t="shared" si="12"/>
        <v>Error?</v>
      </c>
    </row>
    <row r="849" spans="1:4" x14ac:dyDescent="0.2">
      <c r="A849" s="5">
        <v>788</v>
      </c>
      <c r="B849" s="138">
        <f>'Expenditures 15-22'!E50</f>
        <v>8187</v>
      </c>
      <c r="D849" s="2" t="str">
        <f t="shared" si="12"/>
        <v>Error?</v>
      </c>
    </row>
    <row r="850" spans="1:4" x14ac:dyDescent="0.2">
      <c r="A850" s="5">
        <v>789</v>
      </c>
      <c r="B850" s="138">
        <f>'Expenditures 15-22'!E53</f>
        <v>28915</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1899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983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2882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69654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115015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76339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3746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105387</v>
      </c>
      <c r="C894" s="2" t="s">
        <v>594</v>
      </c>
      <c r="D894" s="2" t="str">
        <f t="shared" si="12"/>
        <v>Error?</v>
      </c>
    </row>
    <row r="895" spans="1:4" x14ac:dyDescent="0.2">
      <c r="A895" s="5">
        <v>834</v>
      </c>
      <c r="B895" s="138">
        <f>'Expenditures 15-22'!F36</f>
        <v>102</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862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964</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4859</v>
      </c>
      <c r="D906" s="2" t="str">
        <f t="shared" si="13"/>
        <v>Error?</v>
      </c>
    </row>
    <row r="907" spans="1:4" x14ac:dyDescent="0.2">
      <c r="A907" s="5">
        <v>846</v>
      </c>
      <c r="B907" s="138">
        <f>'Expenditures 15-22'!F50</f>
        <v>1481</v>
      </c>
      <c r="D907" s="2" t="str">
        <f t="shared" si="13"/>
        <v>Error?</v>
      </c>
    </row>
    <row r="908" spans="1:4" x14ac:dyDescent="0.2">
      <c r="A908" s="5">
        <v>847</v>
      </c>
      <c r="B908" s="138">
        <f>'Expenditures 15-22'!F53</f>
        <v>6340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60364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60364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1250</v>
      </c>
      <c r="D928" s="2" t="str">
        <f t="shared" si="13"/>
        <v>Error?</v>
      </c>
    </row>
    <row r="929" spans="1:4" x14ac:dyDescent="0.2">
      <c r="A929" s="5">
        <v>868</v>
      </c>
      <c r="B929" s="138">
        <f>'Expenditures 15-22'!F74</f>
        <v>68918</v>
      </c>
      <c r="C929" s="2" t="s">
        <v>594</v>
      </c>
      <c r="D929" s="2" t="str">
        <f t="shared" si="13"/>
        <v>Error?</v>
      </c>
    </row>
    <row r="930" spans="1:4" x14ac:dyDescent="0.2">
      <c r="A930" s="5">
        <v>869</v>
      </c>
      <c r="B930" s="138">
        <f>'Expenditures 15-22'!F75</f>
        <v>598</v>
      </c>
      <c r="D930" s="2" t="str">
        <f t="shared" si="13"/>
        <v>Error?</v>
      </c>
    </row>
    <row r="931" spans="1:4" x14ac:dyDescent="0.2">
      <c r="A931" s="5">
        <v>870</v>
      </c>
      <c r="B931" s="138">
        <f>'Expenditures 15-22'!F114</f>
        <v>174903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8268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9213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9213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1653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6818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2724</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2724</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2724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35330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44872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774999</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33048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1182640</v>
      </c>
      <c r="C1108" s="2" t="s">
        <v>594</v>
      </c>
      <c r="D1108" s="2" t="str">
        <f t="shared" si="16"/>
        <v>Error?</v>
      </c>
    </row>
    <row r="1109" spans="1:4" x14ac:dyDescent="0.2">
      <c r="A1109" s="5">
        <v>1048</v>
      </c>
      <c r="B1109" s="138">
        <f>'Expenditures 15-22'!K36</f>
        <v>51674</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1743</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54673</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108090</v>
      </c>
      <c r="C1115" s="2" t="s">
        <v>594</v>
      </c>
      <c r="D1115" s="2" t="str">
        <f t="shared" si="16"/>
        <v>Error?</v>
      </c>
    </row>
    <row r="1116" spans="1:4" x14ac:dyDescent="0.2">
      <c r="A1116" s="5">
        <v>1055</v>
      </c>
      <c r="B1116" s="138">
        <f>'Expenditures 15-22'!K44</f>
        <v>17957</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18157</v>
      </c>
      <c r="C1118" s="2" t="s">
        <v>594</v>
      </c>
      <c r="D1118" s="2" t="str">
        <f t="shared" si="16"/>
        <v>Error?</v>
      </c>
    </row>
    <row r="1119" spans="1:4" x14ac:dyDescent="0.2">
      <c r="A1119" s="5">
        <v>1058</v>
      </c>
      <c r="B1119" s="138">
        <f>'Expenditures 15-22'!K47</f>
        <v>36114</v>
      </c>
      <c r="C1119" s="2" t="s">
        <v>594</v>
      </c>
      <c r="D1119" s="2" t="str">
        <f t="shared" si="16"/>
        <v>Error?</v>
      </c>
    </row>
    <row r="1120" spans="1:4" x14ac:dyDescent="0.2">
      <c r="A1120" s="5">
        <v>1059</v>
      </c>
      <c r="B1120" s="138">
        <f>'Expenditures 15-22'!K49</f>
        <v>30574</v>
      </c>
      <c r="C1120" s="2" t="s">
        <v>594</v>
      </c>
      <c r="D1120" s="2" t="str">
        <f t="shared" si="16"/>
        <v>Error?</v>
      </c>
    </row>
    <row r="1121" spans="1:4" x14ac:dyDescent="0.2">
      <c r="A1121" s="5">
        <v>1060</v>
      </c>
      <c r="B1121" s="138">
        <f>'Expenditures 15-22'!K50</f>
        <v>85055</v>
      </c>
      <c r="C1121" s="2" t="s">
        <v>594</v>
      </c>
      <c r="D1121" s="2" t="str">
        <f t="shared" si="16"/>
        <v>Error?</v>
      </c>
    </row>
    <row r="1122" spans="1:4" x14ac:dyDescent="0.2">
      <c r="A1122" s="5">
        <v>1061</v>
      </c>
      <c r="B1122" s="138">
        <f>'Expenditures 15-22'!K53</f>
        <v>115629</v>
      </c>
      <c r="C1122" s="2" t="s">
        <v>594</v>
      </c>
      <c r="D1122" s="2" t="str">
        <f t="shared" si="16"/>
        <v>Error?</v>
      </c>
    </row>
    <row r="1123" spans="1:4" x14ac:dyDescent="0.2">
      <c r="A1123" s="5">
        <v>1062</v>
      </c>
      <c r="B1123" s="138">
        <f>'Expenditures 15-22'!K55</f>
        <v>133999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133999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52615</v>
      </c>
      <c r="C1127" s="2" t="s">
        <v>594</v>
      </c>
      <c r="D1127" s="2" t="str">
        <f t="shared" si="16"/>
        <v>Error?</v>
      </c>
    </row>
    <row r="1128" spans="1:4" x14ac:dyDescent="0.2">
      <c r="A1128" s="5">
        <v>1067</v>
      </c>
      <c r="B1128" s="138">
        <f>'Expenditures 15-22'!K61</f>
        <v>90236</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110181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253032</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1250</v>
      </c>
      <c r="C1142" s="2" t="s">
        <v>594</v>
      </c>
      <c r="D1142" s="2" t="str">
        <f t="shared" si="16"/>
        <v>Error?</v>
      </c>
    </row>
    <row r="1143" spans="1:4" x14ac:dyDescent="0.2">
      <c r="A1143" s="5">
        <v>1082</v>
      </c>
      <c r="B1143" s="138">
        <f>'Expenditures 15-22'!K74</f>
        <v>648114</v>
      </c>
      <c r="C1143" s="2" t="s">
        <v>594</v>
      </c>
      <c r="D1143" s="2" t="str">
        <f t="shared" si="16"/>
        <v>Error?</v>
      </c>
    </row>
    <row r="1144" spans="1:4" x14ac:dyDescent="0.2">
      <c r="A1144" s="5">
        <v>1083</v>
      </c>
      <c r="B1144" s="138">
        <f>'Expenditures 15-22'!K75</f>
        <v>598</v>
      </c>
      <c r="C1144" s="2" t="s">
        <v>594</v>
      </c>
      <c r="D1144" s="2" t="str">
        <f t="shared" si="16"/>
        <v>Error?</v>
      </c>
    </row>
    <row r="1145" spans="1:4" x14ac:dyDescent="0.2">
      <c r="A1145" s="5">
        <v>1084</v>
      </c>
      <c r="B1145" s="138">
        <f>'Expenditures 15-22'!K102</f>
        <v>55407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1886759</v>
      </c>
      <c r="C1152" s="2" t="s">
        <v>594</v>
      </c>
      <c r="D1152" s="2" t="str">
        <f t="shared" si="17"/>
        <v>Error?</v>
      </c>
    </row>
    <row r="1153" spans="1:4" x14ac:dyDescent="0.2">
      <c r="A1153" s="5">
        <v>1092</v>
      </c>
      <c r="B1153" s="138">
        <f>'Expenditures 15-22'!K115</f>
        <v>159918</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26068</v>
      </c>
      <c r="D1237" s="2" t="str">
        <f t="shared" si="18"/>
        <v>Error?</v>
      </c>
    </row>
    <row r="1238" spans="1:4" x14ac:dyDescent="0.2">
      <c r="A1238" s="10">
        <v>1177</v>
      </c>
      <c r="D1238" s="2" t="str">
        <f t="shared" si="18"/>
        <v>OK</v>
      </c>
    </row>
    <row r="1239" spans="1:4" x14ac:dyDescent="0.2">
      <c r="A1239" s="5">
        <v>1178</v>
      </c>
      <c r="B1239" s="138">
        <f>'Expenditures 15-22'!E127</f>
        <v>26068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26068</v>
      </c>
      <c r="C1241" s="2" t="s">
        <v>594</v>
      </c>
      <c r="D1241" s="2" t="str">
        <f t="shared" si="18"/>
        <v>Error?</v>
      </c>
    </row>
    <row r="1242" spans="1:4" x14ac:dyDescent="0.2">
      <c r="A1242" s="5">
        <v>1181</v>
      </c>
      <c r="B1242" s="138">
        <f>'Expenditures 15-22'!E151</f>
        <v>26068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59545</v>
      </c>
      <c r="D1245" s="2" t="str">
        <f t="shared" si="18"/>
        <v>Error?</v>
      </c>
    </row>
    <row r="1246" spans="1:4" x14ac:dyDescent="0.2">
      <c r="A1246" s="10">
        <v>1185</v>
      </c>
      <c r="D1246" s="2" t="str">
        <f t="shared" si="18"/>
        <v>OK</v>
      </c>
    </row>
    <row r="1247" spans="1:4" x14ac:dyDescent="0.2">
      <c r="A1247" s="5">
        <v>1186</v>
      </c>
      <c r="B1247" s="138">
        <f>'Expenditures 15-22'!F127</f>
        <v>59545</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59545</v>
      </c>
      <c r="C1249" s="2" t="s">
        <v>594</v>
      </c>
      <c r="D1249" s="2" t="str">
        <f t="shared" si="18"/>
        <v>Error?</v>
      </c>
    </row>
    <row r="1250" spans="1:4" x14ac:dyDescent="0.2">
      <c r="A1250" s="5">
        <v>1189</v>
      </c>
      <c r="B1250" s="138">
        <f>'Expenditures 15-22'!F151</f>
        <v>59545</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21366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21366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21366</v>
      </c>
      <c r="C1258" s="2" t="s">
        <v>594</v>
      </c>
      <c r="D1258" s="2" t="str">
        <f t="shared" si="18"/>
        <v>Error?</v>
      </c>
    </row>
    <row r="1259" spans="1:4" x14ac:dyDescent="0.2">
      <c r="A1259" s="5">
        <v>1198</v>
      </c>
      <c r="B1259" s="138">
        <f>'Expenditures 15-22'!G151</f>
        <v>21366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106979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106979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106979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106979</v>
      </c>
      <c r="C1288" s="2" t="s">
        <v>594</v>
      </c>
      <c r="D1288" s="2" t="str">
        <f t="shared" si="19"/>
        <v>Error?</v>
      </c>
    </row>
    <row r="1289" spans="1:4" x14ac:dyDescent="0.2">
      <c r="A1289" s="5">
        <v>1228</v>
      </c>
      <c r="B1289" s="138">
        <f>'Expenditures 15-22'!K152</f>
        <v>3641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1000</v>
      </c>
      <c r="D1307" s="2" t="str">
        <f t="shared" si="19"/>
        <v>Error?</v>
      </c>
    </row>
    <row r="1308" spans="1:4" x14ac:dyDescent="0.2">
      <c r="A1308" s="5">
        <v>1247</v>
      </c>
      <c r="B1308" s="138">
        <f>'Expenditures 15-22'!E172</f>
        <v>1000</v>
      </c>
      <c r="C1308" s="2" t="s">
        <v>594</v>
      </c>
      <c r="D1308" s="2" t="str">
        <f t="shared" si="19"/>
        <v>Error?</v>
      </c>
    </row>
    <row r="1309" spans="1:4" x14ac:dyDescent="0.2">
      <c r="A1309" s="5">
        <v>1248</v>
      </c>
      <c r="B1309" s="138">
        <f>'Expenditures 15-22'!E174</f>
        <v>1000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47192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97192</v>
      </c>
      <c r="C1317" s="2" t="s">
        <v>594</v>
      </c>
      <c r="D1317" s="2" t="str">
        <f t="shared" si="19"/>
        <v>Error?</v>
      </c>
    </row>
    <row r="1318" spans="1:4" x14ac:dyDescent="0.2">
      <c r="A1318" s="5">
        <v>1257</v>
      </c>
      <c r="B1318" s="138">
        <f>'Expenditures 15-22'!H174</f>
        <v>97192</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47192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50000</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98192</v>
      </c>
      <c r="C1331" s="2" t="s">
        <v>594</v>
      </c>
      <c r="D1331" s="2" t="str">
        <f t="shared" si="19"/>
        <v>Error?</v>
      </c>
    </row>
    <row r="1332" spans="1:4" x14ac:dyDescent="0.2">
      <c r="A1332" s="5">
        <v>1271</v>
      </c>
      <c r="B1332" s="138">
        <f>'Expenditures 15-22'!K174</f>
        <v>98192</v>
      </c>
      <c r="C1332" s="2" t="s">
        <v>594</v>
      </c>
      <c r="D1332" s="2" t="str">
        <f t="shared" si="19"/>
        <v>Error?</v>
      </c>
    </row>
    <row r="1333" spans="1:4" x14ac:dyDescent="0.2">
      <c r="A1333" s="5">
        <v>1272</v>
      </c>
      <c r="B1333" s="138">
        <f>'Expenditures 15-22'!K175</f>
        <v>-212</v>
      </c>
      <c r="C1333" s="2" t="s">
        <v>594</v>
      </c>
      <c r="D1333" s="2" t="str">
        <f t="shared" si="19"/>
        <v>Error?</v>
      </c>
    </row>
    <row r="1334" spans="1:4" x14ac:dyDescent="0.2">
      <c r="A1334" s="10">
        <v>1273</v>
      </c>
      <c r="D1334" s="2" t="str">
        <f t="shared" si="19"/>
        <v>OK</v>
      </c>
    </row>
    <row r="1335" spans="1:4" x14ac:dyDescent="0.2">
      <c r="A1335" s="5">
        <v>1274</v>
      </c>
      <c r="B1335" s="138">
        <f>'Expenditures 15-22'!C182</f>
        <v>15661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15661</v>
      </c>
      <c r="C1339" s="2" t="s">
        <v>594</v>
      </c>
      <c r="D1339" s="2" t="str">
        <f t="shared" si="19"/>
        <v>Error?</v>
      </c>
    </row>
    <row r="1340" spans="1:4" x14ac:dyDescent="0.2">
      <c r="A1340" s="5">
        <v>1279</v>
      </c>
      <c r="B1340" s="138">
        <f>'Expenditures 15-22'!C210</f>
        <v>15661</v>
      </c>
      <c r="C1340" s="2" t="s">
        <v>594</v>
      </c>
      <c r="D1340" s="2" t="str">
        <f t="shared" si="19"/>
        <v>Error?</v>
      </c>
    </row>
    <row r="1341" spans="1:4" x14ac:dyDescent="0.2">
      <c r="A1341" s="5">
        <v>1280</v>
      </c>
      <c r="B1341" s="138">
        <f>'Expenditures 15-22'!D182</f>
        <v>950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950</v>
      </c>
      <c r="C1345" s="2" t="s">
        <v>594</v>
      </c>
      <c r="D1345" s="2" t="str">
        <f t="shared" si="20"/>
        <v>Error?</v>
      </c>
    </row>
    <row r="1346" spans="1:4" x14ac:dyDescent="0.2">
      <c r="A1346" s="5">
        <v>1285</v>
      </c>
      <c r="B1346" s="138">
        <f>'Expenditures 15-22'!D210</f>
        <v>950</v>
      </c>
      <c r="C1346" s="2" t="s">
        <v>594</v>
      </c>
      <c r="D1346" s="2" t="str">
        <f t="shared" si="20"/>
        <v>Error?</v>
      </c>
    </row>
    <row r="1347" spans="1:4" x14ac:dyDescent="0.2">
      <c r="A1347" s="5">
        <v>1286</v>
      </c>
      <c r="B1347" s="138">
        <f>'Expenditures 15-22'!E182</f>
        <v>46083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46083</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46083</v>
      </c>
      <c r="C1353" s="2" t="s">
        <v>594</v>
      </c>
      <c r="D1353" s="2" t="str">
        <f t="shared" si="20"/>
        <v>Error?</v>
      </c>
    </row>
    <row r="1354" spans="1:4" x14ac:dyDescent="0.2">
      <c r="A1354" s="5">
        <v>1293</v>
      </c>
      <c r="B1354" s="138">
        <f>'Expenditures 15-22'!F182</f>
        <v>2572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2572</v>
      </c>
      <c r="C1358" s="2" t="s">
        <v>594</v>
      </c>
      <c r="D1358" s="2" t="str">
        <f t="shared" si="20"/>
        <v>Error?</v>
      </c>
    </row>
    <row r="1359" spans="1:4" x14ac:dyDescent="0.2">
      <c r="A1359" s="5">
        <v>1298</v>
      </c>
      <c r="B1359" s="138">
        <f>'Expenditures 15-22'!F210</f>
        <v>2572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65266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65266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65266</v>
      </c>
      <c r="C1388" s="2" t="s">
        <v>594</v>
      </c>
      <c r="D1388" s="2" t="str">
        <f t="shared" si="20"/>
        <v>Error?</v>
      </c>
    </row>
    <row r="1389" spans="1:4" x14ac:dyDescent="0.2">
      <c r="A1389" s="5">
        <v>1328</v>
      </c>
      <c r="B1389" s="138">
        <f>'Expenditures 15-22'!K211</f>
        <v>8248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428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27762</v>
      </c>
      <c r="C1410" s="2" t="s">
        <v>594</v>
      </c>
      <c r="D1410" s="2" t="str">
        <f t="shared" si="21"/>
        <v>Error?</v>
      </c>
    </row>
    <row r="1411" spans="1:4" x14ac:dyDescent="0.2">
      <c r="A1411" s="5">
        <v>1350</v>
      </c>
      <c r="B1411" s="138">
        <f>'Expenditures 15-22'!D232</f>
        <v>647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601</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1248</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173</v>
      </c>
      <c r="D1422" s="2" t="str">
        <f t="shared" si="21"/>
        <v>Error?</v>
      </c>
    </row>
    <row r="1423" spans="1:4" x14ac:dyDescent="0.2">
      <c r="A1423" s="5">
        <v>1362</v>
      </c>
      <c r="B1423" s="138">
        <f>'Expenditures 15-22'!D246</f>
        <v>949</v>
      </c>
      <c r="D1423" s="2" t="str">
        <f t="shared" si="21"/>
        <v>Error?</v>
      </c>
    </row>
    <row r="1424" spans="1:4" x14ac:dyDescent="0.2">
      <c r="A1424" s="5">
        <v>1363</v>
      </c>
      <c r="B1424" s="138">
        <f>'Expenditures 15-22'!D257</f>
        <v>1122</v>
      </c>
      <c r="C1424" s="2" t="s">
        <v>594</v>
      </c>
      <c r="D1424" s="2" t="str">
        <f t="shared" si="21"/>
        <v>Error?</v>
      </c>
    </row>
    <row r="1425" spans="1:4" x14ac:dyDescent="0.2">
      <c r="A1425" s="5">
        <v>1364</v>
      </c>
      <c r="B1425" s="138">
        <f>'Expenditures 15-22'!D259</f>
        <v>11447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11447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11542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17170</v>
      </c>
      <c r="D1431" s="2" t="str">
        <f t="shared" si="21"/>
        <v>Error?</v>
      </c>
    </row>
    <row r="1432" spans="1:4" x14ac:dyDescent="0.2">
      <c r="A1432" s="5">
        <v>1371</v>
      </c>
      <c r="B1432" s="138">
        <f>'Expenditures 15-22'!D267</f>
        <v>2202</v>
      </c>
      <c r="D1432" s="2" t="str">
        <f t="shared" si="21"/>
        <v>Error?</v>
      </c>
    </row>
    <row r="1433" spans="1:4" x14ac:dyDescent="0.2">
      <c r="A1433" s="5">
        <v>1372</v>
      </c>
      <c r="B1433" s="138">
        <f>'Expenditures 15-22'!D268</f>
        <v>10184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41098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54915</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82677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428</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27762</v>
      </c>
      <c r="C1474" s="2" t="s">
        <v>594</v>
      </c>
      <c r="D1474" s="2" t="str">
        <f t="shared" si="22"/>
        <v>Error?</v>
      </c>
    </row>
    <row r="1475" spans="1:4" x14ac:dyDescent="0.2">
      <c r="A1475" s="5">
        <v>1414</v>
      </c>
      <c r="B1475" s="138">
        <f>'Expenditures 15-22'!K232</f>
        <v>647</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601</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1248</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173</v>
      </c>
      <c r="C1486" s="2" t="s">
        <v>594</v>
      </c>
      <c r="D1486" s="2" t="str">
        <f t="shared" si="22"/>
        <v>Error?</v>
      </c>
    </row>
    <row r="1487" spans="1:4" x14ac:dyDescent="0.2">
      <c r="A1487" s="5">
        <v>1426</v>
      </c>
      <c r="B1487" s="138">
        <f>'Expenditures 15-22'!K246</f>
        <v>949</v>
      </c>
      <c r="C1487" s="2" t="s">
        <v>594</v>
      </c>
      <c r="D1487" s="2" t="str">
        <f t="shared" si="22"/>
        <v>Error?</v>
      </c>
    </row>
    <row r="1488" spans="1:4" x14ac:dyDescent="0.2">
      <c r="A1488" s="5">
        <v>1427</v>
      </c>
      <c r="B1488" s="138">
        <f>'Expenditures 15-22'!K257</f>
        <v>1122</v>
      </c>
      <c r="C1488" s="2" t="s">
        <v>594</v>
      </c>
      <c r="D1488" s="2" t="str">
        <f t="shared" si="22"/>
        <v>Error?</v>
      </c>
    </row>
    <row r="1489" spans="1:4" x14ac:dyDescent="0.2">
      <c r="A1489" s="5">
        <v>1428</v>
      </c>
      <c r="B1489" s="138">
        <f>'Expenditures 15-22'!K259</f>
        <v>11447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11447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11542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17170</v>
      </c>
      <c r="C1495" s="2" t="s">
        <v>594</v>
      </c>
      <c r="D1495" s="2" t="str">
        <f t="shared" si="22"/>
        <v>Error?</v>
      </c>
    </row>
    <row r="1496" spans="1:4" x14ac:dyDescent="0.2">
      <c r="A1496" s="5">
        <v>1435</v>
      </c>
      <c r="B1496" s="138">
        <f>'Expenditures 15-22'!K267</f>
        <v>2202</v>
      </c>
      <c r="C1496" s="2" t="s">
        <v>594</v>
      </c>
      <c r="D1496" s="2" t="str">
        <f t="shared" si="22"/>
        <v>Error?</v>
      </c>
    </row>
    <row r="1497" spans="1:4" x14ac:dyDescent="0.2">
      <c r="A1497" s="5">
        <v>1436</v>
      </c>
      <c r="B1497" s="138">
        <f>'Expenditures 15-22'!K268</f>
        <v>10184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41098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54915</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82677</v>
      </c>
      <c r="C1517" s="2" t="s">
        <v>594</v>
      </c>
      <c r="D1517" s="2" t="str">
        <f t="shared" si="22"/>
        <v>Error?</v>
      </c>
    </row>
    <row r="1518" spans="1:4" x14ac:dyDescent="0.2">
      <c r="A1518" s="5">
        <v>1457</v>
      </c>
      <c r="B1518" s="138">
        <f>'Expenditures 15-22'!K296</f>
        <v>20536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690090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850008</v>
      </c>
      <c r="C1630" s="2" t="s">
        <v>594</v>
      </c>
      <c r="D1630" s="2" t="str">
        <f t="shared" si="24"/>
        <v>Error?</v>
      </c>
    </row>
    <row r="1631" spans="1:4" x14ac:dyDescent="0.2">
      <c r="A1631" s="5">
        <v>1570</v>
      </c>
      <c r="B1631" s="138">
        <f>'Acct Summary 7-8'!D79</f>
        <v>28325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31966</v>
      </c>
      <c r="C1644" s="2" t="s">
        <v>594</v>
      </c>
      <c r="D1644" s="2" t="str">
        <f t="shared" si="24"/>
        <v>Error?</v>
      </c>
    </row>
    <row r="1645" spans="1:4" x14ac:dyDescent="0.2">
      <c r="A1645" s="5">
        <v>1584</v>
      </c>
      <c r="B1645" s="138">
        <f>'Acct Summary 7-8'!E79</f>
        <v>763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551</v>
      </c>
      <c r="C1658" s="2" t="s">
        <v>594</v>
      </c>
      <c r="D1658" s="2" t="str">
        <f t="shared" si="24"/>
        <v>Error?</v>
      </c>
    </row>
    <row r="1659" spans="1:4" x14ac:dyDescent="0.2">
      <c r="A1659" s="5">
        <v>1598</v>
      </c>
      <c r="B1659" s="138">
        <f>'Acct Summary 7-8'!F79</f>
        <v>19383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27631</v>
      </c>
      <c r="C1672" s="2" t="s">
        <v>594</v>
      </c>
      <c r="D1672" s="2" t="str">
        <f t="shared" si="25"/>
        <v>Error?</v>
      </c>
    </row>
    <row r="1673" spans="1:4" x14ac:dyDescent="0.2">
      <c r="A1673" s="5">
        <v>1612</v>
      </c>
      <c r="B1673" s="138">
        <f>'Acct Summary 7-8'!G79</f>
        <v>11853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32389</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194481</v>
      </c>
      <c r="C1744" s="2" t="s">
        <v>594</v>
      </c>
      <c r="D1744" s="2" t="str">
        <f t="shared" si="26"/>
        <v>Error?</v>
      </c>
    </row>
    <row r="1745" spans="1:5" x14ac:dyDescent="0.2">
      <c r="A1745" s="5">
        <v>1684</v>
      </c>
      <c r="B1745" s="138">
        <f>'Tax Sched 23'!B5</f>
        <v>47655</v>
      </c>
      <c r="C1745" s="2" t="s">
        <v>594</v>
      </c>
      <c r="D1745" s="2" t="str">
        <f t="shared" si="26"/>
        <v>Error?</v>
      </c>
    </row>
    <row r="1746" spans="1:5" x14ac:dyDescent="0.2">
      <c r="A1746" s="5">
        <v>1685</v>
      </c>
      <c r="B1746" s="138">
        <f>'Tax Sched 23'!B6</f>
        <v>97530</v>
      </c>
      <c r="C1746" s="2" t="s">
        <v>594</v>
      </c>
      <c r="D1746" s="2" t="str">
        <f t="shared" si="26"/>
        <v>Error?</v>
      </c>
    </row>
    <row r="1747" spans="1:5" x14ac:dyDescent="0.2">
      <c r="A1747" s="5">
        <v>1686</v>
      </c>
      <c r="B1747" s="138">
        <f>'Tax Sched 23'!B7</f>
        <v>21309</v>
      </c>
      <c r="C1747" s="2" t="s">
        <v>594</v>
      </c>
      <c r="D1747" s="2" t="str">
        <f t="shared" si="26"/>
        <v>Error?</v>
      </c>
    </row>
    <row r="1748" spans="1:5" x14ac:dyDescent="0.2">
      <c r="A1748" s="5">
        <v>1687</v>
      </c>
      <c r="B1748" s="138">
        <f>'Tax Sched 23'!B8</f>
        <v>29394</v>
      </c>
      <c r="C1748" s="2" t="s">
        <v>594</v>
      </c>
      <c r="D1748" s="2" t="str">
        <f t="shared" si="26"/>
        <v>Error?</v>
      </c>
    </row>
    <row r="1749" spans="1:5" x14ac:dyDescent="0.2">
      <c r="A1749" s="5">
        <v>1688</v>
      </c>
      <c r="B1749" s="138">
        <f>'Tax Sched 23'!B10</f>
        <v>4530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22185</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2839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449317</v>
      </c>
      <c r="C1759" s="2" t="s">
        <v>594</v>
      </c>
      <c r="D1759" s="2" t="str">
        <f t="shared" si="26"/>
        <v>Error?</v>
      </c>
    </row>
    <row r="1760" spans="1:5" x14ac:dyDescent="0.2">
      <c r="A1760" s="5">
        <v>1699</v>
      </c>
      <c r="B1760" s="138">
        <f>'Tax Sched 23'!D4</f>
        <v>194481</v>
      </c>
      <c r="C1760" s="2" t="s">
        <v>594</v>
      </c>
      <c r="D1760" s="2" t="str">
        <f t="shared" si="26"/>
        <v>Error?</v>
      </c>
    </row>
    <row r="1761" spans="1:5" x14ac:dyDescent="0.2">
      <c r="A1761" s="5">
        <v>1700</v>
      </c>
      <c r="B1761" s="138">
        <f>'Tax Sched 23'!D5</f>
        <v>47655</v>
      </c>
      <c r="C1761" s="2" t="s">
        <v>594</v>
      </c>
      <c r="D1761" s="2" t="str">
        <f t="shared" si="26"/>
        <v>Error?</v>
      </c>
    </row>
    <row r="1762" spans="1:5" s="8" customFormat="1" x14ac:dyDescent="0.2">
      <c r="A1762" s="5">
        <v>1701</v>
      </c>
      <c r="B1762" s="138">
        <f>'Tax Sched 23'!D6</f>
        <v>97530</v>
      </c>
      <c r="C1762" s="2" t="s">
        <v>594</v>
      </c>
      <c r="D1762" s="2" t="str">
        <f t="shared" si="26"/>
        <v>Error?</v>
      </c>
      <c r="E1762" s="9"/>
    </row>
    <row r="1763" spans="1:5" x14ac:dyDescent="0.2">
      <c r="A1763" s="5">
        <v>1702</v>
      </c>
      <c r="B1763" s="138">
        <f>'Tax Sched 23'!D7</f>
        <v>21309</v>
      </c>
      <c r="C1763" s="2" t="s">
        <v>594</v>
      </c>
      <c r="D1763" s="2" t="str">
        <f t="shared" si="26"/>
        <v>Error?</v>
      </c>
    </row>
    <row r="1764" spans="1:5" x14ac:dyDescent="0.2">
      <c r="A1764" s="5">
        <v>1703</v>
      </c>
      <c r="B1764" s="138">
        <f>'Tax Sched 23'!D8</f>
        <v>29394</v>
      </c>
      <c r="C1764" s="2" t="s">
        <v>594</v>
      </c>
      <c r="D1764" s="2" t="str">
        <f t="shared" si="26"/>
        <v>Error?</v>
      </c>
    </row>
    <row r="1765" spans="1:5" x14ac:dyDescent="0.2">
      <c r="A1765" s="5">
        <v>1704</v>
      </c>
      <c r="B1765" s="138">
        <f>'Tax Sched 23'!D10</f>
        <v>4530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22185</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2839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449317</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203579</v>
      </c>
      <c r="C1792" s="2" t="s">
        <v>594</v>
      </c>
      <c r="D1792" s="2" t="str">
        <f t="shared" si="27"/>
        <v>Error?</v>
      </c>
    </row>
    <row r="1793" spans="1:4" x14ac:dyDescent="0.2">
      <c r="A1793" s="5">
        <v>1732</v>
      </c>
      <c r="B1793" s="138">
        <f>'Tax Sched 23'!F5</f>
        <v>49885</v>
      </c>
      <c r="C1793" s="2" t="s">
        <v>594</v>
      </c>
      <c r="D1793" s="2" t="str">
        <f t="shared" si="27"/>
        <v>Error?</v>
      </c>
    </row>
    <row r="1794" spans="1:4" x14ac:dyDescent="0.2">
      <c r="A1794" s="5">
        <v>1733</v>
      </c>
      <c r="B1794" s="138">
        <f>'Tax Sched 23'!F6</f>
        <v>79611</v>
      </c>
      <c r="C1794" s="2" t="s">
        <v>594</v>
      </c>
      <c r="D1794" s="2" t="str">
        <f t="shared" si="27"/>
        <v>Error?</v>
      </c>
    </row>
    <row r="1795" spans="1:4" x14ac:dyDescent="0.2">
      <c r="A1795" s="5">
        <v>1734</v>
      </c>
      <c r="B1795" s="138">
        <f>'Tax Sched 23'!F7</f>
        <v>22306</v>
      </c>
      <c r="C1795" s="2" t="s">
        <v>594</v>
      </c>
      <c r="D1795" s="2" t="str">
        <f t="shared" si="27"/>
        <v>Error?</v>
      </c>
    </row>
    <row r="1796" spans="1:4" x14ac:dyDescent="0.2">
      <c r="A1796" s="5">
        <v>1735</v>
      </c>
      <c r="B1796" s="138">
        <f>'Tax Sched 23'!F8</f>
        <v>30768</v>
      </c>
      <c r="C1796" s="2" t="s">
        <v>594</v>
      </c>
      <c r="D1796" s="2" t="str">
        <f t="shared" si="27"/>
        <v>Error?</v>
      </c>
    </row>
    <row r="1797" spans="1:4" x14ac:dyDescent="0.2">
      <c r="A1797" s="5">
        <v>1736</v>
      </c>
      <c r="B1797" s="138">
        <f>'Tax Sched 23'!F10</f>
        <v>4741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23223</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2971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447852</v>
      </c>
      <c r="C1807" s="2" t="s">
        <v>594</v>
      </c>
      <c r="D1807" s="2" t="str">
        <f t="shared" si="27"/>
        <v>Error?</v>
      </c>
    </row>
    <row r="1808" spans="1:4" x14ac:dyDescent="0.2">
      <c r="A1808" s="5">
        <v>1747</v>
      </c>
      <c r="B1808" s="138">
        <f>'Tax Sched 23'!E4</f>
        <v>203579</v>
      </c>
      <c r="D1808" s="2" t="str">
        <f t="shared" si="27"/>
        <v>Error?</v>
      </c>
    </row>
    <row r="1809" spans="1:4" x14ac:dyDescent="0.2">
      <c r="A1809" s="5">
        <v>1748</v>
      </c>
      <c r="B1809" s="138">
        <f>'Tax Sched 23'!E5</f>
        <v>49885</v>
      </c>
      <c r="D1809" s="2" t="str">
        <f t="shared" si="27"/>
        <v>Error?</v>
      </c>
    </row>
    <row r="1810" spans="1:4" x14ac:dyDescent="0.2">
      <c r="A1810" s="5">
        <v>1749</v>
      </c>
      <c r="B1810" s="138">
        <f>'Tax Sched 23'!E6</f>
        <v>79611</v>
      </c>
      <c r="D1810" s="2" t="str">
        <f t="shared" si="27"/>
        <v>Error?</v>
      </c>
    </row>
    <row r="1811" spans="1:4" x14ac:dyDescent="0.2">
      <c r="A1811" s="5">
        <v>1750</v>
      </c>
      <c r="B1811" s="138">
        <f>'Tax Sched 23'!E7</f>
        <v>22306</v>
      </c>
      <c r="D1811" s="2" t="str">
        <f t="shared" si="27"/>
        <v>Error?</v>
      </c>
    </row>
    <row r="1812" spans="1:4" x14ac:dyDescent="0.2">
      <c r="A1812" s="5">
        <v>1751</v>
      </c>
      <c r="B1812" s="138">
        <f>'Tax Sched 23'!E8</f>
        <v>30768</v>
      </c>
      <c r="D1812" s="2" t="str">
        <f t="shared" si="27"/>
        <v>Error?</v>
      </c>
    </row>
    <row r="1813" spans="1:4" x14ac:dyDescent="0.2">
      <c r="A1813" s="5">
        <v>1752</v>
      </c>
      <c r="B1813" s="138">
        <f>'Tax Sched 23'!E10</f>
        <v>4741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23223</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2971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447852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750000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2839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2839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2839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3351</v>
      </c>
      <c r="D2008" s="2" t="str">
        <f t="shared" si="30"/>
        <v>Error?</v>
      </c>
    </row>
    <row r="2009" spans="1:4" x14ac:dyDescent="0.2">
      <c r="A2009" s="5">
        <v>1948</v>
      </c>
      <c r="B2009" s="138">
        <f>'Cap Outlay Deprec 26'!C8</f>
        <v>2058011</v>
      </c>
      <c r="D2009" s="2" t="str">
        <f t="shared" si="30"/>
        <v>Error?</v>
      </c>
    </row>
    <row r="2010" spans="1:4" x14ac:dyDescent="0.2">
      <c r="A2010" s="5">
        <v>1949</v>
      </c>
      <c r="B2010" s="138">
        <f>'Cap Outlay Deprec 26'!C10</f>
        <v>10926</v>
      </c>
      <c r="D2010" s="2" t="str">
        <f t="shared" si="30"/>
        <v>Error?</v>
      </c>
    </row>
    <row r="2011" spans="1:4" x14ac:dyDescent="0.2">
      <c r="A2011" s="5">
        <v>1950</v>
      </c>
      <c r="B2011" s="138">
        <f>'Cap Outlay Deprec 26'!C12</f>
        <v>38212</v>
      </c>
      <c r="D2011" s="2" t="str">
        <f t="shared" si="30"/>
        <v>Error?</v>
      </c>
    </row>
    <row r="2012" spans="1:4" x14ac:dyDescent="0.2">
      <c r="A2012" s="5">
        <v>1951</v>
      </c>
      <c r="B2012" s="138">
        <f>'Cap Outlay Deprec 26'!C13</f>
        <v>22129</v>
      </c>
      <c r="D2012" s="2" t="str">
        <f t="shared" si="30"/>
        <v>Error?</v>
      </c>
    </row>
    <row r="2013" spans="1:4" x14ac:dyDescent="0.2">
      <c r="A2013" s="5">
        <v>1952</v>
      </c>
      <c r="B2013" s="138">
        <f>'Cap Outlay Deprec 26'!C16</f>
        <v>2132629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30579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30579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22712</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22712</v>
      </c>
      <c r="C2025" s="2" t="s">
        <v>594</v>
      </c>
      <c r="D2025" s="2" t="str">
        <f t="shared" si="30"/>
        <v>Error?</v>
      </c>
    </row>
    <row r="2026" spans="1:4" x14ac:dyDescent="0.2">
      <c r="A2026" s="5">
        <v>1965</v>
      </c>
      <c r="B2026" s="138">
        <f>'Cap Outlay Deprec 26'!F5</f>
        <v>3351</v>
      </c>
      <c r="C2026" s="2" t="s">
        <v>594</v>
      </c>
      <c r="D2026" s="2" t="str">
        <f t="shared" si="30"/>
        <v>Error?</v>
      </c>
    </row>
    <row r="2027" spans="1:4" x14ac:dyDescent="0.2">
      <c r="A2027" s="5">
        <v>1966</v>
      </c>
      <c r="B2027" s="138">
        <f>'Cap Outlay Deprec 26'!F8</f>
        <v>2058011</v>
      </c>
      <c r="C2027" s="2" t="s">
        <v>594</v>
      </c>
      <c r="D2027" s="2" t="str">
        <f t="shared" si="30"/>
        <v>Error?</v>
      </c>
    </row>
    <row r="2028" spans="1:4" x14ac:dyDescent="0.2">
      <c r="A2028" s="5">
        <v>1967</v>
      </c>
      <c r="B2028" s="138">
        <f>'Cap Outlay Deprec 26'!F10</f>
        <v>10926</v>
      </c>
      <c r="C2028" s="2" t="s">
        <v>594</v>
      </c>
      <c r="D2028" s="2" t="str">
        <f t="shared" si="30"/>
        <v>Error?</v>
      </c>
    </row>
    <row r="2029" spans="1:4" x14ac:dyDescent="0.2">
      <c r="A2029" s="5">
        <v>1968</v>
      </c>
      <c r="B2029" s="138">
        <f>'Cap Outlay Deprec 26'!F12</f>
        <v>46079</v>
      </c>
      <c r="C2029" s="2" t="s">
        <v>594</v>
      </c>
      <c r="D2029" s="2" t="str">
        <f t="shared" si="30"/>
        <v>Error?</v>
      </c>
    </row>
    <row r="2030" spans="1:4" x14ac:dyDescent="0.2">
      <c r="A2030" s="5">
        <v>1969</v>
      </c>
      <c r="B2030" s="138">
        <f>'Cap Outlay Deprec 26'!F13</f>
        <v>22129</v>
      </c>
      <c r="C2030" s="2" t="s">
        <v>594</v>
      </c>
      <c r="D2030" s="2" t="str">
        <f t="shared" si="30"/>
        <v>Error?</v>
      </c>
    </row>
    <row r="2031" spans="1:4" x14ac:dyDescent="0.2">
      <c r="A2031" s="5">
        <v>1970</v>
      </c>
      <c r="B2031" s="138">
        <f>'Cap Outlay Deprec 26'!F16</f>
        <v>2140496</v>
      </c>
      <c r="C2031" s="2" t="s">
        <v>594</v>
      </c>
      <c r="D2031" s="2" t="str">
        <f t="shared" si="30"/>
        <v>Error?</v>
      </c>
    </row>
    <row r="2032" spans="1:4" x14ac:dyDescent="0.2">
      <c r="A2032" s="10">
        <v>1971</v>
      </c>
      <c r="D2032" s="2" t="str">
        <f t="shared" si="30"/>
        <v>OK</v>
      </c>
    </row>
    <row r="2033" spans="1:4" x14ac:dyDescent="0.2">
      <c r="A2033" s="5">
        <v>1972</v>
      </c>
      <c r="B2033" s="138">
        <f>'Cap Outlay Deprec 26'!H8</f>
        <v>765276</v>
      </c>
      <c r="D2033" s="2" t="str">
        <f t="shared" si="30"/>
        <v>Error?</v>
      </c>
    </row>
    <row r="2034" spans="1:4" x14ac:dyDescent="0.2">
      <c r="A2034" s="5">
        <v>1973</v>
      </c>
      <c r="B2034" s="138">
        <f>'Cap Outlay Deprec 26'!H10</f>
        <v>10926</v>
      </c>
      <c r="D2034" s="2" t="str">
        <f t="shared" si="30"/>
        <v>Error?</v>
      </c>
    </row>
    <row r="2035" spans="1:4" x14ac:dyDescent="0.2">
      <c r="A2035" s="5">
        <v>1974</v>
      </c>
      <c r="B2035" s="138">
        <f>'Cap Outlay Deprec 26'!H12</f>
        <v>28967</v>
      </c>
      <c r="D2035" s="2" t="str">
        <f t="shared" si="30"/>
        <v>Error?</v>
      </c>
    </row>
    <row r="2036" spans="1:4" x14ac:dyDescent="0.2">
      <c r="A2036" s="5">
        <v>1975</v>
      </c>
      <c r="B2036" s="138">
        <f>'Cap Outlay Deprec 26'!H13</f>
        <v>22129</v>
      </c>
      <c r="D2036" s="2" t="str">
        <f t="shared" si="30"/>
        <v>Error?</v>
      </c>
    </row>
    <row r="2037" spans="1:4" x14ac:dyDescent="0.2">
      <c r="A2037" s="5">
        <v>1976</v>
      </c>
      <c r="B2037" s="138">
        <f>'Cap Outlay Deprec 26'!H16</f>
        <v>827298</v>
      </c>
      <c r="C2037" s="2" t="s">
        <v>594</v>
      </c>
      <c r="D2037" s="2" t="str">
        <f t="shared" si="30"/>
        <v>Error?</v>
      </c>
    </row>
    <row r="2038" spans="1:4" x14ac:dyDescent="0.2">
      <c r="A2038" s="10">
        <v>1977</v>
      </c>
      <c r="D2038" s="2" t="str">
        <f t="shared" si="30"/>
        <v>OK</v>
      </c>
    </row>
    <row r="2039" spans="1:4" x14ac:dyDescent="0.2">
      <c r="A2039" s="5">
        <v>1978</v>
      </c>
      <c r="B2039" s="138">
        <f>'Cap Outlay Deprec 26'!I8</f>
        <v>37359</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3078.95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40437.949999999997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22712</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22712</v>
      </c>
      <c r="C2049" s="2" t="s">
        <v>594</v>
      </c>
      <c r="D2049" s="2" t="str">
        <f t="shared" si="31"/>
        <v>Error?</v>
      </c>
    </row>
    <row r="2050" spans="1:4" x14ac:dyDescent="0.2">
      <c r="A2050" s="10">
        <v>1989</v>
      </c>
      <c r="D2050" s="2" t="str">
        <f t="shared" si="31"/>
        <v>OK</v>
      </c>
    </row>
    <row r="2051" spans="1:4" x14ac:dyDescent="0.2">
      <c r="A2051" s="5">
        <v>1990</v>
      </c>
      <c r="B2051" s="138">
        <f>'Cap Outlay Deprec 26'!K8</f>
        <v>802635</v>
      </c>
      <c r="C2051" s="2" t="s">
        <v>594</v>
      </c>
      <c r="D2051" s="2" t="str">
        <f t="shared" si="31"/>
        <v>Error?</v>
      </c>
    </row>
    <row r="2052" spans="1:4" x14ac:dyDescent="0.2">
      <c r="A2052" s="5">
        <v>1991</v>
      </c>
      <c r="B2052" s="138">
        <f>'Cap Outlay Deprec 26'!K10</f>
        <v>10926</v>
      </c>
      <c r="C2052" s="2" t="s">
        <v>594</v>
      </c>
      <c r="D2052" s="2" t="str">
        <f t="shared" si="31"/>
        <v>Error?</v>
      </c>
    </row>
    <row r="2053" spans="1:4" x14ac:dyDescent="0.2">
      <c r="A2053" s="5">
        <v>1992</v>
      </c>
      <c r="B2053" s="138">
        <f>'Cap Outlay Deprec 26'!K12</f>
        <v>9333.9500000000007</v>
      </c>
      <c r="C2053" s="2" t="s">
        <v>594</v>
      </c>
      <c r="D2053" s="2" t="str">
        <f t="shared" si="31"/>
        <v>Error?</v>
      </c>
    </row>
    <row r="2054" spans="1:4" x14ac:dyDescent="0.2">
      <c r="A2054" s="5">
        <v>1993</v>
      </c>
      <c r="B2054" s="138">
        <f>'Cap Outlay Deprec 26'!K13</f>
        <v>22129</v>
      </c>
      <c r="C2054" s="2" t="s">
        <v>594</v>
      </c>
      <c r="D2054" s="2" t="str">
        <f t="shared" si="31"/>
        <v>Error?</v>
      </c>
    </row>
    <row r="2055" spans="1:4" x14ac:dyDescent="0.2">
      <c r="A2055" s="5">
        <v>1994</v>
      </c>
      <c r="B2055" s="138">
        <f>'Cap Outlay Deprec 26'!K16</f>
        <v>845023.95</v>
      </c>
      <c r="C2055" s="2" t="s">
        <v>594</v>
      </c>
      <c r="D2055" s="2" t="str">
        <f t="shared" si="31"/>
        <v>Error?</v>
      </c>
    </row>
    <row r="2056" spans="1:4" x14ac:dyDescent="0.2">
      <c r="A2056" s="5">
        <v>1995</v>
      </c>
      <c r="B2056" s="138">
        <f>'Cap Outlay Deprec 26'!L5</f>
        <v>3351</v>
      </c>
      <c r="C2056" s="2" t="s">
        <v>594</v>
      </c>
      <c r="D2056" s="2" t="str">
        <f t="shared" si="31"/>
        <v>Error?</v>
      </c>
    </row>
    <row r="2057" spans="1:4" x14ac:dyDescent="0.2">
      <c r="A2057" s="5">
        <v>1996</v>
      </c>
      <c r="B2057" s="138">
        <f>'Cap Outlay Deprec 26'!L8</f>
        <v>1255376</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36745.050000000003</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1295472.05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315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20392</v>
      </c>
      <c r="C2088" s="2" t="s">
        <v>594</v>
      </c>
      <c r="D2088" s="2" t="str">
        <f t="shared" si="31"/>
        <v>Error?</v>
      </c>
    </row>
    <row r="2089" spans="1:4" x14ac:dyDescent="0.2">
      <c r="A2089" s="5">
        <v>2028</v>
      </c>
      <c r="B2089" s="138">
        <f>'Expenditures 15-22'!K92</f>
        <v>35015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293522</v>
      </c>
      <c r="C2551" s="2" t="s">
        <v>594</v>
      </c>
      <c r="D2551" s="2" t="str">
        <f t="shared" si="38"/>
        <v>Error?</v>
      </c>
    </row>
    <row r="2552" spans="1:4" x14ac:dyDescent="0.2">
      <c r="A2552" s="10">
        <v>2491</v>
      </c>
      <c r="D2552" s="2" t="str">
        <f t="shared" si="38"/>
        <v>OK</v>
      </c>
    </row>
    <row r="2553" spans="1:4" x14ac:dyDescent="0.2">
      <c r="A2553" s="5">
        <v>2492</v>
      </c>
      <c r="B2553" s="138">
        <f>'Acct Summary 7-8'!C6</f>
        <v>1446945</v>
      </c>
      <c r="C2553" s="2" t="s">
        <v>594</v>
      </c>
      <c r="D2553" s="2" t="str">
        <f t="shared" si="38"/>
        <v>Error?</v>
      </c>
    </row>
    <row r="2554" spans="1:4" x14ac:dyDescent="0.2">
      <c r="A2554" s="5">
        <v>2493</v>
      </c>
      <c r="B2554" s="138">
        <f>'Acct Summary 7-8'!C7</f>
        <v>306210</v>
      </c>
      <c r="C2554" s="2" t="s">
        <v>594</v>
      </c>
      <c r="D2554" s="2" t="str">
        <f t="shared" si="38"/>
        <v>Error?</v>
      </c>
    </row>
    <row r="2555" spans="1:4" x14ac:dyDescent="0.2">
      <c r="A2555" s="5">
        <v>2494</v>
      </c>
      <c r="B2555" s="138">
        <f>'Acct Summary 7-8'!C8</f>
        <v>2046677</v>
      </c>
      <c r="C2555" s="2" t="s">
        <v>594</v>
      </c>
      <c r="D2555" s="2" t="str">
        <f t="shared" si="38"/>
        <v>Error?</v>
      </c>
    </row>
    <row r="2556" spans="1:4" x14ac:dyDescent="0.2">
      <c r="A2556" s="5">
        <v>2495</v>
      </c>
      <c r="B2556" s="138">
        <f>'Acct Summary 7-8'!C12</f>
        <v>1182640</v>
      </c>
      <c r="C2556" s="2" t="s">
        <v>594</v>
      </c>
      <c r="D2556" s="2" t="str">
        <f t="shared" si="38"/>
        <v>Error?</v>
      </c>
    </row>
    <row r="2557" spans="1:4" x14ac:dyDescent="0.2">
      <c r="A2557" s="5">
        <v>2496</v>
      </c>
      <c r="B2557" s="138">
        <f>'Acct Summary 7-8'!C13</f>
        <v>648114</v>
      </c>
      <c r="C2557" s="2" t="s">
        <v>594</v>
      </c>
      <c r="D2557" s="2" t="str">
        <f t="shared" si="38"/>
        <v>Error?</v>
      </c>
    </row>
    <row r="2558" spans="1:4" x14ac:dyDescent="0.2">
      <c r="A2558" s="5">
        <v>2497</v>
      </c>
      <c r="B2558" s="138">
        <f>'Acct Summary 7-8'!C14</f>
        <v>598</v>
      </c>
      <c r="C2558" s="2" t="s">
        <v>594</v>
      </c>
      <c r="D2558" s="2" t="str">
        <f t="shared" si="38"/>
        <v>Error?</v>
      </c>
    </row>
    <row r="2559" spans="1:4" x14ac:dyDescent="0.2">
      <c r="A2559" s="5">
        <v>2498</v>
      </c>
      <c r="B2559" s="138">
        <f>'Acct Summary 7-8'!C15</f>
        <v>55407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1886759</v>
      </c>
      <c r="C2561" s="2" t="s">
        <v>594</v>
      </c>
      <c r="D2561" s="2" t="str">
        <f t="shared" si="39"/>
        <v>Error?</v>
      </c>
    </row>
    <row r="2562" spans="1:4" x14ac:dyDescent="0.2">
      <c r="A2562" s="5">
        <v>2501</v>
      </c>
      <c r="B2562" s="138">
        <f>'Acct Summary 7-8'!C20</f>
        <v>159918</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53620</v>
      </c>
      <c r="C2564" s="2" t="s">
        <v>594</v>
      </c>
      <c r="D2564" s="2" t="str">
        <f t="shared" si="39"/>
        <v>Error?</v>
      </c>
    </row>
    <row r="2565" spans="1:4" x14ac:dyDescent="0.2">
      <c r="A2565" s="10">
        <v>2504</v>
      </c>
      <c r="D2565" s="2" t="str">
        <f t="shared" si="39"/>
        <v>OK</v>
      </c>
    </row>
    <row r="2566" spans="1:4" x14ac:dyDescent="0.2">
      <c r="A2566" s="5">
        <v>2505</v>
      </c>
      <c r="B2566" s="138">
        <f>'Acct Summary 7-8'!D6</f>
        <v>57000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110620</v>
      </c>
      <c r="C2568" s="2" t="s">
        <v>594</v>
      </c>
      <c r="D2568" s="2" t="str">
        <f t="shared" si="39"/>
        <v>Error?</v>
      </c>
    </row>
    <row r="2569" spans="1:4" x14ac:dyDescent="0.2">
      <c r="A2569" s="5">
        <v>2508</v>
      </c>
      <c r="B2569" s="138">
        <f>'Acct Summary 7-8'!D13</f>
        <v>106979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106979</v>
      </c>
      <c r="C2573" s="2" t="s">
        <v>594</v>
      </c>
      <c r="D2573" s="2" t="str">
        <f t="shared" si="39"/>
        <v>Error?</v>
      </c>
    </row>
    <row r="2574" spans="1:4" x14ac:dyDescent="0.2">
      <c r="A2574" s="5">
        <v>2513</v>
      </c>
      <c r="B2574" s="138">
        <f>'Acct Summary 7-8'!D20</f>
        <v>3641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25122</v>
      </c>
      <c r="C2591" s="2" t="s">
        <v>594</v>
      </c>
      <c r="D2591" s="2" t="str">
        <f t="shared" si="39"/>
        <v>Error?</v>
      </c>
    </row>
    <row r="2592" spans="1:4" x14ac:dyDescent="0.2">
      <c r="A2592" s="10">
        <v>2531</v>
      </c>
      <c r="D2592" s="2" t="str">
        <f t="shared" si="39"/>
        <v>OK</v>
      </c>
    </row>
    <row r="2593" spans="1:4" x14ac:dyDescent="0.2">
      <c r="A2593" s="5">
        <v>2532</v>
      </c>
      <c r="B2593" s="138">
        <f>'Acct Summary 7-8'!F6</f>
        <v>48392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73514</v>
      </c>
      <c r="C2595" s="2" t="s">
        <v>594</v>
      </c>
      <c r="D2595" s="2" t="str">
        <f t="shared" si="39"/>
        <v>Error?</v>
      </c>
    </row>
    <row r="2596" spans="1:4" x14ac:dyDescent="0.2">
      <c r="A2596" s="5">
        <v>2535</v>
      </c>
      <c r="B2596" s="138">
        <f>'Acct Summary 7-8'!F13</f>
        <v>65266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65266</v>
      </c>
      <c r="C2600" s="2" t="s">
        <v>594</v>
      </c>
      <c r="D2600" s="2" t="str">
        <f t="shared" si="39"/>
        <v>Error?</v>
      </c>
    </row>
    <row r="2601" spans="1:4" x14ac:dyDescent="0.2">
      <c r="A2601" s="5">
        <v>2540</v>
      </c>
      <c r="B2601" s="138">
        <f>'Acct Summary 7-8'!F20</f>
        <v>8248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77213</v>
      </c>
      <c r="C2603" s="2" t="s">
        <v>594</v>
      </c>
      <c r="D2603" s="2" t="str">
        <f t="shared" si="39"/>
        <v>Error?</v>
      </c>
    </row>
    <row r="2604" spans="1:4" x14ac:dyDescent="0.2">
      <c r="A2604" s="5">
        <v>2543</v>
      </c>
      <c r="B2604" s="138">
        <f>'Acct Summary 7-8'!G6</f>
        <v>26000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103213</v>
      </c>
      <c r="C2606" s="2" t="s">
        <v>594</v>
      </c>
      <c r="D2606" s="2" t="str">
        <f t="shared" si="39"/>
        <v>Error?</v>
      </c>
    </row>
    <row r="2607" spans="1:4" x14ac:dyDescent="0.2">
      <c r="A2607" s="5">
        <v>2546</v>
      </c>
      <c r="B2607" s="138">
        <f>'Acct Summary 7-8'!G12</f>
        <v>27762</v>
      </c>
      <c r="C2607" s="2" t="s">
        <v>594</v>
      </c>
      <c r="D2607" s="2" t="str">
        <f t="shared" si="39"/>
        <v>Error?</v>
      </c>
    </row>
    <row r="2608" spans="1:4" x14ac:dyDescent="0.2">
      <c r="A2608" s="5">
        <v>2547</v>
      </c>
      <c r="B2608" s="138">
        <f>'Acct Summary 7-8'!G13</f>
        <v>54915</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82677</v>
      </c>
      <c r="C2612" s="2" t="s">
        <v>594</v>
      </c>
      <c r="D2612" s="2" t="str">
        <f t="shared" si="39"/>
        <v>Error?</v>
      </c>
    </row>
    <row r="2613" spans="1:4" x14ac:dyDescent="0.2">
      <c r="A2613" s="5">
        <v>2552</v>
      </c>
      <c r="B2613" s="138">
        <f>'Acct Summary 7-8'!G20</f>
        <v>20536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97980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97980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98192</v>
      </c>
      <c r="C2634" s="2" t="s">
        <v>594</v>
      </c>
      <c r="D2634" s="2" t="str">
        <f t="shared" si="40"/>
        <v>Error?</v>
      </c>
    </row>
    <row r="2635" spans="1:4" x14ac:dyDescent="0.2">
      <c r="A2635" s="5">
        <v>2574</v>
      </c>
      <c r="B2635" s="138">
        <f>'Acct Summary 7-8'!E17</f>
        <v>98192</v>
      </c>
      <c r="C2635" s="2" t="s">
        <v>594</v>
      </c>
      <c r="D2635" s="2" t="str">
        <f t="shared" si="40"/>
        <v>Error?</v>
      </c>
    </row>
    <row r="2636" spans="1:4" x14ac:dyDescent="0.2">
      <c r="A2636" s="5">
        <v>2575</v>
      </c>
      <c r="B2636" s="138">
        <f>'Acct Summary 7-8'!E20</f>
        <v>-212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20077</v>
      </c>
      <c r="C2789" s="2" t="s">
        <v>594</v>
      </c>
      <c r="D2789" s="2" t="str">
        <f t="shared" si="42"/>
        <v>Error?</v>
      </c>
    </row>
    <row r="2790" spans="1:4" x14ac:dyDescent="0.2">
      <c r="A2790" s="5">
        <v>2729</v>
      </c>
      <c r="B2790" s="138">
        <f>'Expenditures 15-22'!E102</f>
        <v>20077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103603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10222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103603</v>
      </c>
      <c r="D2912" s="2" t="str">
        <f t="shared" si="44"/>
        <v>Error?</v>
      </c>
    </row>
    <row r="2913" spans="1:4" x14ac:dyDescent="0.2">
      <c r="A2913" s="5">
        <v>2852</v>
      </c>
      <c r="B2913" s="138">
        <f>'Assets-Liab 5-6'!I41</f>
        <v>103603</v>
      </c>
      <c r="C2913" s="2" t="s">
        <v>594</v>
      </c>
      <c r="D2913" s="2" t="str">
        <f t="shared" si="44"/>
        <v>Error?</v>
      </c>
    </row>
    <row r="2914" spans="1:4" x14ac:dyDescent="0.2">
      <c r="A2914" s="5">
        <v>2853</v>
      </c>
      <c r="B2914" s="138">
        <f>'Assets-Liab 5-6'!L33</f>
        <v>10222</v>
      </c>
      <c r="D2914" s="2" t="str">
        <f t="shared" si="44"/>
        <v>Error?</v>
      </c>
    </row>
    <row r="2915" spans="1:4" x14ac:dyDescent="0.2">
      <c r="A2915" s="10">
        <v>2854</v>
      </c>
      <c r="D2915" s="2" t="str">
        <f t="shared" si="44"/>
        <v>OK</v>
      </c>
    </row>
    <row r="2916" spans="1:4" x14ac:dyDescent="0.2">
      <c r="A2916" s="5">
        <v>2855</v>
      </c>
      <c r="B2916" s="138">
        <f>'Assets-Liab 5-6'!L34</f>
        <v>10222</v>
      </c>
      <c r="C2916" s="2" t="s">
        <v>594</v>
      </c>
      <c r="D2916" s="2" t="str">
        <f t="shared" si="44"/>
        <v>Error?</v>
      </c>
    </row>
    <row r="2917" spans="1:4" x14ac:dyDescent="0.2">
      <c r="A2917" s="5">
        <v>2856</v>
      </c>
      <c r="B2917" s="138">
        <f>'Assets-Liab 5-6'!L41</f>
        <v>10222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20077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315</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315</v>
      </c>
      <c r="C2973" s="2" t="s">
        <v>594</v>
      </c>
      <c r="D2973" s="2" t="str">
        <f t="shared" si="45"/>
        <v>Error?</v>
      </c>
    </row>
    <row r="2974" spans="1:4" x14ac:dyDescent="0.2">
      <c r="A2974" s="5">
        <v>2913</v>
      </c>
      <c r="B2974" s="138">
        <f>'Expenditures 15-22'!K79</f>
        <v>20077</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59054</v>
      </c>
      <c r="D3055" s="2" t="str">
        <f t="shared" si="46"/>
        <v>Error?</v>
      </c>
    </row>
    <row r="3056" spans="1:4" x14ac:dyDescent="0.2">
      <c r="A3056" s="5">
        <v>2995</v>
      </c>
      <c r="B3056" s="138">
        <f>'Expenditures 15-22'!D10</f>
        <v>10415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24253</v>
      </c>
      <c r="D3058" s="2" t="str">
        <f t="shared" si="46"/>
        <v>Error?</v>
      </c>
    </row>
    <row r="3059" spans="1:4" x14ac:dyDescent="0.2">
      <c r="A3059" s="5">
        <v>2998</v>
      </c>
      <c r="B3059" s="138">
        <f>'Expenditures 15-22'!G10</f>
        <v>945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94667</v>
      </c>
      <c r="C3062" s="2" t="s">
        <v>594</v>
      </c>
      <c r="D3062" s="2" t="str">
        <f t="shared" si="46"/>
        <v>Error?</v>
      </c>
    </row>
    <row r="3063" spans="1:4" x14ac:dyDescent="0.2">
      <c r="A3063" s="10">
        <v>3002</v>
      </c>
      <c r="D3063" s="2" t="str">
        <f t="shared" si="46"/>
        <v>OK</v>
      </c>
    </row>
    <row r="3064" spans="1:4" x14ac:dyDescent="0.2">
      <c r="A3064" s="5">
        <v>3003</v>
      </c>
      <c r="B3064" s="138">
        <f>'Expenditures 15-22'!D219</f>
        <v>4792</v>
      </c>
      <c r="D3064" s="2" t="str">
        <f t="shared" si="46"/>
        <v>Error?</v>
      </c>
    </row>
    <row r="3065" spans="1:4" x14ac:dyDescent="0.2">
      <c r="A3065" s="5">
        <v>3004</v>
      </c>
      <c r="B3065" s="138">
        <f>'Expenditures 15-22'!K219</f>
        <v>4792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5724</v>
      </c>
      <c r="C3225" s="2" t="s">
        <v>594</v>
      </c>
      <c r="D3225" s="2" t="str">
        <f t="shared" si="49"/>
        <v>Error?</v>
      </c>
    </row>
    <row r="3226" spans="1:4" x14ac:dyDescent="0.2">
      <c r="A3226" s="5">
        <v>3165</v>
      </c>
      <c r="B3226" s="138">
        <f>'Acct Summary 7-8'!I8</f>
        <v>5724</v>
      </c>
      <c r="C3226" s="2" t="s">
        <v>594</v>
      </c>
      <c r="D3226" s="2" t="str">
        <f t="shared" si="49"/>
        <v>Error?</v>
      </c>
    </row>
    <row r="3227" spans="1:4" x14ac:dyDescent="0.2">
      <c r="A3227" s="5">
        <v>3166</v>
      </c>
      <c r="B3227" s="138">
        <f>'Acct Summary 7-8'!I20</f>
        <v>5724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159918</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3641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8248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20536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-212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5724</v>
      </c>
      <c r="C3320" s="2" t="s">
        <v>594</v>
      </c>
      <c r="D3320" s="2" t="str">
        <f t="shared" si="50"/>
        <v>Error?</v>
      </c>
    </row>
    <row r="3321" spans="1:4" x14ac:dyDescent="0.2">
      <c r="A3321" s="5">
        <v>3260</v>
      </c>
      <c r="B3321" s="138">
        <f>'Acct Summary 7-8'!I79</f>
        <v>97879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103603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201218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26700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750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1049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229717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8598</v>
      </c>
      <c r="D3387" s="2" t="str">
        <f t="shared" si="51"/>
        <v>Error?</v>
      </c>
    </row>
    <row r="3388" spans="1:4" x14ac:dyDescent="0.2">
      <c r="A3388" s="5">
        <v>3327</v>
      </c>
      <c r="B3388" s="138">
        <f>'Expenditures 15-22'!D217</f>
        <v>13367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8598</v>
      </c>
      <c r="C3390" s="2" t="s">
        <v>594</v>
      </c>
      <c r="D3390" s="2" t="str">
        <f t="shared" si="51"/>
        <v>Error?</v>
      </c>
    </row>
    <row r="3391" spans="1:4" x14ac:dyDescent="0.2">
      <c r="A3391" s="5">
        <v>3330</v>
      </c>
      <c r="B3391" s="138">
        <f>'Expenditures 15-22'!K217</f>
        <v>13367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850190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31966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551</v>
      </c>
      <c r="D3417" s="2" t="str">
        <f t="shared" si="52"/>
        <v>Error?</v>
      </c>
    </row>
    <row r="3418" spans="1:4" x14ac:dyDescent="0.2">
      <c r="A3418" s="10">
        <v>3357</v>
      </c>
      <c r="D3418" s="2" t="str">
        <f t="shared" si="52"/>
        <v>OK</v>
      </c>
    </row>
    <row r="3419" spans="1:4" x14ac:dyDescent="0.2">
      <c r="A3419" s="5">
        <v>3358</v>
      </c>
      <c r="B3419" s="138">
        <f>'Assets-Liab 5-6'!F4</f>
        <v>27631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32389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103603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10222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29394</v>
      </c>
      <c r="C3446" s="2" t="s">
        <v>594</v>
      </c>
      <c r="D3446" s="2" t="str">
        <f t="shared" si="52"/>
        <v>Error?</v>
      </c>
    </row>
    <row r="3447" spans="1:4" x14ac:dyDescent="0.2">
      <c r="A3447" s="5">
        <v>3386</v>
      </c>
      <c r="B3447" s="138">
        <f>'Tax Sched 23'!D16</f>
        <v>29394</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30768</v>
      </c>
      <c r="C3449" s="2" t="s">
        <v>594</v>
      </c>
      <c r="D3449" s="2" t="str">
        <f t="shared" si="52"/>
        <v>Error?</v>
      </c>
    </row>
    <row r="3450" spans="1:4" x14ac:dyDescent="0.2">
      <c r="A3450" s="5">
        <v>3389</v>
      </c>
      <c r="B3450" s="138">
        <f>'Tax Sched 23'!E16</f>
        <v>30768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60364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729422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2776099</v>
      </c>
      <c r="C4122" s="2" t="s">
        <v>594</v>
      </c>
      <c r="D4122" s="2" t="str">
        <f t="shared" si="63"/>
        <v>Error?</v>
      </c>
    </row>
    <row r="4123" spans="1:4" x14ac:dyDescent="0.2">
      <c r="A4123" s="5">
        <v>4062</v>
      </c>
      <c r="B4123" s="138">
        <f>'Acct Summary 7-8'!D10</f>
        <v>110620</v>
      </c>
      <c r="C4123" s="2" t="s">
        <v>594</v>
      </c>
      <c r="D4123" s="2" t="str">
        <f t="shared" si="63"/>
        <v>Error?</v>
      </c>
    </row>
    <row r="4124" spans="1:4" x14ac:dyDescent="0.2">
      <c r="A4124" s="5">
        <v>4063</v>
      </c>
      <c r="B4124" s="138">
        <f>'Acct Summary 7-8'!E10</f>
        <v>97980</v>
      </c>
      <c r="C4124" s="2" t="s">
        <v>594</v>
      </c>
      <c r="D4124" s="2" t="str">
        <f t="shared" si="63"/>
        <v>Error?</v>
      </c>
    </row>
    <row r="4125" spans="1:4" x14ac:dyDescent="0.2">
      <c r="A4125" s="5">
        <v>4064</v>
      </c>
      <c r="B4125" s="138">
        <f>'Acct Summary 7-8'!F10</f>
        <v>73514</v>
      </c>
      <c r="C4125" s="2" t="s">
        <v>594</v>
      </c>
      <c r="D4125" s="2" t="str">
        <f t="shared" si="63"/>
        <v>Error?</v>
      </c>
    </row>
    <row r="4126" spans="1:4" x14ac:dyDescent="0.2">
      <c r="A4126" s="5">
        <v>4065</v>
      </c>
      <c r="B4126" s="138">
        <f>'Acct Summary 7-8'!G10</f>
        <v>103213</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5724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729422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2616181</v>
      </c>
      <c r="C4136" s="2" t="s">
        <v>594</v>
      </c>
      <c r="D4136" s="2" t="str">
        <f t="shared" si="63"/>
        <v>Error?</v>
      </c>
    </row>
    <row r="4137" spans="1:4" x14ac:dyDescent="0.2">
      <c r="A4137" s="5">
        <v>4076</v>
      </c>
      <c r="B4137" s="138">
        <f>'Acct Summary 7-8'!D19</f>
        <v>106979</v>
      </c>
      <c r="C4137" s="2" t="s">
        <v>594</v>
      </c>
      <c r="D4137" s="2" t="str">
        <f t="shared" si="63"/>
        <v>Error?</v>
      </c>
    </row>
    <row r="4138" spans="1:4" x14ac:dyDescent="0.2">
      <c r="A4138" s="5">
        <v>4077</v>
      </c>
      <c r="B4138" s="138">
        <f>'Acct Summary 7-8'!E19</f>
        <v>98192</v>
      </c>
      <c r="C4138" s="2" t="s">
        <v>594</v>
      </c>
      <c r="D4138" s="2" t="str">
        <f t="shared" si="63"/>
        <v>Error?</v>
      </c>
    </row>
    <row r="4139" spans="1:4" x14ac:dyDescent="0.2">
      <c r="A4139" s="5">
        <v>4078</v>
      </c>
      <c r="B4139" s="138">
        <f>'Acct Summary 7-8'!F19</f>
        <v>65266</v>
      </c>
      <c r="C4139" s="2" t="s">
        <v>594</v>
      </c>
      <c r="D4139" s="2" t="str">
        <f t="shared" si="63"/>
        <v>Error?</v>
      </c>
    </row>
    <row r="4140" spans="1:4" x14ac:dyDescent="0.2">
      <c r="A4140" s="5">
        <v>4079</v>
      </c>
      <c r="B4140" s="138">
        <f>'Acct Summary 7-8'!G19</f>
        <v>82677</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700000</v>
      </c>
      <c r="C4171" s="2" t="s">
        <v>594</v>
      </c>
      <c r="D4171" s="2" t="str">
        <f t="shared" si="64"/>
        <v>Error?</v>
      </c>
    </row>
    <row r="4172" spans="1:4" x14ac:dyDescent="0.2">
      <c r="A4172" s="5">
        <v>4111</v>
      </c>
      <c r="B4172" s="138">
        <f>'Short-Term Long-Term Debt 24'!J49</f>
        <v>699449</v>
      </c>
      <c r="C4172" s="2" t="s">
        <v>594</v>
      </c>
      <c r="D4172" s="2" t="str">
        <f t="shared" si="64"/>
        <v>Error?</v>
      </c>
    </row>
    <row r="4173" spans="1:4" x14ac:dyDescent="0.2">
      <c r="A4173" s="5">
        <v>4112</v>
      </c>
      <c r="B4173" s="138">
        <f>'Short-Term Long-Term Debt 24'!H49</f>
        <v>50000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1358.1</v>
      </c>
      <c r="C4265" s="2" t="s">
        <v>594</v>
      </c>
      <c r="D4265" s="2" t="str">
        <f t="shared" si="65"/>
        <v>Error?</v>
      </c>
      <c r="E4265" s="128"/>
    </row>
    <row r="4266" spans="1:5" x14ac:dyDescent="0.2">
      <c r="A4266" s="12">
        <v>4205</v>
      </c>
      <c r="B4266" s="138">
        <f>('FP Info 3'!F10)*100000</f>
        <v>332.79999999999995</v>
      </c>
      <c r="C4266" s="2" t="s">
        <v>594</v>
      </c>
      <c r="D4266" s="2" t="str">
        <f t="shared" si="65"/>
        <v>Error?</v>
      </c>
      <c r="E4266" s="128"/>
    </row>
    <row r="4267" spans="1:5" x14ac:dyDescent="0.2">
      <c r="A4267" s="12">
        <v>4206</v>
      </c>
      <c r="B4267" s="138">
        <f>('FP Info 3'!H10)*100000</f>
        <v>148.79999999999998</v>
      </c>
      <c r="C4267" s="2" t="s">
        <v>594</v>
      </c>
      <c r="D4267" s="2" t="str">
        <f t="shared" si="65"/>
        <v>Error?</v>
      </c>
      <c r="E4267" s="128"/>
    </row>
    <row r="4268" spans="1:5" x14ac:dyDescent="0.2">
      <c r="A4268" s="12">
        <v>4207</v>
      </c>
      <c r="B4268" s="138">
        <f>('FP Info 3'!J10)*100000</f>
        <v>1840</v>
      </c>
      <c r="C4268" s="2" t="s">
        <v>594</v>
      </c>
      <c r="D4268" s="2" t="str">
        <f t="shared" si="65"/>
        <v>Error?</v>
      </c>
    </row>
    <row r="4269" spans="1:5" x14ac:dyDescent="0.2">
      <c r="A4269" s="12">
        <v>4208</v>
      </c>
      <c r="B4269" s="138">
        <f>'FP Info 3'!J16</f>
        <v>1013208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4695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11879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3626</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3626</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16578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31.599999999999998</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20966</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14990405</v>
      </c>
      <c r="D4995" s="2" t="str">
        <f t="shared" si="77"/>
        <v>Error?</v>
      </c>
    </row>
    <row r="4996" spans="1:4" x14ac:dyDescent="0.2">
      <c r="A4996" s="12">
        <v>4935</v>
      </c>
      <c r="B4996" s="138">
        <f>'FP Info 3'!H31</f>
        <v>1034337.9450000001</v>
      </c>
      <c r="D4996" s="2" t="str">
        <f t="shared" si="77"/>
        <v>Error?</v>
      </c>
    </row>
    <row r="4997" spans="1:4" x14ac:dyDescent="0.2">
      <c r="A4997" s="12">
        <v>4936</v>
      </c>
      <c r="B4997" s="138">
        <f>'FP Info 3'!H37</f>
        <v>700000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3520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194481</v>
      </c>
      <c r="D5061" s="2" t="str">
        <f t="shared" si="78"/>
        <v>Error?</v>
      </c>
    </row>
    <row r="5062" spans="1:4" x14ac:dyDescent="0.2">
      <c r="A5062" s="10">
        <v>5001</v>
      </c>
      <c r="D5062" s="2" t="str">
        <f t="shared" si="78"/>
        <v>OK</v>
      </c>
    </row>
    <row r="5063" spans="1:4" x14ac:dyDescent="0.2">
      <c r="A5063" s="5">
        <v>5002</v>
      </c>
      <c r="B5063" s="138">
        <f>'Revenues 9-14'!C7</f>
        <v>2839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197320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23854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23854</v>
      </c>
      <c r="C5087" s="2" t="s">
        <v>594</v>
      </c>
      <c r="D5087" s="2" t="str">
        <f t="shared" si="78"/>
        <v>Error?</v>
      </c>
    </row>
    <row r="5088" spans="1:4" x14ac:dyDescent="0.2">
      <c r="A5088" s="5">
        <v>5027</v>
      </c>
      <c r="B5088" s="138">
        <f>'Revenues 9-14'!C65</f>
        <v>9153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9153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840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1117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1957</v>
      </c>
      <c r="C5096" s="2" t="s">
        <v>594</v>
      </c>
      <c r="D5096" s="2" t="str">
        <f t="shared" si="78"/>
        <v>Error?</v>
      </c>
    </row>
    <row r="5097" spans="1:4" x14ac:dyDescent="0.2">
      <c r="A5097" s="5">
        <v>5036</v>
      </c>
      <c r="B5097" s="138">
        <f>'Revenues 9-14'!C77</f>
        <v>4302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2018</v>
      </c>
      <c r="D5101" s="2" t="str">
        <f t="shared" si="78"/>
        <v>Error?</v>
      </c>
    </row>
    <row r="5102" spans="1:4" x14ac:dyDescent="0.2">
      <c r="A5102" s="5">
        <v>5041</v>
      </c>
      <c r="B5102" s="138">
        <f>'Revenues 9-14'!C82</f>
        <v>6320</v>
      </c>
      <c r="C5102" s="2" t="s">
        <v>594</v>
      </c>
      <c r="D5102" s="2" t="str">
        <f t="shared" si="78"/>
        <v>Error?</v>
      </c>
    </row>
    <row r="5103" spans="1:4" x14ac:dyDescent="0.2">
      <c r="A5103" s="5">
        <v>5042</v>
      </c>
      <c r="B5103" s="138">
        <f>'Revenues 9-14'!C84</f>
        <v>4084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4084</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475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22455</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6938</v>
      </c>
      <c r="D5119" s="2" t="str">
        <f t="shared" ref="D5119:D5182" si="79">IF(ISBLANK(B5119),"OK",IF(A5119-B5119=0,"OK","Error?"))</f>
        <v>Error?</v>
      </c>
    </row>
    <row r="5120" spans="1:4" x14ac:dyDescent="0.2">
      <c r="A5120" s="5">
        <v>5059</v>
      </c>
      <c r="B5120" s="138">
        <f>'Revenues 9-14'!C108</f>
        <v>50834</v>
      </c>
      <c r="C5120" s="2" t="s">
        <v>594</v>
      </c>
      <c r="D5120" s="2" t="str">
        <f t="shared" si="79"/>
        <v>Error?</v>
      </c>
    </row>
    <row r="5121" spans="1:4" x14ac:dyDescent="0.2">
      <c r="A5121" s="5">
        <v>5060</v>
      </c>
      <c r="B5121" s="138">
        <f>'Revenues 9-14'!C109</f>
        <v>293522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1386893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1386893</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17561</v>
      </c>
      <c r="D5134" s="2" t="str">
        <f t="shared" si="79"/>
        <v>Error?</v>
      </c>
    </row>
    <row r="5135" spans="1:4" x14ac:dyDescent="0.2">
      <c r="A5135" s="5">
        <v>5074</v>
      </c>
      <c r="B5135" s="138">
        <f>'Revenues 9-14'!C126</f>
        <v>37479</v>
      </c>
      <c r="D5135" s="2" t="str">
        <f t="shared" si="79"/>
        <v>Error?</v>
      </c>
    </row>
    <row r="5136" spans="1:4" x14ac:dyDescent="0.2">
      <c r="A5136" s="10">
        <v>5075</v>
      </c>
      <c r="D5136" s="2" t="str">
        <f t="shared" si="79"/>
        <v>OK</v>
      </c>
    </row>
    <row r="5137" spans="1:4" x14ac:dyDescent="0.2">
      <c r="A5137" s="5">
        <v>5076</v>
      </c>
      <c r="B5137" s="138">
        <f>'Revenues 9-14'!C127</f>
        <v>3551</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58591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1461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60052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1446945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74578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31443</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106021</v>
      </c>
      <c r="C5246" s="2" t="s">
        <v>594</v>
      </c>
      <c r="D5246" s="2" t="str">
        <f t="shared" si="80"/>
        <v>Error?</v>
      </c>
    </row>
    <row r="5247" spans="1:4" x14ac:dyDescent="0.2">
      <c r="A5247" s="5">
        <v>5186</v>
      </c>
      <c r="B5247" s="138">
        <f>'Revenues 9-14'!C203</f>
        <v>125911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125911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12110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25390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37500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306210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306210</v>
      </c>
      <c r="C5326" s="2" t="s">
        <v>594</v>
      </c>
      <c r="D5326" s="2" t="str">
        <f t="shared" si="82"/>
        <v>Error?</v>
      </c>
    </row>
    <row r="5327" spans="1:4" x14ac:dyDescent="0.2">
      <c r="A5327" s="5">
        <v>5266</v>
      </c>
      <c r="B5327" s="138">
        <f>'Revenues 9-14'!C275</f>
        <v>2046677</v>
      </c>
      <c r="C5327" s="2" t="s">
        <v>594</v>
      </c>
      <c r="D5327" s="2" t="str">
        <f t="shared" si="82"/>
        <v>Error?</v>
      </c>
    </row>
    <row r="5328" spans="1:4" x14ac:dyDescent="0.2">
      <c r="A5328" s="5">
        <v>5267</v>
      </c>
      <c r="B5328" s="138">
        <f>'Revenues 9-14'!D5</f>
        <v>47655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47655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5404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5404</v>
      </c>
      <c r="C5339" s="2" t="s">
        <v>594</v>
      </c>
      <c r="D5339" s="2" t="str">
        <f t="shared" si="82"/>
        <v>Error?</v>
      </c>
    </row>
    <row r="5340" spans="1:4" x14ac:dyDescent="0.2">
      <c r="A5340" s="5">
        <v>5279</v>
      </c>
      <c r="B5340" s="138">
        <f>'Revenues 9-14'!D65</f>
        <v>281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281</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280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280</v>
      </c>
      <c r="C5355" s="2" t="s">
        <v>594</v>
      </c>
      <c r="D5355" s="2" t="str">
        <f t="shared" si="82"/>
        <v>Error?</v>
      </c>
    </row>
    <row r="5356" spans="1:4" x14ac:dyDescent="0.2">
      <c r="A5356" s="5">
        <v>5295</v>
      </c>
      <c r="B5356" s="138">
        <f>'Revenues 9-14'!D109</f>
        <v>53620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57000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57000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57000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110620</v>
      </c>
      <c r="C5508" s="2" t="s">
        <v>594</v>
      </c>
      <c r="D5508" s="2" t="str">
        <f t="shared" si="85"/>
        <v>Error?</v>
      </c>
    </row>
    <row r="5509" spans="1:4" x14ac:dyDescent="0.2">
      <c r="A5509" s="5">
        <v>5448</v>
      </c>
      <c r="B5509" s="138">
        <f>'Revenues 9-14'!E5</f>
        <v>97530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97530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450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450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97980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97980</v>
      </c>
      <c r="C5552" s="2" t="s">
        <v>594</v>
      </c>
      <c r="D5552" s="2" t="str">
        <f t="shared" si="85"/>
        <v>Error?</v>
      </c>
    </row>
    <row r="5553" spans="1:4" x14ac:dyDescent="0.2">
      <c r="A5553" s="5">
        <v>5492</v>
      </c>
      <c r="B5553" s="138">
        <f>'Revenues 9-14'!F5</f>
        <v>21309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21309</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293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293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3520</v>
      </c>
      <c r="C5587" s="2" t="s">
        <v>594</v>
      </c>
      <c r="D5587" s="2" t="str">
        <f t="shared" si="86"/>
        <v>Error?</v>
      </c>
    </row>
    <row r="5588" spans="1:4" x14ac:dyDescent="0.2">
      <c r="A5588" s="5">
        <v>5527</v>
      </c>
      <c r="B5588" s="138">
        <f>'Revenues 9-14'!F109</f>
        <v>25122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13000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13000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16017</v>
      </c>
      <c r="D5615" s="2" t="str">
        <f t="shared" si="86"/>
        <v>Error?</v>
      </c>
    </row>
    <row r="5616" spans="1:4" x14ac:dyDescent="0.2">
      <c r="A5616" s="10">
        <v>5555</v>
      </c>
      <c r="D5616" s="2" t="str">
        <f t="shared" si="86"/>
        <v>OK</v>
      </c>
    </row>
    <row r="5617" spans="1:4" x14ac:dyDescent="0.2">
      <c r="A5617" s="5">
        <v>5556</v>
      </c>
      <c r="B5617" s="138">
        <f>'Revenues 9-14'!F152</f>
        <v>19375</v>
      </c>
      <c r="D5617" s="2" t="str">
        <f t="shared" si="86"/>
        <v>Error?</v>
      </c>
    </row>
    <row r="5618" spans="1:4" x14ac:dyDescent="0.2">
      <c r="A5618" s="5">
        <v>5557</v>
      </c>
      <c r="B5618" s="138">
        <f>'Revenues 9-14'!F154</f>
        <v>35392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35392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48392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73514</v>
      </c>
      <c r="C5720" s="2" t="s">
        <v>594</v>
      </c>
      <c r="D5720" s="2" t="str">
        <f t="shared" si="88"/>
        <v>Error?</v>
      </c>
    </row>
    <row r="5721" spans="1:4" x14ac:dyDescent="0.2">
      <c r="A5721" s="5">
        <v>5660</v>
      </c>
      <c r="B5721" s="138">
        <f>'Revenues 9-14'!G5</f>
        <v>29394</v>
      </c>
      <c r="D5721" s="2" t="str">
        <f t="shared" si="88"/>
        <v>Error?</v>
      </c>
    </row>
    <row r="5722" spans="1:4" x14ac:dyDescent="0.2">
      <c r="A5722" s="5">
        <v>5661</v>
      </c>
      <c r="B5722" s="138">
        <f>'Revenues 9-14'!G7</f>
        <v>0</v>
      </c>
      <c r="D5722" s="2" t="str">
        <f t="shared" si="88"/>
        <v>Error?</v>
      </c>
    </row>
    <row r="5723" spans="1:4" x14ac:dyDescent="0.2">
      <c r="A5723" s="5">
        <v>5662</v>
      </c>
      <c r="B5723" s="138">
        <f>'Revenues 9-14'!G8</f>
        <v>29394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58788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18053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18053</v>
      </c>
      <c r="C5730" s="2" t="s">
        <v>594</v>
      </c>
      <c r="D5730" s="2" t="str">
        <f t="shared" si="88"/>
        <v>Error?</v>
      </c>
    </row>
    <row r="5731" spans="1:4" x14ac:dyDescent="0.2">
      <c r="A5731" s="5">
        <v>5670</v>
      </c>
      <c r="B5731" s="138">
        <f>'Revenues 9-14'!G65</f>
        <v>372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372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26000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26000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26000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103213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4530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4530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1194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1194</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5724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77213</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5724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12029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198.36</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14473</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14473</v>
      </c>
      <c r="D6215" s="2" t="str">
        <f t="shared" si="96"/>
        <v>Error?</v>
      </c>
      <c r="E6215" s="2" t="s">
        <v>199</v>
      </c>
    </row>
    <row r="6216" spans="1:5" x14ac:dyDescent="0.2">
      <c r="A6216">
        <v>6155</v>
      </c>
      <c r="B6216" s="138">
        <f>'Assets-Liab 5-6'!J41</f>
        <v>14473</v>
      </c>
      <c r="D6216" s="2" t="str">
        <f t="shared" si="96"/>
        <v>Error?</v>
      </c>
      <c r="E6216" s="2" t="s">
        <v>199</v>
      </c>
    </row>
    <row r="6217" spans="1:5" x14ac:dyDescent="0.2">
      <c r="A6217">
        <v>6156</v>
      </c>
      <c r="B6217" s="138">
        <f>'Assets-Liab 5-6'!J4</f>
        <v>14473</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22346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22346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22346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17500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17500</v>
      </c>
      <c r="D6229" s="2" t="str">
        <f t="shared" si="96"/>
        <v>Error?</v>
      </c>
      <c r="E6229" s="2" t="s">
        <v>199</v>
      </c>
    </row>
    <row r="6230" spans="1:5" x14ac:dyDescent="0.2">
      <c r="A6230">
        <v>6169</v>
      </c>
      <c r="B6230" s="138">
        <f>'Acct Summary 7-8'!J20</f>
        <v>4846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4846</v>
      </c>
      <c r="D6263" s="2" t="str">
        <f t="shared" si="96"/>
        <v>Error?</v>
      </c>
      <c r="E6263" s="2" t="s">
        <v>199</v>
      </c>
    </row>
    <row r="6264" spans="1:5" x14ac:dyDescent="0.2">
      <c r="A6264">
        <v>6203</v>
      </c>
      <c r="B6264" s="138">
        <f>'Acct Summary 7-8'!J79</f>
        <v>9627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14473</v>
      </c>
      <c r="D6266" s="2" t="str">
        <f t="shared" si="96"/>
        <v>Error?</v>
      </c>
      <c r="E6266" s="2" t="s">
        <v>199</v>
      </c>
    </row>
    <row r="6267" spans="1:5" x14ac:dyDescent="0.2">
      <c r="A6267">
        <v>6206</v>
      </c>
      <c r="B6267" s="138">
        <f>'Acct Summary 7-8'!C82</f>
        <v>159918</v>
      </c>
      <c r="D6267" s="2" t="str">
        <f t="shared" si="96"/>
        <v>Error?</v>
      </c>
      <c r="E6267" s="2" t="s">
        <v>199</v>
      </c>
    </row>
    <row r="6268" spans="1:5" x14ac:dyDescent="0.2">
      <c r="A6268">
        <v>6207</v>
      </c>
      <c r="B6268" s="138">
        <f>'Acct Summary 7-8'!D82</f>
        <v>3641</v>
      </c>
      <c r="D6268" s="2" t="str">
        <f t="shared" si="96"/>
        <v>Error?</v>
      </c>
      <c r="E6268" s="2" t="s">
        <v>199</v>
      </c>
    </row>
    <row r="6269" spans="1:5" x14ac:dyDescent="0.2">
      <c r="A6269">
        <v>6208</v>
      </c>
      <c r="B6269" s="138">
        <f>'Acct Summary 7-8'!E82</f>
        <v>-212</v>
      </c>
      <c r="D6269" s="2" t="str">
        <f t="shared" si="96"/>
        <v>Error?</v>
      </c>
      <c r="E6269" s="2" t="s">
        <v>199</v>
      </c>
    </row>
    <row r="6270" spans="1:5" x14ac:dyDescent="0.2">
      <c r="A6270">
        <v>6209</v>
      </c>
      <c r="B6270" s="138">
        <f>'Acct Summary 7-8'!F82</f>
        <v>8248</v>
      </c>
      <c r="D6270" s="2" t="str">
        <f t="shared" si="96"/>
        <v>Error?</v>
      </c>
      <c r="E6270" s="2" t="s">
        <v>199</v>
      </c>
    </row>
    <row r="6271" spans="1:5" x14ac:dyDescent="0.2">
      <c r="A6271">
        <v>6210</v>
      </c>
      <c r="B6271" s="138">
        <f>'Acct Summary 7-8'!G82</f>
        <v>20536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5724</v>
      </c>
      <c r="D6273" s="2" t="str">
        <f t="shared" si="97"/>
        <v>Error?</v>
      </c>
      <c r="E6273" s="2" t="s">
        <v>199</v>
      </c>
    </row>
    <row r="6274" spans="1:5" x14ac:dyDescent="0.2">
      <c r="A6274">
        <v>6213</v>
      </c>
      <c r="B6274" s="138">
        <f>'Acct Summary 7-8'!J82</f>
        <v>4846</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0.1881370528277381</v>
      </c>
      <c r="D6276" s="2" t="str">
        <f t="shared" si="97"/>
        <v>Error?</v>
      </c>
      <c r="E6276" s="2" t="s">
        <v>199</v>
      </c>
    </row>
    <row r="6277" spans="1:5" x14ac:dyDescent="0.2">
      <c r="A6277">
        <v>6216</v>
      </c>
      <c r="B6277" s="138">
        <f>'Acct Summary 7-8'!D83</f>
        <v>0.1139022711631108</v>
      </c>
      <c r="D6277" s="2" t="str">
        <f t="shared" si="97"/>
        <v>Error?</v>
      </c>
      <c r="E6277" s="2" t="s">
        <v>199</v>
      </c>
    </row>
    <row r="6278" spans="1:5" x14ac:dyDescent="0.2">
      <c r="A6278">
        <v>6217</v>
      </c>
      <c r="B6278" s="138">
        <f>'Acct Summary 7-8'!E83</f>
        <v>-0.38475499092558985</v>
      </c>
      <c r="D6278" s="2" t="str">
        <f t="shared" si="97"/>
        <v>Error?</v>
      </c>
      <c r="E6278" s="2" t="s">
        <v>199</v>
      </c>
    </row>
    <row r="6279" spans="1:5" x14ac:dyDescent="0.2">
      <c r="A6279">
        <v>6218</v>
      </c>
      <c r="B6279" s="138">
        <f>'Acct Summary 7-8'!F83</f>
        <v>0.29850530201585174</v>
      </c>
      <c r="D6279" s="2" t="str">
        <f t="shared" si="97"/>
        <v>Error?</v>
      </c>
      <c r="E6279" s="2" t="s">
        <v>199</v>
      </c>
    </row>
    <row r="6280" spans="1:5" x14ac:dyDescent="0.2">
      <c r="A6280">
        <v>6219</v>
      </c>
      <c r="B6280" s="138">
        <f>'Acct Summary 7-8'!G83</f>
        <v>0.63404242180987369</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5.5249365365867782E-2</v>
      </c>
      <c r="D6282" s="2" t="str">
        <f t="shared" si="97"/>
        <v>Error?</v>
      </c>
      <c r="E6282" s="2" t="s">
        <v>199</v>
      </c>
    </row>
    <row r="6283" spans="1:5" x14ac:dyDescent="0.2">
      <c r="A6283">
        <v>6222</v>
      </c>
      <c r="B6283" s="138">
        <f>'Acct Summary 7-8'!J83</f>
        <v>0.33483037379948871</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22185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22185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161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161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22346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45044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5165</v>
      </c>
      <c r="D6880" s="2" t="str">
        <f t="shared" si="106"/>
        <v>Error?</v>
      </c>
    </row>
    <row r="6881" spans="1:4" x14ac:dyDescent="0.2">
      <c r="A6881">
        <v>6820</v>
      </c>
      <c r="B6881" s="138">
        <f>'Expenditures 15-22'!K22</f>
        <v>5165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35015</v>
      </c>
      <c r="D6983" s="2" t="str">
        <f t="shared" si="108"/>
        <v>Error?</v>
      </c>
    </row>
    <row r="6984" spans="1:4" x14ac:dyDescent="0.2">
      <c r="A6984">
        <v>6923</v>
      </c>
      <c r="B6984" s="138">
        <f>'Expenditures 15-22'!K86</f>
        <v>35015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35015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17500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22346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577</v>
      </c>
      <c r="D7075" s="2" t="str">
        <f t="shared" si="109"/>
        <v>Error?</v>
      </c>
    </row>
    <row r="7076" spans="1:4" x14ac:dyDescent="0.2">
      <c r="A7076">
        <v>7015</v>
      </c>
      <c r="B7076" s="138">
        <f>'Expenditures 15-22'!K218</f>
        <v>577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13318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13318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4182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4182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17500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17500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17500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17500</v>
      </c>
      <c r="D7224" s="2" t="str">
        <f t="shared" si="111"/>
        <v>Error?</v>
      </c>
    </row>
    <row r="7225" spans="1:4" x14ac:dyDescent="0.2">
      <c r="A7225">
        <v>7164</v>
      </c>
      <c r="B7225" s="138">
        <f>'Expenditures 15-22'!K343</f>
        <v>4846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43810</v>
      </c>
      <c r="D7251" s="2" t="str">
        <f t="shared" si="112"/>
        <v>Error?</v>
      </c>
    </row>
    <row r="7252" spans="1:4" x14ac:dyDescent="0.2">
      <c r="A7252">
        <f t="shared" si="113"/>
        <v>7191</v>
      </c>
      <c r="B7252" s="138">
        <f>'Expenditures 15-22'!D9</f>
        <v>1234</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40437.949999999997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2839</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14498</v>
      </c>
      <c r="D7797" s="2" t="str">
        <f t="shared" si="127"/>
        <v>Error?</v>
      </c>
      <c r="E7797" s="4" t="s">
        <v>2020</v>
      </c>
    </row>
    <row r="7798" spans="1:5" x14ac:dyDescent="0.2">
      <c r="A7798">
        <v>7737</v>
      </c>
      <c r="B7798" s="138">
        <f>'Contracts Paid in CY 29'!F141</f>
        <v>14498</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I5" sqref="I5"/>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8" t="s">
        <v>1253</v>
      </c>
      <c r="B2" s="2428"/>
      <c r="C2" s="2428"/>
      <c r="D2" s="2428"/>
      <c r="E2" s="2428"/>
      <c r="F2" s="2428"/>
      <c r="G2" s="2428"/>
      <c r="H2" s="2428"/>
      <c r="I2" s="2428"/>
      <c r="J2" s="2428"/>
      <c r="K2" s="2428"/>
      <c r="L2" s="2428"/>
    </row>
    <row r="3" spans="1:29" ht="13.5" customHeight="1" x14ac:dyDescent="0.2">
      <c r="A3" s="2414" t="s">
        <v>1252</v>
      </c>
      <c r="B3" s="2414"/>
      <c r="C3" s="2414"/>
      <c r="D3" s="2414"/>
      <c r="E3" s="2414"/>
      <c r="F3" s="2414"/>
      <c r="G3" s="2414"/>
      <c r="H3" s="2414"/>
      <c r="I3" s="2414"/>
      <c r="J3" s="2414"/>
      <c r="K3" s="2414"/>
      <c r="L3" s="2414"/>
    </row>
    <row r="4" spans="1:29" ht="13.5" customHeight="1" x14ac:dyDescent="0.2">
      <c r="A4" s="2428" t="s">
        <v>1799</v>
      </c>
      <c r="B4" s="2445"/>
      <c r="C4" s="2445"/>
      <c r="D4" s="2445"/>
      <c r="E4" s="2445"/>
      <c r="F4" s="2445"/>
      <c r="G4" s="2445"/>
      <c r="H4" s="2445"/>
      <c r="I4" s="2445"/>
      <c r="J4" s="2445"/>
      <c r="K4" s="2445"/>
      <c r="L4" s="2445"/>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8" t="str">
        <f>COVER!A17</f>
        <v>South Pekin SD 137</v>
      </c>
      <c r="B7" s="2409"/>
      <c r="C7" s="2409"/>
      <c r="D7" s="2446"/>
      <c r="E7" s="2447">
        <f>COVER!A13</f>
        <v>53090137002</v>
      </c>
      <c r="F7" s="2448"/>
      <c r="G7" s="2415" t="str">
        <f>COVER!T23</f>
        <v>066-004355</v>
      </c>
      <c r="H7" s="2416"/>
      <c r="I7" s="2416"/>
      <c r="J7" s="2416"/>
      <c r="K7" s="2416"/>
      <c r="L7" s="2417"/>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8"/>
      <c r="B9" s="2419"/>
      <c r="C9" s="2419"/>
      <c r="D9" s="2419"/>
      <c r="E9" s="2419"/>
      <c r="F9" s="2420"/>
      <c r="G9" s="2421" t="str">
        <f>COVER!T13</f>
        <v>PHILLIPS, SALMI, &amp; ASSOCIATES, LLC</v>
      </c>
      <c r="H9" s="2422"/>
      <c r="I9" s="2422"/>
      <c r="J9" s="2422"/>
      <c r="K9" s="2422"/>
      <c r="L9" s="2423"/>
    </row>
    <row r="10" spans="1:29" ht="13.5" customHeight="1" x14ac:dyDescent="0.2">
      <c r="A10" s="2405" t="str">
        <f>COVER!A38</f>
        <v>Mr. Seth Mingus</v>
      </c>
      <c r="B10" s="2406"/>
      <c r="C10" s="2406"/>
      <c r="D10" s="2406"/>
      <c r="E10" s="2406"/>
      <c r="F10" s="2407"/>
      <c r="G10" s="2421" t="str">
        <f>COVER!T17</f>
        <v>112 SOUTH MAIN STREET</v>
      </c>
      <c r="H10" s="2434"/>
      <c r="I10" s="2434"/>
      <c r="J10" s="2434"/>
      <c r="K10" s="2434"/>
      <c r="L10" s="2435"/>
    </row>
    <row r="11" spans="1:29" ht="13.5" customHeight="1" x14ac:dyDescent="0.2">
      <c r="A11" s="1185" t="s">
        <v>1599</v>
      </c>
      <c r="B11" s="1186"/>
      <c r="C11" s="1187"/>
      <c r="D11" s="1192"/>
      <c r="E11" s="1187"/>
      <c r="F11" s="1191"/>
      <c r="G11" s="2421" t="str">
        <f>COVER!T19</f>
        <v>WASHINGTON</v>
      </c>
      <c r="H11" s="2434"/>
      <c r="I11" s="2434"/>
      <c r="J11" s="2434"/>
      <c r="K11" s="2434"/>
      <c r="L11" s="2435"/>
    </row>
    <row r="12" spans="1:29" ht="13.5" customHeight="1" x14ac:dyDescent="0.2">
      <c r="A12" s="2439" t="s">
        <v>1598</v>
      </c>
      <c r="B12" s="2440"/>
      <c r="C12" s="2440"/>
      <c r="D12" s="2440"/>
      <c r="E12" s="2440"/>
      <c r="F12" s="2441"/>
      <c r="G12" s="2436"/>
      <c r="H12" s="2437"/>
      <c r="I12" s="2437"/>
      <c r="J12" s="2437"/>
      <c r="K12" s="2437"/>
      <c r="L12" s="2438"/>
    </row>
    <row r="13" spans="1:29" ht="13.5" customHeight="1" x14ac:dyDescent="0.2">
      <c r="A13" s="2421"/>
      <c r="B13" s="2434"/>
      <c r="C13" s="2434"/>
      <c r="D13" s="2434"/>
      <c r="E13" s="2434"/>
      <c r="F13" s="2435"/>
      <c r="G13" s="2429" t="s">
        <v>1600</v>
      </c>
      <c r="H13" s="2430"/>
      <c r="I13" s="2442" t="str">
        <f>COVER!T25</f>
        <v>aphillips@psa-cpa.com</v>
      </c>
      <c r="J13" s="2443"/>
      <c r="K13" s="2443"/>
      <c r="L13" s="2444"/>
    </row>
    <row r="14" spans="1:29" ht="13.5" customHeight="1" x14ac:dyDescent="0.2">
      <c r="A14" s="2421" t="str">
        <f>COVER!A19</f>
        <v>206 WEST MAIN STREET</v>
      </c>
      <c r="B14" s="2434"/>
      <c r="C14" s="2434"/>
      <c r="D14" s="2434"/>
      <c r="E14" s="2434"/>
      <c r="F14" s="2435"/>
      <c r="G14" s="1196" t="s">
        <v>1247</v>
      </c>
      <c r="H14" s="1194"/>
      <c r="I14" s="1194"/>
      <c r="J14" s="1194"/>
      <c r="K14" s="1194"/>
      <c r="L14" s="1195"/>
    </row>
    <row r="15" spans="1:29" ht="13.5" customHeight="1" x14ac:dyDescent="0.2">
      <c r="A15" s="2421" t="str">
        <f>COVER!A21</f>
        <v>SOUTH PEKIN</v>
      </c>
      <c r="B15" s="2434"/>
      <c r="C15" s="2434"/>
      <c r="D15" s="2434"/>
      <c r="E15" s="2434"/>
      <c r="F15" s="2435"/>
      <c r="G15" s="2431" t="str">
        <f>COVER!T15</f>
        <v>AARON PHILLIPS</v>
      </c>
      <c r="H15" s="2432"/>
      <c r="I15" s="2432"/>
      <c r="J15" s="2432"/>
      <c r="K15" s="2432"/>
      <c r="L15" s="2433"/>
    </row>
    <row r="16" spans="1:29" ht="12.2" customHeight="1" x14ac:dyDescent="0.2">
      <c r="A16" s="2411">
        <f>COVER!A25</f>
        <v>61554</v>
      </c>
      <c r="B16" s="2412"/>
      <c r="C16" s="2412"/>
      <c r="D16" s="2412"/>
      <c r="E16" s="2412"/>
      <c r="F16" s="2413"/>
      <c r="G16" s="2424"/>
      <c r="H16" s="2425"/>
      <c r="I16" s="2425"/>
      <c r="J16" s="2425"/>
      <c r="K16" s="2425"/>
      <c r="L16" s="2426"/>
    </row>
    <row r="17" spans="1:13" ht="12.2" customHeight="1" x14ac:dyDescent="0.2">
      <c r="A17" s="2427"/>
      <c r="B17" s="2412"/>
      <c r="C17" s="2412"/>
      <c r="D17" s="2412"/>
      <c r="E17" s="2412"/>
      <c r="F17" s="2413"/>
      <c r="G17" s="1196" t="s">
        <v>1246</v>
      </c>
      <c r="H17" s="1194"/>
      <c r="I17" s="1194"/>
      <c r="J17" s="1194"/>
      <c r="K17" s="1198" t="s">
        <v>1245</v>
      </c>
      <c r="L17" s="1191"/>
      <c r="M17" s="1184"/>
    </row>
    <row r="18" spans="1:13" ht="12.2" customHeight="1" x14ac:dyDescent="0.2">
      <c r="A18" s="2405"/>
      <c r="B18" s="2406"/>
      <c r="C18" s="2406"/>
      <c r="D18" s="2406"/>
      <c r="E18" s="2406"/>
      <c r="F18" s="2407"/>
      <c r="G18" s="2408" t="str">
        <f>COVER!T21</f>
        <v>(309)-444-4909</v>
      </c>
      <c r="H18" s="2409"/>
      <c r="I18" s="2409"/>
      <c r="J18" s="2409"/>
      <c r="K18" s="2408" t="str">
        <f>COVER!X21</f>
        <v>(309)-444-8580</v>
      </c>
      <c r="L18" s="2410"/>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9" t="str">
        <f>'Single Audit Cover'!A7</f>
        <v>South Pekin SD 137</v>
      </c>
      <c r="B1" s="2445"/>
      <c r="C1" s="2445"/>
      <c r="D1" s="2445"/>
    </row>
    <row r="2" spans="1:11" s="1215" customFormat="1" ht="12.75" x14ac:dyDescent="0.2">
      <c r="A2" s="2450">
        <f>'Single Audit Cover'!E7</f>
        <v>53090137002</v>
      </c>
      <c r="B2" s="2451"/>
      <c r="C2" s="2451"/>
      <c r="D2" s="2451"/>
    </row>
    <row r="3" spans="1:11" s="1215" customFormat="1" ht="12.75" x14ac:dyDescent="0.2">
      <c r="A3" s="2449" t="s">
        <v>1593</v>
      </c>
      <c r="B3" s="2445"/>
      <c r="C3" s="2445"/>
      <c r="D3" s="2445"/>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0" sqref="D10"/>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3" t="str">
        <f>'Single Audit Cover'!A7</f>
        <v>South Pekin SD 137</v>
      </c>
      <c r="B1" s="2453"/>
      <c r="C1" s="2453"/>
      <c r="D1" s="2453"/>
      <c r="E1" s="2453"/>
    </row>
    <row r="2" spans="1:5" x14ac:dyDescent="0.2">
      <c r="A2" s="2454">
        <f>'Single Audit Cover'!E7</f>
        <v>53090137002</v>
      </c>
      <c r="B2" s="2454"/>
      <c r="C2" s="2454"/>
      <c r="D2" s="2454"/>
      <c r="E2" s="2454"/>
    </row>
    <row r="3" spans="1:5" ht="4.5" customHeight="1" x14ac:dyDescent="0.2"/>
    <row r="4" spans="1:5" x14ac:dyDescent="0.2">
      <c r="A4" s="2453" t="s">
        <v>1307</v>
      </c>
      <c r="B4" s="2453"/>
      <c r="C4" s="2453"/>
      <c r="D4" s="2453"/>
      <c r="E4" s="2453"/>
    </row>
    <row r="5" spans="1:5" x14ac:dyDescent="0.2">
      <c r="A5" s="2456" t="str">
        <f>'Single Audit Cover'!A4</f>
        <v>Year Ending June 30, 2018</v>
      </c>
      <c r="B5" s="2456"/>
      <c r="C5" s="2456"/>
      <c r="D5" s="2456"/>
      <c r="E5" s="2456"/>
    </row>
    <row r="6" spans="1:5" x14ac:dyDescent="0.2">
      <c r="A6" s="2453" t="s">
        <v>1306</v>
      </c>
      <c r="B6" s="2453"/>
      <c r="C6" s="2453"/>
      <c r="D6" s="2453"/>
      <c r="E6" s="2453"/>
    </row>
    <row r="8" spans="1:5" x14ac:dyDescent="0.2">
      <c r="A8" s="1260" t="s">
        <v>1305</v>
      </c>
    </row>
    <row r="10" spans="1:5" x14ac:dyDescent="0.2">
      <c r="A10" s="1261" t="s">
        <v>1304</v>
      </c>
      <c r="B10" s="1262" t="s">
        <v>1303</v>
      </c>
      <c r="C10" s="1262"/>
      <c r="D10" s="1263">
        <f>SUM('Acct Summary 7-8'!C7:K7)</f>
        <v>306210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12029</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-11879</v>
      </c>
    </row>
    <row r="19" spans="1:4" ht="13.5" thickBot="1" x14ac:dyDescent="0.25">
      <c r="A19" s="1265" t="s">
        <v>1297</v>
      </c>
      <c r="D19" s="1266">
        <f>SUM(D10:D17)</f>
        <v>306360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5"/>
      <c r="B24" s="2455"/>
      <c r="D24" s="1268"/>
    </row>
    <row r="25" spans="1:4" x14ac:dyDescent="0.2">
      <c r="A25" s="2452"/>
      <c r="B25" s="2452"/>
      <c r="D25" s="1268"/>
    </row>
    <row r="26" spans="1:4" x14ac:dyDescent="0.2">
      <c r="A26" s="2452"/>
      <c r="B26" s="2452"/>
      <c r="D26" s="1268"/>
    </row>
    <row r="27" spans="1:4" x14ac:dyDescent="0.2">
      <c r="A27" s="2452"/>
      <c r="B27" s="2452"/>
      <c r="D27" s="1268"/>
    </row>
    <row r="28" spans="1:4" x14ac:dyDescent="0.2">
      <c r="A28" s="2452"/>
      <c r="B28" s="2452"/>
      <c r="D28" s="1268"/>
    </row>
    <row r="29" spans="1:4" x14ac:dyDescent="0.2">
      <c r="A29" s="2452"/>
      <c r="B29" s="2452"/>
      <c r="D29" s="1268"/>
    </row>
    <row r="30" spans="1:4" x14ac:dyDescent="0.2">
      <c r="A30" s="2452"/>
      <c r="B30" s="2452"/>
      <c r="D30" s="1268"/>
    </row>
    <row r="32" spans="1:4" x14ac:dyDescent="0.2">
      <c r="A32" s="1260" t="s">
        <v>1295</v>
      </c>
      <c r="D32" s="1263">
        <f>SUM(D19:D30)</f>
        <v>306360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2"/>
      <c r="B40" s="2452"/>
      <c r="D40" s="1268"/>
    </row>
    <row r="41" spans="1:4" x14ac:dyDescent="0.2">
      <c r="A41" s="2452"/>
      <c r="B41" s="2452"/>
      <c r="D41" s="1271"/>
    </row>
    <row r="42" spans="1:4" x14ac:dyDescent="0.2">
      <c r="A42" s="2452"/>
      <c r="B42" s="2452"/>
      <c r="D42" s="1271"/>
    </row>
    <row r="43" spans="1:4" x14ac:dyDescent="0.2">
      <c r="A43" s="2452"/>
      <c r="B43" s="2452"/>
      <c r="D43" s="1271"/>
    </row>
    <row r="44" spans="1:4" x14ac:dyDescent="0.2">
      <c r="A44" s="2452"/>
      <c r="B44" s="2452"/>
      <c r="D44" s="1271"/>
    </row>
    <row r="45" spans="1:4" x14ac:dyDescent="0.2">
      <c r="A45" s="2452"/>
      <c r="B45" s="2452"/>
      <c r="D45" s="1271"/>
    </row>
    <row r="47" spans="1:4" x14ac:dyDescent="0.2">
      <c r="B47" s="1272" t="s">
        <v>1289</v>
      </c>
      <c r="C47" s="1272"/>
      <c r="D47" s="1273">
        <f>SUM(D35:D45)</f>
        <v>0</v>
      </c>
    </row>
    <row r="49" spans="2:4" x14ac:dyDescent="0.2">
      <c r="B49" s="1272" t="s">
        <v>1288</v>
      </c>
      <c r="C49" s="1272"/>
      <c r="D49" s="1273">
        <f>D32-D47</f>
        <v>306360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South Pekin SD 137</v>
      </c>
      <c r="B1" s="2458"/>
      <c r="C1" s="2458"/>
      <c r="D1" s="2458"/>
      <c r="E1" s="2458"/>
      <c r="F1" s="2458"/>
    </row>
    <row r="2" spans="1:7" ht="13.5" customHeight="1" x14ac:dyDescent="0.2">
      <c r="A2" s="2459">
        <f>'Single Audit Cover'!E7</f>
        <v>53090137002</v>
      </c>
      <c r="B2" s="2459"/>
      <c r="C2" s="2459"/>
      <c r="D2" s="2459"/>
      <c r="E2" s="2459"/>
      <c r="F2" s="2459"/>
      <c r="G2" s="1275"/>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6" t="s">
        <v>1831</v>
      </c>
      <c r="C6" s="317"/>
      <c r="D6" s="317"/>
    </row>
    <row r="7" spans="1:7" ht="60.95" customHeight="1" x14ac:dyDescent="0.2">
      <c r="A7" s="2457" t="s">
        <v>1832</v>
      </c>
      <c r="B7" s="2457"/>
      <c r="C7" s="2457"/>
      <c r="D7" s="2457"/>
      <c r="E7" s="2457"/>
      <c r="F7" s="2457"/>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18"/>
      <c r="D11" s="1280"/>
      <c r="E11" s="1918"/>
      <c r="F11" s="1280"/>
      <c r="G11" s="1278"/>
    </row>
    <row r="12" spans="1:7" x14ac:dyDescent="0.2">
      <c r="A12" s="1276" t="s">
        <v>1669</v>
      </c>
      <c r="C12" s="1260"/>
      <c r="D12" s="1260"/>
    </row>
    <row r="13" spans="1:7" ht="15" customHeight="1" x14ac:dyDescent="0.2">
      <c r="A13" s="2457" t="s">
        <v>1834</v>
      </c>
      <c r="B13" s="2457"/>
      <c r="C13" s="2457"/>
      <c r="D13" s="2457"/>
      <c r="E13" s="2457"/>
      <c r="F13" s="2457"/>
    </row>
    <row r="14" spans="1:7" ht="9.75" customHeight="1" x14ac:dyDescent="0.2">
      <c r="C14" s="1260"/>
      <c r="D14" s="1260"/>
    </row>
    <row r="15" spans="1:7" ht="13.5" customHeight="1" x14ac:dyDescent="0.2">
      <c r="C15" s="1871" t="s">
        <v>1332</v>
      </c>
      <c r="D15" s="2463" t="s">
        <v>1331</v>
      </c>
      <c r="E15" s="2463"/>
      <c r="F15" s="2463"/>
    </row>
    <row r="16" spans="1:7" ht="13.5" customHeight="1" x14ac:dyDescent="0.2">
      <c r="A16" s="1282"/>
      <c r="B16" s="1276" t="s">
        <v>1330</v>
      </c>
      <c r="C16" s="1871" t="s">
        <v>1329</v>
      </c>
      <c r="D16" s="2464" t="s">
        <v>1670</v>
      </c>
      <c r="E16" s="2464"/>
      <c r="F16" s="2464"/>
    </row>
    <row r="17" spans="1:6" ht="20.45" customHeight="1" x14ac:dyDescent="0.2">
      <c r="A17" s="1283"/>
      <c r="B17" s="1284"/>
      <c r="C17" s="1285"/>
      <c r="D17" s="2462"/>
      <c r="E17" s="2462"/>
      <c r="F17" s="2462"/>
    </row>
    <row r="18" spans="1:6" ht="20.65" customHeight="1" x14ac:dyDescent="0.2">
      <c r="A18" s="1283"/>
      <c r="B18" s="1284"/>
      <c r="C18" s="1285"/>
      <c r="D18" s="2462"/>
      <c r="E18" s="2462"/>
      <c r="F18" s="2462"/>
    </row>
    <row r="19" spans="1:6" ht="20.65" customHeight="1" x14ac:dyDescent="0.2">
      <c r="A19" s="1283"/>
      <c r="B19" s="1284"/>
      <c r="C19" s="1285"/>
      <c r="D19" s="2462"/>
      <c r="E19" s="2462"/>
      <c r="F19" s="2462"/>
    </row>
    <row r="20" spans="1:6" ht="20.65" customHeight="1" x14ac:dyDescent="0.2">
      <c r="A20" s="1283"/>
      <c r="B20" s="1284"/>
      <c r="C20" s="1285"/>
      <c r="D20" s="2462"/>
      <c r="E20" s="2462"/>
      <c r="F20" s="2462"/>
    </row>
    <row r="21" spans="1:6" ht="20.65" customHeight="1" x14ac:dyDescent="0.2">
      <c r="A21" s="1283"/>
      <c r="B21" s="1284"/>
      <c r="C21" s="1285"/>
      <c r="D21" s="2462"/>
      <c r="E21" s="2462"/>
      <c r="F21" s="2462"/>
    </row>
    <row r="22" spans="1:6" ht="20.65" customHeight="1" x14ac:dyDescent="0.2">
      <c r="A22" s="1283"/>
      <c r="B22" s="1284"/>
      <c r="C22" s="1285"/>
      <c r="D22" s="2462"/>
      <c r="E22" s="2462"/>
      <c r="F22" s="2462"/>
    </row>
    <row r="23" spans="1:6" ht="20.65" customHeight="1" x14ac:dyDescent="0.2">
      <c r="A23" s="1283"/>
      <c r="B23" s="1284"/>
      <c r="C23" s="1285"/>
      <c r="D23" s="2462"/>
      <c r="E23" s="2462"/>
      <c r="F23" s="2462"/>
    </row>
    <row r="24" spans="1:6" ht="20.65" customHeight="1" x14ac:dyDescent="0.2">
      <c r="A24" s="1283"/>
      <c r="B24" s="1284"/>
      <c r="C24" s="1285"/>
      <c r="D24" s="2462"/>
      <c r="E24" s="2462"/>
      <c r="F24" s="2462"/>
    </row>
    <row r="25" spans="1:6" ht="20.65" customHeight="1" x14ac:dyDescent="0.2">
      <c r="A25" s="1283"/>
      <c r="B25" s="1284"/>
      <c r="C25" s="1285"/>
      <c r="D25" s="2462"/>
      <c r="E25" s="2462"/>
      <c r="F25" s="2462"/>
    </row>
    <row r="26" spans="1:6" ht="20.65" customHeight="1" x14ac:dyDescent="0.2">
      <c r="A26" s="1283"/>
      <c r="B26" s="1284"/>
      <c r="C26" s="1285"/>
      <c r="D26" s="2462"/>
      <c r="E26" s="2462"/>
      <c r="F26" s="2462"/>
    </row>
    <row r="27" spans="1:6" ht="20.65" customHeight="1" x14ac:dyDescent="0.2">
      <c r="A27" s="1283"/>
      <c r="B27" s="1284"/>
      <c r="C27" s="1285"/>
      <c r="D27" s="2462"/>
      <c r="E27" s="2462"/>
      <c r="F27" s="2462"/>
    </row>
    <row r="28" spans="1:6" ht="20.65" customHeight="1" x14ac:dyDescent="0.2">
      <c r="A28" s="1283"/>
      <c r="B28" s="1284"/>
      <c r="C28" s="1285"/>
      <c r="D28" s="2462"/>
      <c r="E28" s="2462"/>
      <c r="F28" s="2462"/>
    </row>
    <row r="29" spans="1:6" ht="20.65" customHeight="1" x14ac:dyDescent="0.2">
      <c r="A29" s="1283"/>
      <c r="B29" s="1284"/>
      <c r="C29" s="1285"/>
      <c r="D29" s="2462"/>
      <c r="E29" s="2462"/>
      <c r="F29" s="2462"/>
    </row>
    <row r="30" spans="1:6" ht="12" customHeight="1" x14ac:dyDescent="0.2">
      <c r="A30" s="328"/>
      <c r="B30" s="328"/>
      <c r="C30" s="1478"/>
      <c r="D30" s="1919"/>
      <c r="E30" s="1286"/>
    </row>
    <row r="31" spans="1:6" ht="12" customHeight="1" x14ac:dyDescent="0.2">
      <c r="A31" s="1287" t="s">
        <v>1630</v>
      </c>
      <c r="B31" s="328"/>
      <c r="C31" s="1478"/>
      <c r="D31" s="1919"/>
      <c r="E31" s="1286"/>
    </row>
    <row r="32" spans="1:6" ht="30" customHeight="1" x14ac:dyDescent="0.2">
      <c r="A32" s="2466" t="s">
        <v>1835</v>
      </c>
      <c r="B32" s="2466"/>
      <c r="C32" s="2466"/>
      <c r="D32" s="2466"/>
      <c r="E32" s="2466"/>
      <c r="F32" s="2466"/>
    </row>
    <row r="33" spans="1:6" ht="13.5" customHeight="1" x14ac:dyDescent="0.2">
      <c r="A33" s="328" t="s">
        <v>1509</v>
      </c>
      <c r="B33" s="328"/>
      <c r="C33" s="1288">
        <v>0</v>
      </c>
      <c r="D33" s="1919"/>
      <c r="E33" s="1286"/>
    </row>
    <row r="34" spans="1:6" ht="13.5" customHeight="1" x14ac:dyDescent="0.2">
      <c r="A34" s="328" t="s">
        <v>1949</v>
      </c>
      <c r="B34" s="328"/>
      <c r="C34" s="1289">
        <v>0</v>
      </c>
      <c r="D34" s="1919" t="s">
        <v>1671</v>
      </c>
      <c r="E34" s="2467">
        <f>+C33+C34</f>
        <v>0</v>
      </c>
      <c r="F34" s="2468"/>
    </row>
    <row r="35" spans="1:6" ht="12" customHeight="1" x14ac:dyDescent="0.2">
      <c r="A35" s="328"/>
      <c r="B35" s="328"/>
      <c r="C35" s="1920"/>
      <c r="D35" s="1919"/>
      <c r="E35" s="1290"/>
      <c r="F35" s="1291"/>
    </row>
    <row r="36" spans="1:6" ht="13.5" customHeight="1" x14ac:dyDescent="0.2">
      <c r="A36" s="1287" t="s">
        <v>1631</v>
      </c>
      <c r="B36" s="328"/>
      <c r="C36" s="1478"/>
      <c r="D36" s="1919"/>
      <c r="E36" s="1286"/>
    </row>
    <row r="37" spans="1:6" ht="14.25" customHeight="1" x14ac:dyDescent="0.2">
      <c r="A37" s="328" t="s">
        <v>1563</v>
      </c>
      <c r="B37" s="328"/>
      <c r="C37" s="1921"/>
      <c r="D37" s="1919"/>
      <c r="E37" s="1286"/>
    </row>
    <row r="38" spans="1:6" ht="14.25" customHeight="1" x14ac:dyDescent="0.2">
      <c r="A38" s="328"/>
      <c r="B38" s="328" t="s">
        <v>1510</v>
      </c>
      <c r="C38" s="1292"/>
      <c r="D38" s="1919"/>
      <c r="E38" s="1286"/>
    </row>
    <row r="39" spans="1:6" ht="14.25" customHeight="1" x14ac:dyDescent="0.2">
      <c r="A39" s="328"/>
      <c r="B39" s="328" t="s">
        <v>1511</v>
      </c>
      <c r="C39" s="1292"/>
      <c r="D39" s="1919"/>
      <c r="E39" s="1286"/>
    </row>
    <row r="40" spans="1:6" ht="14.25" customHeight="1" x14ac:dyDescent="0.2">
      <c r="A40" s="328"/>
      <c r="B40" s="328" t="s">
        <v>1512</v>
      </c>
      <c r="C40" s="1292"/>
      <c r="D40" s="1919"/>
      <c r="E40" s="1286"/>
    </row>
    <row r="41" spans="1:6" ht="14.25" customHeight="1" x14ac:dyDescent="0.2">
      <c r="A41" s="328"/>
      <c r="B41" s="328" t="s">
        <v>1513</v>
      </c>
      <c r="C41" s="1292"/>
      <c r="D41" s="1919"/>
      <c r="E41" s="1286"/>
    </row>
    <row r="42" spans="1:6" ht="14.25" customHeight="1" x14ac:dyDescent="0.2">
      <c r="A42" s="328" t="s">
        <v>1514</v>
      </c>
      <c r="B42" s="328"/>
      <c r="C42" s="1917"/>
      <c r="D42" s="1919"/>
      <c r="E42" s="1286"/>
    </row>
    <row r="43" spans="1:6" ht="14.25" customHeight="1" x14ac:dyDescent="0.2">
      <c r="A43" s="328" t="s">
        <v>1515</v>
      </c>
      <c r="B43" s="328"/>
      <c r="C43" s="1293"/>
      <c r="D43" s="1919"/>
      <c r="E43" s="1286"/>
    </row>
    <row r="44" spans="1:6" ht="14.25" customHeight="1" x14ac:dyDescent="0.2">
      <c r="A44" s="328"/>
      <c r="B44" s="328"/>
      <c r="C44" s="1921" t="s">
        <v>1516</v>
      </c>
      <c r="D44" s="1919"/>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9" t="s">
        <v>1672</v>
      </c>
      <c r="C49" s="2469"/>
      <c r="D49" s="2469"/>
      <c r="E49" s="1399"/>
    </row>
    <row r="50" spans="1:5" s="1300" customFormat="1" ht="3.75" customHeight="1" x14ac:dyDescent="0.2">
      <c r="A50" s="1299"/>
      <c r="B50" s="1870"/>
      <c r="C50" s="1870"/>
      <c r="D50" s="1870"/>
      <c r="E50" s="1399"/>
    </row>
    <row r="51" spans="1:5" s="1300" customFormat="1" ht="20.25" customHeight="1" x14ac:dyDescent="0.2">
      <c r="A51" s="1301">
        <v>6</v>
      </c>
      <c r="B51" s="2465" t="s">
        <v>1632</v>
      </c>
      <c r="C51" s="2465"/>
      <c r="D51" s="2465"/>
    </row>
    <row r="52" spans="1:5" ht="14.25" customHeight="1" x14ac:dyDescent="0.2">
      <c r="A52" s="1301"/>
      <c r="B52" s="2465"/>
      <c r="C52" s="2465"/>
      <c r="D52" s="246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4" t="str">
        <f>'Single Audit Cover'!A7</f>
        <v>South Pekin SD 137</v>
      </c>
      <c r="C1" s="2470"/>
      <c r="D1" s="2470"/>
      <c r="E1" s="2470"/>
      <c r="F1" s="2470"/>
      <c r="G1" s="2470"/>
      <c r="H1" s="2470"/>
      <c r="I1" s="2470"/>
      <c r="J1" s="2470"/>
      <c r="K1" s="2470"/>
      <c r="L1" s="2470"/>
      <c r="M1" s="2470"/>
    </row>
    <row r="2" spans="2:14" ht="15" x14ac:dyDescent="0.2">
      <c r="B2" s="2459">
        <f>'Single Audit Cover'!E7</f>
        <v>53090137002</v>
      </c>
      <c r="C2" s="2459"/>
      <c r="D2" s="2459"/>
      <c r="E2" s="2459"/>
      <c r="F2" s="2459"/>
      <c r="G2" s="2459"/>
      <c r="H2" s="2459"/>
      <c r="I2" s="2459"/>
      <c r="J2" s="2459"/>
      <c r="K2" s="2459"/>
      <c r="L2" s="2459"/>
      <c r="M2" s="2459"/>
      <c r="N2" s="1302"/>
    </row>
    <row r="3" spans="2:14" ht="15" x14ac:dyDescent="0.2">
      <c r="B3" s="2471" t="s">
        <v>1281</v>
      </c>
      <c r="C3" s="2471"/>
      <c r="D3" s="2471"/>
      <c r="E3" s="2471"/>
      <c r="F3" s="2471"/>
      <c r="G3" s="2471"/>
      <c r="H3" s="2471"/>
      <c r="I3" s="2471"/>
      <c r="J3" s="2471"/>
      <c r="K3" s="2471"/>
      <c r="L3" s="2471"/>
      <c r="M3" s="2471"/>
      <c r="N3" s="1302"/>
    </row>
    <row r="4" spans="2:14" ht="15" x14ac:dyDescent="0.2">
      <c r="B4" s="2472" t="str">
        <f>'Single Audit Cover'!A4</f>
        <v>Year Ending June 30, 2018</v>
      </c>
      <c r="C4" s="2472"/>
      <c r="D4" s="2472"/>
      <c r="E4" s="2472"/>
      <c r="F4" s="2472"/>
      <c r="G4" s="2472"/>
      <c r="H4" s="2472"/>
      <c r="I4" s="2472"/>
      <c r="J4" s="2472"/>
      <c r="K4" s="2472"/>
      <c r="L4" s="2472"/>
      <c r="M4" s="2472"/>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62" colorId="8" zoomScale="80" zoomScaleNormal="8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1230</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2" t="s">
        <v>1731</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2" t="s">
        <v>331</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36161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1390</v>
      </c>
      <c r="B70" s="2095"/>
      <c r="C70" s="2095"/>
      <c r="D70" s="2095"/>
      <c r="E70" s="2096"/>
      <c r="F70" s="2096"/>
      <c r="G70" s="2096"/>
      <c r="H70" s="2096"/>
      <c r="I70" s="209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1387</v>
      </c>
      <c r="B83" s="2097"/>
      <c r="C83" s="2097"/>
      <c r="D83" s="209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9"/>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2082</v>
      </c>
      <c r="D114" s="208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1397</v>
      </c>
      <c r="D117" s="2090"/>
      <c r="E117" s="2091"/>
      <c r="F117" s="2091"/>
      <c r="G117" s="2091"/>
      <c r="H117" s="2091"/>
      <c r="I117" s="304"/>
    </row>
    <row r="118" spans="1:9" s="181" customFormat="1" ht="24" customHeight="1" x14ac:dyDescent="0.2">
      <c r="A118" s="316"/>
      <c r="B118" s="316"/>
      <c r="C118" s="316"/>
      <c r="D118" s="1964" t="s">
        <v>2136</v>
      </c>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F15" sqref="F15"/>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South Pekin SD 137</v>
      </c>
      <c r="C1" s="2478"/>
      <c r="D1" s="2478"/>
      <c r="E1" s="2478"/>
      <c r="F1" s="2478"/>
      <c r="G1" s="2478"/>
      <c r="H1" s="2478"/>
      <c r="I1" s="2478"/>
      <c r="J1" s="1422"/>
    </row>
    <row r="2" spans="2:10" s="317" customFormat="1" ht="12.75" customHeight="1" x14ac:dyDescent="0.2">
      <c r="B2" s="2479">
        <f>'Single Audit Cover'!E7</f>
        <v>53090137002</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t="s">
        <v>2081</v>
      </c>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2080</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c r="E29" s="2484"/>
      <c r="F29" s="2484"/>
      <c r="G29" s="2484"/>
      <c r="H29" s="2484"/>
      <c r="I29" s="2484"/>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5" t="s">
        <v>1854</v>
      </c>
      <c r="D37" s="2486"/>
      <c r="E37" s="2486"/>
      <c r="F37" s="2487"/>
      <c r="G37" s="2485" t="s">
        <v>1674</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91" t="s">
        <v>1675</v>
      </c>
      <c r="D43" s="2492"/>
      <c r="E43" s="2492"/>
      <c r="F43" s="2493"/>
      <c r="G43" s="2494">
        <f>SUM(G38:I42)</f>
        <v>0</v>
      </c>
      <c r="H43" s="2494"/>
      <c r="I43" s="2494"/>
    </row>
    <row r="44" spans="2:9" ht="12.75" customHeight="1" x14ac:dyDescent="0.2"/>
    <row r="45" spans="2:9" ht="12.75" customHeight="1" x14ac:dyDescent="0.2">
      <c r="B45" s="1435" t="s">
        <v>1952</v>
      </c>
      <c r="D45" s="2495">
        <v>0</v>
      </c>
      <c r="E45" s="2496"/>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7"/>
      <c r="F49" s="2497"/>
      <c r="G49" s="2497"/>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H13" sqref="H1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South Pekin SD 137</v>
      </c>
      <c r="C1" s="2477"/>
      <c r="D1" s="2477"/>
      <c r="E1" s="2477"/>
      <c r="F1" s="2477"/>
      <c r="G1" s="2477"/>
      <c r="H1" s="2477"/>
      <c r="I1" s="2477"/>
      <c r="J1" s="2477"/>
      <c r="K1" s="2477"/>
      <c r="L1" s="1374"/>
      <c r="M1" s="1374"/>
    </row>
    <row r="2" spans="1:13" ht="12" customHeight="1" x14ac:dyDescent="0.2">
      <c r="B2" s="2479">
        <f>'Single Audit Cover'!E7</f>
        <v>53090137002</v>
      </c>
      <c r="C2" s="2479"/>
      <c r="D2" s="2479"/>
      <c r="E2" s="2479"/>
      <c r="F2" s="2479"/>
      <c r="G2" s="2479"/>
      <c r="H2" s="2479"/>
      <c r="I2" s="2479"/>
      <c r="J2" s="2479"/>
      <c r="K2" s="2479"/>
      <c r="L2" s="1375"/>
      <c r="M2" s="1376"/>
    </row>
    <row r="3" spans="1:13" ht="10.35" customHeight="1" x14ac:dyDescent="0.2">
      <c r="B3" s="2500" t="s">
        <v>1347</v>
      </c>
      <c r="C3" s="2500"/>
      <c r="D3" s="2500"/>
      <c r="E3" s="2500"/>
      <c r="F3" s="2500"/>
      <c r="G3" s="2500"/>
      <c r="H3" s="2500"/>
      <c r="I3" s="2500"/>
      <c r="J3" s="2500"/>
      <c r="K3" s="2500"/>
      <c r="L3" s="1377"/>
      <c r="M3" s="1377"/>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1" t="s">
        <v>1363</v>
      </c>
      <c r="C7" s="2501"/>
      <c r="D7" s="2502"/>
      <c r="E7" s="2502"/>
      <c r="F7" s="2502"/>
      <c r="G7" s="2502"/>
      <c r="H7" s="2502"/>
      <c r="I7" s="2502"/>
      <c r="J7" s="2502"/>
      <c r="K7" s="250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t="s">
        <v>2077</v>
      </c>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v>2018</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9" t="s">
        <v>2105</v>
      </c>
      <c r="C14" s="2499"/>
      <c r="D14" s="2499"/>
      <c r="E14" s="2499"/>
      <c r="F14" s="2499"/>
      <c r="G14" s="2499"/>
      <c r="H14" s="2499"/>
      <c r="I14" s="2499"/>
      <c r="J14" s="2499"/>
      <c r="K14" s="249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9" t="s">
        <v>2106</v>
      </c>
      <c r="C17" s="2499"/>
      <c r="D17" s="2499"/>
      <c r="E17" s="2499"/>
      <c r="F17" s="2499"/>
      <c r="G17" s="2499"/>
      <c r="H17" s="2499"/>
      <c r="I17" s="2499"/>
      <c r="J17" s="2499"/>
      <c r="K17" s="2499"/>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3" t="s">
        <v>2109</v>
      </c>
      <c r="C20" s="2503"/>
      <c r="D20" s="2499"/>
      <c r="E20" s="2499"/>
      <c r="F20" s="2499"/>
      <c r="G20" s="2499"/>
      <c r="H20" s="2499"/>
      <c r="I20" s="2499"/>
      <c r="J20" s="2499"/>
      <c r="K20" s="2499"/>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9" t="s">
        <v>2108</v>
      </c>
      <c r="C23" s="2499"/>
      <c r="D23" s="2499"/>
      <c r="E23" s="2499"/>
      <c r="F23" s="2499"/>
      <c r="G23" s="2499"/>
      <c r="H23" s="2499"/>
      <c r="I23" s="2499"/>
      <c r="J23" s="2499"/>
      <c r="K23" s="2499"/>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9" t="s">
        <v>2107</v>
      </c>
      <c r="C26" s="2499"/>
      <c r="D26" s="2499"/>
      <c r="E26" s="2499"/>
      <c r="F26" s="2499"/>
      <c r="G26" s="2499"/>
      <c r="H26" s="2499"/>
      <c r="I26" s="2499"/>
      <c r="J26" s="2499"/>
      <c r="K26" s="2499"/>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8" t="s">
        <v>2110</v>
      </c>
      <c r="C29" s="2498"/>
      <c r="D29" s="2499"/>
      <c r="E29" s="2499"/>
      <c r="F29" s="2499"/>
      <c r="G29" s="2499"/>
      <c r="H29" s="2499"/>
      <c r="I29" s="2499"/>
      <c r="J29" s="2499"/>
      <c r="K29" s="249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8" t="s">
        <v>2111</v>
      </c>
      <c r="C32" s="2498"/>
      <c r="D32" s="2499"/>
      <c r="E32" s="2499"/>
      <c r="F32" s="2499"/>
      <c r="G32" s="2499"/>
      <c r="H32" s="2499"/>
      <c r="I32" s="2499"/>
      <c r="J32" s="2499"/>
      <c r="K32" s="2499"/>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4" t="str">
        <f>'Single Audit Cover'!A7</f>
        <v>South Pekin SD 137</v>
      </c>
      <c r="C1" s="2504"/>
      <c r="D1" s="2504"/>
      <c r="E1" s="2504"/>
      <c r="F1" s="2504"/>
      <c r="G1" s="2504"/>
      <c r="H1" s="2504"/>
      <c r="I1" s="2504"/>
      <c r="J1" s="2504"/>
      <c r="K1" s="2504"/>
      <c r="L1" s="1465"/>
    </row>
    <row r="2" spans="1:12" ht="12.75" customHeight="1" x14ac:dyDescent="0.2">
      <c r="B2" s="2505">
        <f>'Single Audit Cover'!E7</f>
        <v>53090137002</v>
      </c>
      <c r="C2" s="2505"/>
      <c r="D2" s="2505"/>
      <c r="E2" s="2505"/>
      <c r="F2" s="2505"/>
      <c r="G2" s="2505"/>
      <c r="H2" s="2505"/>
      <c r="I2" s="2505"/>
      <c r="J2" s="2505"/>
      <c r="K2" s="2505"/>
      <c r="L2" s="1466"/>
    </row>
    <row r="3" spans="1:12" ht="12.75" customHeight="1" x14ac:dyDescent="0.2">
      <c r="B3" s="2500" t="s">
        <v>1347</v>
      </c>
      <c r="C3" s="2500"/>
      <c r="D3" s="2500"/>
      <c r="E3" s="2500"/>
      <c r="F3" s="2500"/>
      <c r="G3" s="2500"/>
      <c r="H3" s="2500"/>
      <c r="I3" s="2500"/>
      <c r="J3" s="2500"/>
      <c r="K3" s="2500"/>
      <c r="L3" s="1377"/>
    </row>
    <row r="4" spans="1:12" ht="12.75" customHeight="1" x14ac:dyDescent="0.2">
      <c r="B4" s="2500" t="str">
        <f>'Single Audit Cover'!A4</f>
        <v>Year Ending June 30, 2018</v>
      </c>
      <c r="C4" s="2500"/>
      <c r="D4" s="2500"/>
      <c r="E4" s="2500"/>
      <c r="F4" s="2500"/>
      <c r="G4" s="2500"/>
      <c r="H4" s="2500"/>
      <c r="I4" s="2500"/>
      <c r="J4" s="2500"/>
      <c r="K4" s="2500"/>
      <c r="L4" s="1377"/>
    </row>
    <row r="5" spans="1:12" ht="5.25" customHeight="1" x14ac:dyDescent="0.2">
      <c r="B5" s="1260" t="s">
        <v>1231</v>
      </c>
      <c r="C5" s="1260"/>
      <c r="L5" s="322"/>
    </row>
    <row r="6" spans="1:12" ht="30.75" customHeight="1" x14ac:dyDescent="0.2">
      <c r="A6" s="322"/>
      <c r="B6" s="2506" t="s">
        <v>1375</v>
      </c>
      <c r="C6" s="2506"/>
      <c r="D6" s="2506"/>
      <c r="E6" s="2506"/>
      <c r="F6" s="2506"/>
      <c r="G6" s="2506"/>
      <c r="H6" s="2506"/>
      <c r="I6" s="2506"/>
      <c r="J6" s="2506"/>
      <c r="K6" s="2506"/>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7"/>
      <c r="E14" s="2507"/>
      <c r="F14" s="2507"/>
      <c r="H14" s="1475" t="s">
        <v>1370</v>
      </c>
      <c r="I14" s="2508"/>
      <c r="J14" s="2508"/>
      <c r="K14" s="250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8"/>
      <c r="E16" s="2508"/>
      <c r="F16" s="2508"/>
      <c r="G16" s="2508"/>
      <c r="H16" s="2508"/>
      <c r="I16" s="2508"/>
      <c r="J16" s="2508"/>
      <c r="K16" s="2508"/>
      <c r="L16" s="322"/>
    </row>
    <row r="17" spans="2:12" ht="13.5" customHeight="1" x14ac:dyDescent="0.2">
      <c r="B17" s="1387" t="s">
        <v>1368</v>
      </c>
      <c r="C17" s="1387"/>
      <c r="D17" s="2509"/>
      <c r="E17" s="2509"/>
      <c r="F17" s="2509"/>
      <c r="G17" s="2509"/>
      <c r="H17" s="2509"/>
      <c r="I17" s="2509"/>
      <c r="J17" s="2509"/>
      <c r="K17" s="250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9"/>
      <c r="C20" s="2499"/>
      <c r="D20" s="2499"/>
      <c r="E20" s="2499"/>
      <c r="F20" s="2499"/>
      <c r="G20" s="2499"/>
      <c r="H20" s="2499"/>
      <c r="I20" s="2499"/>
      <c r="J20" s="2499"/>
      <c r="K20" s="249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9"/>
      <c r="C23" s="2499"/>
      <c r="D23" s="2499"/>
      <c r="E23" s="2499"/>
      <c r="F23" s="2499"/>
      <c r="G23" s="2499"/>
      <c r="H23" s="2499"/>
      <c r="I23" s="2499"/>
      <c r="J23" s="2499"/>
      <c r="K23" s="249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9"/>
      <c r="C26" s="2499"/>
      <c r="D26" s="2499"/>
      <c r="E26" s="2499"/>
      <c r="F26" s="2499"/>
      <c r="G26" s="2499"/>
      <c r="H26" s="2499"/>
      <c r="I26" s="2499"/>
      <c r="J26" s="2499"/>
      <c r="K26" s="249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9"/>
      <c r="C29" s="2499"/>
      <c r="D29" s="2499"/>
      <c r="E29" s="2499"/>
      <c r="F29" s="2499"/>
      <c r="G29" s="2499"/>
      <c r="H29" s="2499"/>
      <c r="I29" s="2499"/>
      <c r="J29" s="2499"/>
      <c r="K29" s="249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9"/>
      <c r="C32" s="2499"/>
      <c r="D32" s="2499"/>
      <c r="E32" s="2499"/>
      <c r="F32" s="2499"/>
      <c r="G32" s="2499"/>
      <c r="H32" s="2499"/>
      <c r="I32" s="2499"/>
      <c r="J32" s="2499"/>
      <c r="K32" s="249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9"/>
      <c r="C35" s="2499"/>
      <c r="D35" s="2499"/>
      <c r="E35" s="2499"/>
      <c r="F35" s="2499"/>
      <c r="G35" s="2499"/>
      <c r="H35" s="2499"/>
      <c r="I35" s="2499"/>
      <c r="J35" s="2499"/>
      <c r="K35" s="249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9"/>
      <c r="C38" s="2499"/>
      <c r="D38" s="2499"/>
      <c r="E38" s="2499"/>
      <c r="F38" s="2499"/>
      <c r="G38" s="2499"/>
      <c r="H38" s="2499"/>
      <c r="I38" s="2499"/>
      <c r="J38" s="2499"/>
      <c r="K38" s="249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9"/>
      <c r="C41" s="2499"/>
      <c r="D41" s="2499"/>
      <c r="E41" s="2499"/>
      <c r="F41" s="2499"/>
      <c r="G41" s="2499"/>
      <c r="H41" s="2499"/>
      <c r="I41" s="2499"/>
      <c r="J41" s="2499"/>
      <c r="K41" s="2499"/>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South Pekin SD 137</v>
      </c>
      <c r="C1" s="2477"/>
      <c r="D1" s="2477"/>
      <c r="E1" s="1491"/>
    </row>
    <row r="2" spans="2:5" s="1282" customFormat="1" ht="12.75" customHeight="1" x14ac:dyDescent="0.2">
      <c r="B2" s="2479">
        <f>'Single Audit Cover'!E7</f>
        <v>53090137002</v>
      </c>
      <c r="C2" s="2479"/>
      <c r="D2" s="2479"/>
      <c r="E2" s="1492"/>
    </row>
    <row r="3" spans="2:5" ht="12.75" customHeight="1" x14ac:dyDescent="0.2">
      <c r="B3" s="2500" t="s">
        <v>1869</v>
      </c>
      <c r="C3" s="2500"/>
      <c r="D3" s="2500"/>
      <c r="E3" s="1274"/>
    </row>
    <row r="4" spans="2:5" s="1282" customFormat="1" ht="12.75" customHeight="1" x14ac:dyDescent="0.2">
      <c r="B4" s="2510" t="str">
        <f>'Single Audit Cover'!A4</f>
        <v>Year Ending June 30, 2018</v>
      </c>
      <c r="C4" s="2510"/>
      <c r="D4" s="2510"/>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J42" sqref="J4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404</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14990405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1.3580999999999999E-2</v>
      </c>
      <c r="E10" s="356" t="s">
        <v>1062</v>
      </c>
      <c r="F10" s="355">
        <v>3.3279999999999998E-3</v>
      </c>
      <c r="G10" s="356" t="s">
        <v>1062</v>
      </c>
      <c r="H10" s="355">
        <v>1.488E-3</v>
      </c>
      <c r="I10" s="356" t="s">
        <v>1063</v>
      </c>
      <c r="J10" s="1754">
        <f>ROUND(D10+F10+H10,5)</f>
        <v>1.84E-2</v>
      </c>
      <c r="K10" s="222"/>
      <c r="L10" s="355">
        <v>3.1599999999999998E-4</v>
      </c>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2236535</v>
      </c>
      <c r="E16" s="356"/>
      <c r="F16" s="1755">
        <f>SUM('Acct Summary 7-8'!C17,'Acct Summary 7-8'!D17,'Acct Summary 7-8'!F17)</f>
        <v>2059004</v>
      </c>
      <c r="G16" s="356"/>
      <c r="H16" s="1755">
        <f>SUM(D16-F16)</f>
        <v>177531</v>
      </c>
      <c r="I16" s="222"/>
      <c r="J16" s="1755">
        <f>SUM('Acct Summary 7-8'!C81,'Acct Summary 7-8'!D81,'Acct Summary 7-8'!F81,'Acct Summary 7-8'!I81)</f>
        <v>1013208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1034337.9450000001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700000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2" zoomScale="110" zoomScaleNormal="110" workbookViewId="0">
      <selection activeCell="D12" sqref="D1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577</v>
      </c>
      <c r="B2" s="2127"/>
      <c r="C2" s="2127"/>
      <c r="D2" s="2127"/>
      <c r="E2" s="2127"/>
      <c r="F2" s="2127"/>
      <c r="G2" s="2127"/>
      <c r="H2" s="2127"/>
      <c r="I2" s="2127"/>
      <c r="J2" s="2127"/>
      <c r="K2" s="2127"/>
      <c r="L2" s="2127"/>
      <c r="M2" s="2127"/>
      <c r="N2" s="2127"/>
      <c r="O2" s="2127"/>
      <c r="P2" s="2127"/>
      <c r="Q2" s="2127"/>
      <c r="R2" s="2127"/>
    </row>
    <row r="3" spans="1:18" ht="12.75" x14ac:dyDescent="0.2">
      <c r="A3" s="2128" t="s">
        <v>1480</v>
      </c>
      <c r="B3" s="2128"/>
      <c r="C3" s="2128"/>
      <c r="D3" s="2128"/>
      <c r="E3" s="2128"/>
      <c r="F3" s="2128"/>
      <c r="G3" s="2128"/>
      <c r="H3" s="2128"/>
      <c r="I3" s="2128"/>
      <c r="J3" s="2128"/>
      <c r="K3" s="2128"/>
      <c r="L3" s="2128"/>
      <c r="M3" s="2128"/>
      <c r="N3" s="2128"/>
      <c r="O3" s="2128"/>
      <c r="P3" s="2128"/>
      <c r="Q3" s="2128"/>
      <c r="R3" s="2128"/>
    </row>
    <row r="4" spans="1:18" x14ac:dyDescent="0.2">
      <c r="A4" s="2129" t="s">
        <v>1635</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South Pekin SD 137</v>
      </c>
      <c r="E7" s="391"/>
      <c r="G7" s="252"/>
      <c r="H7" s="387"/>
      <c r="I7" s="387"/>
      <c r="J7" s="387"/>
      <c r="K7" s="387"/>
      <c r="L7" s="329"/>
      <c r="M7" s="329"/>
      <c r="N7" s="329"/>
      <c r="O7" s="329"/>
      <c r="P7" s="329"/>
    </row>
    <row r="8" spans="1:18" ht="12.75" x14ac:dyDescent="0.2">
      <c r="A8" s="329"/>
      <c r="B8" s="329"/>
      <c r="C8" s="389" t="s">
        <v>1187</v>
      </c>
      <c r="D8" s="392">
        <f>COVER!A13</f>
        <v>53090137002</v>
      </c>
      <c r="E8" s="393"/>
      <c r="G8" s="329"/>
      <c r="H8" s="329"/>
      <c r="I8" s="329"/>
      <c r="J8" s="329"/>
      <c r="K8" s="329"/>
      <c r="L8" s="329"/>
      <c r="M8" s="329"/>
      <c r="N8" s="329"/>
      <c r="O8" s="329"/>
      <c r="P8" s="329"/>
    </row>
    <row r="9" spans="1:18" ht="12.75" x14ac:dyDescent="0.2">
      <c r="A9" s="329"/>
      <c r="B9" s="329"/>
      <c r="C9" s="389" t="s">
        <v>737</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1013208</v>
      </c>
      <c r="I12" s="404"/>
      <c r="J12" s="404"/>
      <c r="K12" s="405">
        <f>TRUNC((H12/H13*100000),5)/100000</f>
        <v>0.45302577420000001</v>
      </c>
      <c r="L12" s="406"/>
      <c r="M12" s="360" t="s">
        <v>1206</v>
      </c>
      <c r="N12" s="360"/>
      <c r="O12" s="407">
        <v>0.35</v>
      </c>
      <c r="P12" s="218"/>
      <c r="Q12" s="218"/>
    </row>
    <row r="13" spans="1:18" s="408" customFormat="1" ht="12.75" x14ac:dyDescent="0.2">
      <c r="A13" s="218"/>
      <c r="B13" s="401"/>
      <c r="C13" s="2125" t="s">
        <v>1391</v>
      </c>
      <c r="D13" s="2126"/>
      <c r="E13" s="218"/>
      <c r="F13" s="409" t="s">
        <v>826</v>
      </c>
      <c r="G13" s="402"/>
      <c r="H13" s="403">
        <f>SUM('Acct Summary 7-8'!C8+'Acct Summary 7-8'!D8+'Acct Summary 7-8'!F8+'Acct Summary 7-8'!I8)+H14</f>
        <v>2236535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2059004</v>
      </c>
      <c r="I17" s="404"/>
      <c r="J17" s="416"/>
      <c r="K17" s="405">
        <f>TRUNC((H17/H18*100000),5)/100000</f>
        <v>0.92062230190000005</v>
      </c>
      <c r="L17" s="406"/>
      <c r="M17" s="417" t="s">
        <v>1233</v>
      </c>
      <c r="O17" s="418" t="str">
        <f>IF(AND(O16="2", J20 &gt; 2),"1",IF(AND(O16 = "1", J20 &gt; 2),"2",IF(AND(O16="1", J20 &gt;1),"1","0")))</f>
        <v>0</v>
      </c>
      <c r="P17" s="218"/>
    </row>
    <row r="18" spans="1:18" s="408" customFormat="1" ht="11.25" x14ac:dyDescent="0.2">
      <c r="A18" s="218"/>
      <c r="B18" s="401"/>
      <c r="C18" s="2125" t="s">
        <v>1384</v>
      </c>
      <c r="D18" s="2126"/>
      <c r="E18" s="218"/>
      <c r="F18" s="419" t="s">
        <v>827</v>
      </c>
      <c r="G18" s="402"/>
      <c r="H18" s="403">
        <f>SUM('Acct Summary 7-8'!C8+'Acct Summary 7-8'!D8+'Acct Summary 7-8'!F8+'Acct Summary 7-8'!I8)+H19</f>
        <v>2236535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2" t="s">
        <v>1479</v>
      </c>
      <c r="D24" s="2122"/>
      <c r="E24" s="218"/>
      <c r="F24" s="218" t="s">
        <v>465</v>
      </c>
      <c r="G24" s="402"/>
      <c r="H24" s="403">
        <f>SUM('Assets-Liab 5-6'!C4+'Assets-Liab 5-6'!D4+'Assets-Liab 5-6'!F4+'Assets-Liab 5-6'!I4+'Assets-Liab 5-6'!C5+'Assets-Liab 5-6'!D5+'Assets-Liab 5-6'!F5+'Assets-Liab 5-6'!I5)</f>
        <v>1013390</v>
      </c>
      <c r="I24" s="422"/>
      <c r="J24" s="422"/>
      <c r="K24" s="423">
        <f>TRUNC(((H24/H25*100000)/100000),2)</f>
        <v>177.18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5719.4555600000003</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234449.93419999999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700000</v>
      </c>
      <c r="I32" s="420"/>
      <c r="J32" s="420"/>
      <c r="K32" s="423">
        <f>TRUNC(100-((((H32/H33*100))*100)/100),2)</f>
        <v>32.32</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1034337.9450000001</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A16" colorId="8" zoomScale="80" zoomScaleNormal="80" workbookViewId="0">
      <selection activeCell="D42" sqref="D4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2" t="s">
        <v>1030</v>
      </c>
      <c r="B3" s="2133"/>
      <c r="C3" s="1581"/>
      <c r="D3" s="1582"/>
      <c r="E3" s="1582"/>
      <c r="F3" s="1582"/>
      <c r="G3" s="1582"/>
      <c r="H3" s="1582"/>
      <c r="I3" s="1582"/>
      <c r="J3" s="1582"/>
      <c r="K3" s="1582"/>
      <c r="L3" s="1582"/>
      <c r="M3" s="1583"/>
      <c r="N3" s="1584"/>
    </row>
    <row r="4" spans="1:14" ht="13.5" customHeight="1" x14ac:dyDescent="0.2">
      <c r="A4" s="463" t="s">
        <v>1750</v>
      </c>
      <c r="B4" s="464"/>
      <c r="C4" s="465">
        <v>850190</v>
      </c>
      <c r="D4" s="466">
        <v>31966</v>
      </c>
      <c r="E4" s="466">
        <v>551</v>
      </c>
      <c r="F4" s="466">
        <v>27631</v>
      </c>
      <c r="G4" s="466">
        <v>32389</v>
      </c>
      <c r="H4" s="466"/>
      <c r="I4" s="466">
        <v>103603</v>
      </c>
      <c r="J4" s="467">
        <v>14473</v>
      </c>
      <c r="K4" s="466"/>
      <c r="L4" s="466">
        <v>10222</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850190</v>
      </c>
      <c r="D13" s="1759">
        <f t="shared" ref="D13:L13" si="0">SUM(D4:D12)</f>
        <v>31966</v>
      </c>
      <c r="E13" s="1759">
        <f t="shared" si="0"/>
        <v>551</v>
      </c>
      <c r="F13" s="1759">
        <f t="shared" si="0"/>
        <v>27631</v>
      </c>
      <c r="G13" s="1759">
        <f t="shared" si="0"/>
        <v>32389</v>
      </c>
      <c r="H13" s="1759">
        <f t="shared" si="0"/>
        <v>0</v>
      </c>
      <c r="I13" s="1759">
        <f t="shared" si="0"/>
        <v>103603</v>
      </c>
      <c r="J13" s="1759">
        <f t="shared" si="0"/>
        <v>14473</v>
      </c>
      <c r="K13" s="1759">
        <f t="shared" si="0"/>
        <v>0</v>
      </c>
      <c r="L13" s="1759">
        <f t="shared" si="0"/>
        <v>10222</v>
      </c>
      <c r="M13" s="468"/>
      <c r="N13" s="469"/>
    </row>
    <row r="14" spans="1:14" ht="18" customHeight="1" thickTop="1" x14ac:dyDescent="0.2">
      <c r="A14" s="2134" t="s">
        <v>149</v>
      </c>
      <c r="B14" s="2135"/>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3351</v>
      </c>
      <c r="N16" s="484"/>
    </row>
    <row r="17" spans="1:14" s="485" customFormat="1" ht="12.75" customHeight="1" x14ac:dyDescent="0.2">
      <c r="A17" s="482" t="s">
        <v>1470</v>
      </c>
      <c r="B17" s="483">
        <v>230</v>
      </c>
      <c r="C17" s="477"/>
      <c r="D17" s="477"/>
      <c r="E17" s="477"/>
      <c r="F17" s="477"/>
      <c r="G17" s="477"/>
      <c r="H17" s="477"/>
      <c r="I17" s="477"/>
      <c r="J17" s="477"/>
      <c r="K17" s="477"/>
      <c r="L17" s="477"/>
      <c r="M17" s="467">
        <v>2058011</v>
      </c>
      <c r="N17" s="484"/>
    </row>
    <row r="18" spans="1:14" s="485" customFormat="1" ht="12.75" customHeight="1" x14ac:dyDescent="0.2">
      <c r="A18" s="482" t="s">
        <v>1471</v>
      </c>
      <c r="B18" s="483">
        <v>240</v>
      </c>
      <c r="C18" s="477"/>
      <c r="D18" s="477"/>
      <c r="E18" s="477"/>
      <c r="F18" s="477"/>
      <c r="G18" s="477"/>
      <c r="H18" s="477"/>
      <c r="I18" s="477"/>
      <c r="J18" s="477"/>
      <c r="K18" s="477"/>
      <c r="L18" s="477"/>
      <c r="M18" s="467">
        <v>10926</v>
      </c>
      <c r="N18" s="484"/>
    </row>
    <row r="19" spans="1:14" s="485" customFormat="1" ht="12.75" customHeight="1" x14ac:dyDescent="0.2">
      <c r="A19" s="482" t="s">
        <v>1472</v>
      </c>
      <c r="B19" s="483">
        <v>250</v>
      </c>
      <c r="C19" s="477"/>
      <c r="D19" s="477"/>
      <c r="E19" s="477"/>
      <c r="F19" s="477"/>
      <c r="G19" s="477"/>
      <c r="H19" s="477"/>
      <c r="I19" s="477"/>
      <c r="J19" s="477"/>
      <c r="K19" s="477"/>
      <c r="L19" s="477"/>
      <c r="M19" s="467">
        <v>68208</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551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699449</v>
      </c>
    </row>
    <row r="23" spans="1:14" ht="13.5" customHeight="1" thickBot="1" x14ac:dyDescent="0.25">
      <c r="A23" s="1758" t="s">
        <v>664</v>
      </c>
      <c r="B23" s="1763"/>
      <c r="C23" s="468"/>
      <c r="D23" s="468"/>
      <c r="E23" s="468"/>
      <c r="F23" s="468"/>
      <c r="G23" s="468"/>
      <c r="H23" s="468"/>
      <c r="I23" s="468"/>
      <c r="J23" s="468"/>
      <c r="K23" s="468"/>
      <c r="L23" s="468"/>
      <c r="M23" s="1710">
        <f>SUM(M15:M22)</f>
        <v>2140496</v>
      </c>
      <c r="N23" s="1710">
        <f>SUM(N21:N22)</f>
        <v>700000</v>
      </c>
    </row>
    <row r="24" spans="1:14" ht="18" customHeight="1" thickTop="1" x14ac:dyDescent="0.2">
      <c r="A24" s="2136" t="s">
        <v>619</v>
      </c>
      <c r="B24" s="2137"/>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182</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10222</v>
      </c>
      <c r="M33" s="468"/>
      <c r="N33" s="469"/>
    </row>
    <row r="34" spans="1:14" ht="13.5" customHeight="1" thickBot="1" x14ac:dyDescent="0.25">
      <c r="A34" s="1760" t="s">
        <v>675</v>
      </c>
      <c r="B34" s="1761"/>
      <c r="C34" s="1762">
        <f>SUM(C25:C33)</f>
        <v>182</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10222</v>
      </c>
      <c r="M34" s="468"/>
      <c r="N34" s="480"/>
    </row>
    <row r="35" spans="1:14" ht="18" customHeight="1" thickTop="1" x14ac:dyDescent="0.2">
      <c r="A35" s="2138" t="s">
        <v>550</v>
      </c>
      <c r="B35" s="2139"/>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700000</v>
      </c>
    </row>
    <row r="37" spans="1:14" ht="13.5" thickBot="1" x14ac:dyDescent="0.25">
      <c r="A37" s="1758" t="s">
        <v>674</v>
      </c>
      <c r="B37" s="1763"/>
      <c r="C37" s="477"/>
      <c r="D37" s="477"/>
      <c r="E37" s="477"/>
      <c r="F37" s="477"/>
      <c r="G37" s="477"/>
      <c r="H37" s="477"/>
      <c r="I37" s="477"/>
      <c r="J37" s="477"/>
      <c r="K37" s="477"/>
      <c r="L37" s="480"/>
      <c r="M37" s="468"/>
      <c r="N37" s="1710">
        <f>SUM(N36:N36)</f>
        <v>700000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f>+'Acct Summary 7-8'!C81</f>
        <v>850008</v>
      </c>
      <c r="D39" s="466">
        <f>+'Acct Summary 7-8'!D81</f>
        <v>31966</v>
      </c>
      <c r="E39" s="466">
        <f>+'Acct Summary 7-8'!E81</f>
        <v>551</v>
      </c>
      <c r="F39" s="466">
        <f>+'Acct Summary 7-8'!F81</f>
        <v>27631</v>
      </c>
      <c r="G39" s="466">
        <f>+'Acct Summary 7-8'!G81</f>
        <v>32389</v>
      </c>
      <c r="H39" s="466">
        <f>+'Acct Summary 7-8'!H81</f>
        <v>0</v>
      </c>
      <c r="I39" s="466">
        <f>+'Acct Summary 7-8'!I81</f>
        <v>103603</v>
      </c>
      <c r="J39" s="467">
        <f>+'Acct Summary 7-8'!J81</f>
        <v>14473</v>
      </c>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2140496</v>
      </c>
      <c r="N40" s="497"/>
    </row>
    <row r="41" spans="1:14" ht="13.5" customHeight="1" thickBot="1" x14ac:dyDescent="0.25">
      <c r="A41" s="1758" t="s">
        <v>676</v>
      </c>
      <c r="B41" s="1728"/>
      <c r="C41" s="1710">
        <f>(SUM(C34,C37,C38,C39))</f>
        <v>850190</v>
      </c>
      <c r="D41" s="1710">
        <f t="shared" ref="D41:L41" si="2">SUM(D34,D37,D38:D39)</f>
        <v>31966</v>
      </c>
      <c r="E41" s="1710">
        <f t="shared" si="2"/>
        <v>551</v>
      </c>
      <c r="F41" s="1710">
        <f t="shared" si="2"/>
        <v>27631</v>
      </c>
      <c r="G41" s="1710">
        <f t="shared" si="2"/>
        <v>32389</v>
      </c>
      <c r="H41" s="1710">
        <f t="shared" si="2"/>
        <v>0</v>
      </c>
      <c r="I41" s="1710">
        <f t="shared" si="2"/>
        <v>103603</v>
      </c>
      <c r="J41" s="1710">
        <f t="shared" si="2"/>
        <v>14473</v>
      </c>
      <c r="K41" s="1710">
        <f t="shared" si="2"/>
        <v>0</v>
      </c>
      <c r="L41" s="1710">
        <f t="shared" si="2"/>
        <v>10222</v>
      </c>
      <c r="M41" s="1710">
        <f>SUM(M40)</f>
        <v>2140496</v>
      </c>
      <c r="N41" s="1710">
        <f>SUM(N37)</f>
        <v>700000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O12" sqref="O12"/>
      <selection pane="bottomLeft" activeCell="D8" sqref="D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0" t="s">
        <v>1237</v>
      </c>
      <c r="B3" s="2161"/>
      <c r="C3" s="1595"/>
      <c r="D3" s="1596"/>
      <c r="E3" s="1596"/>
      <c r="F3" s="1596"/>
      <c r="G3" s="1596"/>
      <c r="H3" s="1596"/>
      <c r="I3" s="1596"/>
      <c r="J3" s="1596"/>
      <c r="K3" s="1597"/>
      <c r="L3" s="506"/>
    </row>
    <row r="4" spans="1:13" ht="15.75" customHeight="1" x14ac:dyDescent="0.2">
      <c r="A4" s="1945" t="s">
        <v>1579</v>
      </c>
      <c r="B4" s="1946">
        <v>1000</v>
      </c>
      <c r="C4" s="1764">
        <f>'Revenues 9-14'!C109</f>
        <v>293522</v>
      </c>
      <c r="D4" s="1764">
        <f>'Revenues 9-14'!D109</f>
        <v>53620</v>
      </c>
      <c r="E4" s="1764">
        <f>'Revenues 9-14'!E109</f>
        <v>97980</v>
      </c>
      <c r="F4" s="1764">
        <f>'Revenues 9-14'!F109</f>
        <v>25122</v>
      </c>
      <c r="G4" s="1764">
        <f>'Revenues 9-14'!G109</f>
        <v>77213</v>
      </c>
      <c r="H4" s="1764">
        <f>'Revenues 9-14'!H109</f>
        <v>0</v>
      </c>
      <c r="I4" s="1764">
        <f>'Revenues 9-14'!I109</f>
        <v>5724</v>
      </c>
      <c r="J4" s="1764">
        <f>'Revenues 9-14'!J109</f>
        <v>22346</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1446945</v>
      </c>
      <c r="D6" s="1765">
        <f>'Revenues 9-14'!D173</f>
        <v>57000</v>
      </c>
      <c r="E6" s="1765">
        <f>'Revenues 9-14'!E173</f>
        <v>0</v>
      </c>
      <c r="F6" s="1765">
        <f>'Revenues 9-14'!F173</f>
        <v>48392</v>
      </c>
      <c r="G6" s="1765">
        <f>'Revenues 9-14'!G173</f>
        <v>26000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306210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2046677</v>
      </c>
      <c r="D8" s="1710">
        <f t="shared" ref="D8:K8" si="0">SUM(D4:D7)</f>
        <v>110620</v>
      </c>
      <c r="E8" s="1710">
        <f t="shared" si="0"/>
        <v>97980</v>
      </c>
      <c r="F8" s="1710">
        <f t="shared" si="0"/>
        <v>73514</v>
      </c>
      <c r="G8" s="1710">
        <f t="shared" si="0"/>
        <v>103213</v>
      </c>
      <c r="H8" s="1710">
        <f t="shared" si="0"/>
        <v>0</v>
      </c>
      <c r="I8" s="1710">
        <f t="shared" si="0"/>
        <v>5724</v>
      </c>
      <c r="J8" s="1710">
        <f t="shared" si="0"/>
        <v>22346</v>
      </c>
      <c r="K8" s="1710">
        <f t="shared" si="0"/>
        <v>0</v>
      </c>
      <c r="L8" s="347"/>
    </row>
    <row r="9" spans="1:13" ht="15.75" thickTop="1" x14ac:dyDescent="0.2">
      <c r="A9" s="514" t="s">
        <v>1752</v>
      </c>
      <c r="B9" s="515">
        <v>3998</v>
      </c>
      <c r="C9" s="481">
        <f>716710+12712</f>
        <v>729422</v>
      </c>
      <c r="D9" s="516"/>
      <c r="E9" s="481"/>
      <c r="F9" s="481"/>
      <c r="G9" s="517"/>
      <c r="H9" s="481"/>
      <c r="I9" s="509" t="s">
        <v>1231</v>
      </c>
      <c r="J9" s="478"/>
      <c r="K9" s="481"/>
      <c r="L9" s="347"/>
    </row>
    <row r="10" spans="1:13" s="519" customFormat="1" ht="13.5" thickBot="1" x14ac:dyDescent="0.25">
      <c r="A10" s="1758" t="s">
        <v>1235</v>
      </c>
      <c r="B10" s="1731"/>
      <c r="C10" s="1710">
        <f>SUM(C8:C9)</f>
        <v>2776099</v>
      </c>
      <c r="D10" s="1710">
        <f t="shared" ref="D10:K10" si="1">SUM(D8:D9)</f>
        <v>110620</v>
      </c>
      <c r="E10" s="1710">
        <f t="shared" si="1"/>
        <v>97980</v>
      </c>
      <c r="F10" s="1710">
        <f t="shared" si="1"/>
        <v>73514</v>
      </c>
      <c r="G10" s="1710">
        <f t="shared" si="1"/>
        <v>103213</v>
      </c>
      <c r="H10" s="1710">
        <f t="shared" si="1"/>
        <v>0</v>
      </c>
      <c r="I10" s="1710">
        <f t="shared" si="1"/>
        <v>5724</v>
      </c>
      <c r="J10" s="1710">
        <f t="shared" si="1"/>
        <v>22346</v>
      </c>
      <c r="K10" s="1710">
        <f t="shared" si="1"/>
        <v>0</v>
      </c>
      <c r="L10" s="518"/>
    </row>
    <row r="11" spans="1:13" s="519" customFormat="1" ht="16.7" customHeight="1" thickTop="1" x14ac:dyDescent="0.2">
      <c r="A11" s="2134" t="s">
        <v>1238</v>
      </c>
      <c r="B11" s="2135"/>
      <c r="C11" s="1592"/>
      <c r="D11" s="1593"/>
      <c r="E11" s="1593"/>
      <c r="F11" s="1593"/>
      <c r="G11" s="1593"/>
      <c r="H11" s="1593"/>
      <c r="I11" s="1593"/>
      <c r="J11" s="1593"/>
      <c r="K11" s="1594"/>
      <c r="L11" s="518"/>
    </row>
    <row r="12" spans="1:13" ht="15.75" customHeight="1" x14ac:dyDescent="0.2">
      <c r="A12" s="1598" t="s">
        <v>476</v>
      </c>
      <c r="B12" s="1600">
        <v>1000</v>
      </c>
      <c r="C12" s="1764">
        <f>'Expenditures 15-22'!K33</f>
        <v>1182640</v>
      </c>
      <c r="D12" s="520" t="s">
        <v>1231</v>
      </c>
      <c r="E12" s="468" t="s">
        <v>1231</v>
      </c>
      <c r="F12" s="468" t="s">
        <v>1231</v>
      </c>
      <c r="G12" s="1764">
        <f>'Expenditures 15-22'!K229</f>
        <v>27762</v>
      </c>
      <c r="H12" s="521"/>
      <c r="I12" s="468" t="s">
        <v>1231</v>
      </c>
      <c r="J12" s="468" t="s">
        <v>1231</v>
      </c>
      <c r="K12" s="521" t="s">
        <v>1231</v>
      </c>
      <c r="L12" s="347"/>
    </row>
    <row r="13" spans="1:13" ht="15.75" customHeight="1" x14ac:dyDescent="0.2">
      <c r="A13" s="1598" t="s">
        <v>477</v>
      </c>
      <c r="B13" s="1600">
        <v>2000</v>
      </c>
      <c r="C13" s="1765">
        <f>'Expenditures 15-22'!K74</f>
        <v>648114</v>
      </c>
      <c r="D13" s="1765">
        <f>'Expenditures 15-22'!K129</f>
        <v>106979</v>
      </c>
      <c r="E13" s="469" t="s">
        <v>1231</v>
      </c>
      <c r="F13" s="1765">
        <f>'Expenditures 15-22'!K184</f>
        <v>65266</v>
      </c>
      <c r="G13" s="1765">
        <f>'Expenditures 15-22'!K279</f>
        <v>54915</v>
      </c>
      <c r="H13" s="1765">
        <f>'Expenditures 15-22'!K303</f>
        <v>0</v>
      </c>
      <c r="I13" s="468" t="s">
        <v>1231</v>
      </c>
      <c r="J13" s="1765">
        <f>'Expenditures 15-22'!K330</f>
        <v>17500</v>
      </c>
      <c r="K13" s="1769">
        <f>'Expenditures 15-22'!K352</f>
        <v>0</v>
      </c>
      <c r="L13" s="347"/>
    </row>
    <row r="14" spans="1:13" ht="15.75" customHeight="1" x14ac:dyDescent="0.2">
      <c r="A14" s="1598" t="s">
        <v>469</v>
      </c>
      <c r="B14" s="1600">
        <v>3000</v>
      </c>
      <c r="C14" s="1765">
        <f>'Expenditures 15-22'!K75</f>
        <v>598</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55407</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98192</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1886759</v>
      </c>
      <c r="D17" s="1710">
        <f t="shared" si="2"/>
        <v>106979</v>
      </c>
      <c r="E17" s="1710">
        <f t="shared" si="2"/>
        <v>98192</v>
      </c>
      <c r="F17" s="1710">
        <f t="shared" si="2"/>
        <v>65266</v>
      </c>
      <c r="G17" s="1710">
        <f t="shared" si="2"/>
        <v>82677</v>
      </c>
      <c r="H17" s="1710">
        <f t="shared" si="2"/>
        <v>0</v>
      </c>
      <c r="I17" s="468"/>
      <c r="J17" s="1710">
        <f>SUM(J12:J16)</f>
        <v>17500</v>
      </c>
      <c r="K17" s="1710">
        <f>SUM(K12:K16)</f>
        <v>0</v>
      </c>
      <c r="L17" s="347"/>
    </row>
    <row r="18" spans="1:12" ht="15" customHeight="1" thickTop="1" x14ac:dyDescent="0.2">
      <c r="A18" s="1766" t="s">
        <v>1753</v>
      </c>
      <c r="B18" s="1767">
        <v>4180</v>
      </c>
      <c r="C18" s="1764">
        <f t="shared" ref="C18:H18" si="3">C9</f>
        <v>729422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2616181</v>
      </c>
      <c r="D19" s="1710">
        <f t="shared" si="4"/>
        <v>106979</v>
      </c>
      <c r="E19" s="1710">
        <f t="shared" si="4"/>
        <v>98192</v>
      </c>
      <c r="F19" s="1710">
        <f t="shared" si="4"/>
        <v>65266</v>
      </c>
      <c r="G19" s="1710">
        <f t="shared" si="4"/>
        <v>82677</v>
      </c>
      <c r="H19" s="1710">
        <f t="shared" si="4"/>
        <v>0</v>
      </c>
      <c r="I19" s="468"/>
      <c r="J19" s="1710">
        <f>SUM(J17:J18)</f>
        <v>17500</v>
      </c>
      <c r="K19" s="1710">
        <f>SUM(K17:K18)</f>
        <v>0</v>
      </c>
      <c r="L19" s="347"/>
    </row>
    <row r="20" spans="1:12" ht="16.5" thickTop="1" thickBot="1" x14ac:dyDescent="0.25">
      <c r="A20" s="2150" t="s">
        <v>1754</v>
      </c>
      <c r="B20" s="2151"/>
      <c r="C20" s="1768">
        <f>C8-C17</f>
        <v>159918</v>
      </c>
      <c r="D20" s="1768">
        <f t="shared" ref="D20:K20" si="5">D8-D17</f>
        <v>3641</v>
      </c>
      <c r="E20" s="1768">
        <f t="shared" si="5"/>
        <v>-212</v>
      </c>
      <c r="F20" s="1768">
        <f t="shared" si="5"/>
        <v>8248</v>
      </c>
      <c r="G20" s="1768">
        <f t="shared" si="5"/>
        <v>20536</v>
      </c>
      <c r="H20" s="1768">
        <f t="shared" si="5"/>
        <v>0</v>
      </c>
      <c r="I20" s="1768">
        <f t="shared" si="5"/>
        <v>5724</v>
      </c>
      <c r="J20" s="1768">
        <f t="shared" si="5"/>
        <v>4846</v>
      </c>
      <c r="K20" s="1768">
        <f t="shared" si="5"/>
        <v>0</v>
      </c>
      <c r="L20" s="347"/>
    </row>
    <row r="21" spans="1:12" ht="16.7" customHeight="1" thickTop="1" x14ac:dyDescent="0.2">
      <c r="A21" s="2162" t="s">
        <v>616</v>
      </c>
      <c r="B21" s="2163"/>
      <c r="C21" s="1592"/>
      <c r="D21" s="1593"/>
      <c r="E21" s="1593"/>
      <c r="F21" s="1593"/>
      <c r="G21" s="1593"/>
      <c r="H21" s="1593"/>
      <c r="I21" s="1593"/>
      <c r="J21" s="1593"/>
      <c r="K21" s="1594"/>
      <c r="L21" s="524"/>
    </row>
    <row r="22" spans="1:12" ht="15.75" customHeight="1" collapsed="1" x14ac:dyDescent="0.2">
      <c r="A22" s="2158" t="s">
        <v>617</v>
      </c>
      <c r="B22" s="2159"/>
      <c r="C22" s="477"/>
      <c r="D22" s="477"/>
      <c r="E22" s="477"/>
      <c r="F22" s="477"/>
      <c r="G22" s="477"/>
      <c r="H22" s="477"/>
      <c r="I22" s="477"/>
      <c r="J22" s="477"/>
      <c r="K22" s="477"/>
      <c r="L22" s="347"/>
    </row>
    <row r="23" spans="1:12" s="485" customFormat="1" ht="15.75" customHeight="1" x14ac:dyDescent="0.2">
      <c r="A23" s="2154" t="s">
        <v>311</v>
      </c>
      <c r="B23" s="2155"/>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6" t="s">
        <v>1038</v>
      </c>
      <c r="B32" s="2157"/>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4" t="s">
        <v>392</v>
      </c>
      <c r="B44" s="2165"/>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8" t="s">
        <v>110</v>
      </c>
      <c r="B45" s="2159"/>
      <c r="C45" s="528"/>
      <c r="D45" s="528"/>
      <c r="E45" s="528"/>
      <c r="F45" s="528"/>
      <c r="G45" s="528"/>
      <c r="H45" s="528"/>
      <c r="I45" s="528"/>
      <c r="J45" s="528"/>
      <c r="K45" s="528"/>
      <c r="L45" s="347"/>
    </row>
    <row r="46" spans="1:12" s="485" customFormat="1" ht="15.75" customHeight="1" x14ac:dyDescent="0.2">
      <c r="A46" s="2166" t="s">
        <v>111</v>
      </c>
      <c r="B46" s="2167"/>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0" t="s">
        <v>460</v>
      </c>
      <c r="B76" s="2141"/>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2" t="s">
        <v>1239</v>
      </c>
      <c r="B77" s="2143"/>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6" t="s">
        <v>618</v>
      </c>
      <c r="B78" s="2147"/>
      <c r="C78" s="1724">
        <f t="shared" ref="C78:K78" si="9">C20+C77</f>
        <v>159918</v>
      </c>
      <c r="D78" s="1724">
        <f t="shared" si="9"/>
        <v>3641</v>
      </c>
      <c r="E78" s="1724">
        <f t="shared" si="9"/>
        <v>-212</v>
      </c>
      <c r="F78" s="1724">
        <f t="shared" si="9"/>
        <v>8248</v>
      </c>
      <c r="G78" s="1724">
        <f t="shared" si="9"/>
        <v>20536</v>
      </c>
      <c r="H78" s="1724">
        <f t="shared" si="9"/>
        <v>0</v>
      </c>
      <c r="I78" s="1724">
        <f t="shared" si="9"/>
        <v>5724</v>
      </c>
      <c r="J78" s="1724">
        <f t="shared" si="9"/>
        <v>4846</v>
      </c>
      <c r="K78" s="1724">
        <f t="shared" si="9"/>
        <v>0</v>
      </c>
      <c r="L78" s="533"/>
    </row>
    <row r="79" spans="1:12" ht="13.5" thickTop="1" x14ac:dyDescent="0.2">
      <c r="A79" s="1516" t="s">
        <v>2073</v>
      </c>
      <c r="B79" s="534"/>
      <c r="C79" s="478">
        <v>690090</v>
      </c>
      <c r="D79" s="535">
        <v>28325</v>
      </c>
      <c r="E79" s="535">
        <v>763</v>
      </c>
      <c r="F79" s="535">
        <v>19383</v>
      </c>
      <c r="G79" s="535">
        <v>11853</v>
      </c>
      <c r="H79" s="535"/>
      <c r="I79" s="535">
        <v>97879</v>
      </c>
      <c r="J79" s="535">
        <v>9627</v>
      </c>
      <c r="K79" s="535"/>
      <c r="L79" s="347"/>
    </row>
    <row r="80" spans="1:12" x14ac:dyDescent="0.2">
      <c r="A80" s="2152" t="s">
        <v>1898</v>
      </c>
      <c r="B80" s="2153"/>
      <c r="C80" s="467"/>
      <c r="D80" s="467"/>
      <c r="E80" s="467"/>
      <c r="F80" s="467"/>
      <c r="G80" s="467"/>
      <c r="H80" s="467"/>
      <c r="I80" s="467"/>
      <c r="J80" s="467"/>
      <c r="K80" s="467"/>
      <c r="L80" s="347"/>
    </row>
    <row r="81" spans="1:12" ht="13.5" thickBot="1" x14ac:dyDescent="0.25">
      <c r="A81" s="2144" t="s">
        <v>2074</v>
      </c>
      <c r="B81" s="2145"/>
      <c r="C81" s="1710">
        <f>(SUM(C78:C80))</f>
        <v>850008</v>
      </c>
      <c r="D81" s="1710">
        <f>SUM(D78:D80)</f>
        <v>31966</v>
      </c>
      <c r="E81" s="1710">
        <f t="shared" ref="E81:K81" si="10">SUM(E78:E80)</f>
        <v>551</v>
      </c>
      <c r="F81" s="1710">
        <f t="shared" si="10"/>
        <v>27631</v>
      </c>
      <c r="G81" s="1710">
        <f t="shared" si="10"/>
        <v>32389</v>
      </c>
      <c r="H81" s="1710">
        <f t="shared" si="10"/>
        <v>0</v>
      </c>
      <c r="I81" s="1710">
        <f t="shared" si="10"/>
        <v>103603</v>
      </c>
      <c r="J81" s="1710">
        <f t="shared" si="10"/>
        <v>14473</v>
      </c>
      <c r="K81" s="1710">
        <f t="shared" si="10"/>
        <v>0</v>
      </c>
      <c r="L81" s="347"/>
    </row>
    <row r="82" spans="1:12" ht="0.75" customHeight="1" thickTop="1" thickBot="1" x14ac:dyDescent="0.25">
      <c r="A82" s="536" t="s">
        <v>361</v>
      </c>
      <c r="B82" s="537"/>
      <c r="C82" s="538">
        <f>(C81-C79)</f>
        <v>159918</v>
      </c>
      <c r="D82" s="538">
        <f t="shared" ref="D82:K82" si="11">(D81-D79)</f>
        <v>3641</v>
      </c>
      <c r="E82" s="538">
        <f t="shared" si="11"/>
        <v>-212</v>
      </c>
      <c r="F82" s="538">
        <f t="shared" si="11"/>
        <v>8248</v>
      </c>
      <c r="G82" s="538">
        <f t="shared" si="11"/>
        <v>20536</v>
      </c>
      <c r="H82" s="538">
        <f t="shared" si="11"/>
        <v>0</v>
      </c>
      <c r="I82" s="538">
        <f t="shared" si="11"/>
        <v>5724</v>
      </c>
      <c r="J82" s="538">
        <f t="shared" si="11"/>
        <v>4846</v>
      </c>
      <c r="K82" s="538">
        <f t="shared" si="11"/>
        <v>0</v>
      </c>
    </row>
    <row r="83" spans="1:12" ht="14.25" hidden="1" thickTop="1" thickBot="1" x14ac:dyDescent="0.25">
      <c r="A83" s="539" t="s">
        <v>362</v>
      </c>
      <c r="B83" s="464"/>
      <c r="C83" s="540">
        <f>C82/C81</f>
        <v>0.1881370528277381</v>
      </c>
      <c r="D83" s="540">
        <f t="shared" ref="D83:K83" si="12">D82/D81</f>
        <v>0.1139022711631108</v>
      </c>
      <c r="E83" s="540">
        <f t="shared" si="12"/>
        <v>-0.38475499092558985</v>
      </c>
      <c r="F83" s="540">
        <f t="shared" si="12"/>
        <v>0.29850530201585174</v>
      </c>
      <c r="G83" s="540">
        <f t="shared" si="12"/>
        <v>0.63404242180987369</v>
      </c>
      <c r="H83" s="540" t="e">
        <f t="shared" si="12"/>
        <v>#DIV/0!</v>
      </c>
      <c r="I83" s="540">
        <f t="shared" si="12"/>
        <v>5.5249365365867782E-2</v>
      </c>
      <c r="J83" s="540">
        <f t="shared" si="12"/>
        <v>0.33483037379948871</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81" activePane="bottomLeft" state="frozen"/>
      <selection activeCell="O12" sqref="O12"/>
      <selection pane="bottomLeft" activeCell="C196" sqref="C19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8" t="s">
        <v>1905</v>
      </c>
      <c r="B1" s="452"/>
      <c r="C1" s="453" t="s">
        <v>445</v>
      </c>
      <c r="D1" s="453" t="s">
        <v>446</v>
      </c>
      <c r="E1" s="453" t="s">
        <v>447</v>
      </c>
      <c r="F1" s="453" t="s">
        <v>448</v>
      </c>
      <c r="G1" s="453" t="s">
        <v>449</v>
      </c>
      <c r="H1" s="453" t="s">
        <v>450</v>
      </c>
      <c r="I1" s="453" t="s">
        <v>451</v>
      </c>
      <c r="J1" s="453" t="s">
        <v>452</v>
      </c>
      <c r="K1" s="453" t="s">
        <v>780</v>
      </c>
    </row>
    <row r="2" spans="1:12" ht="36" x14ac:dyDescent="0.2">
      <c r="A2" s="214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194481</v>
      </c>
      <c r="D5" s="481">
        <v>47655</v>
      </c>
      <c r="E5" s="466">
        <v>97530</v>
      </c>
      <c r="F5" s="548">
        <v>21309</v>
      </c>
      <c r="G5" s="466">
        <v>29394</v>
      </c>
      <c r="H5" s="466"/>
      <c r="I5" s="466">
        <v>4530</v>
      </c>
      <c r="J5" s="467">
        <v>22185</v>
      </c>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2839</v>
      </c>
      <c r="D7" s="466"/>
      <c r="E7" s="468"/>
      <c r="F7" s="467"/>
      <c r="G7" s="467"/>
      <c r="H7" s="467"/>
      <c r="I7" s="468"/>
      <c r="J7" s="468"/>
      <c r="K7" s="468"/>
    </row>
    <row r="8" spans="1:12" x14ac:dyDescent="0.2">
      <c r="A8" s="463" t="s">
        <v>433</v>
      </c>
      <c r="B8" s="470">
        <v>1150</v>
      </c>
      <c r="C8" s="475"/>
      <c r="D8" s="475"/>
      <c r="E8" s="477"/>
      <c r="F8" s="477"/>
      <c r="G8" s="481">
        <v>29394</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197320</v>
      </c>
      <c r="D12" s="1729">
        <f t="shared" si="0"/>
        <v>47655</v>
      </c>
      <c r="E12" s="1729">
        <f t="shared" si="0"/>
        <v>97530</v>
      </c>
      <c r="F12" s="1729">
        <f t="shared" si="0"/>
        <v>21309</v>
      </c>
      <c r="G12" s="1729">
        <f t="shared" si="0"/>
        <v>58788</v>
      </c>
      <c r="H12" s="1729">
        <f t="shared" si="0"/>
        <v>0</v>
      </c>
      <c r="I12" s="1729">
        <f t="shared" si="0"/>
        <v>4530</v>
      </c>
      <c r="J12" s="1729">
        <f t="shared" si="0"/>
        <v>22185</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v>5404</v>
      </c>
      <c r="E16" s="466"/>
      <c r="F16" s="466"/>
      <c r="G16" s="466">
        <v>18053</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5404</v>
      </c>
      <c r="E18" s="1732">
        <f t="shared" si="1"/>
        <v>0</v>
      </c>
      <c r="F18" s="1732">
        <f t="shared" si="1"/>
        <v>0</v>
      </c>
      <c r="G18" s="1732">
        <f t="shared" si="1"/>
        <v>18053</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23854</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23854</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9153</v>
      </c>
      <c r="D65" s="466">
        <v>281</v>
      </c>
      <c r="E65" s="466">
        <v>450</v>
      </c>
      <c r="F65" s="467">
        <v>293</v>
      </c>
      <c r="G65" s="466">
        <v>372</v>
      </c>
      <c r="H65" s="466"/>
      <c r="I65" s="466">
        <v>1194</v>
      </c>
      <c r="J65" s="467">
        <v>161</v>
      </c>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9153</v>
      </c>
      <c r="D67" s="1710">
        <f t="shared" ref="D67:K67" si="2">SUM(D65:D66)</f>
        <v>281</v>
      </c>
      <c r="E67" s="1710">
        <f t="shared" si="2"/>
        <v>450</v>
      </c>
      <c r="F67" s="1710">
        <f t="shared" si="2"/>
        <v>293</v>
      </c>
      <c r="G67" s="1710">
        <f t="shared" si="2"/>
        <v>372</v>
      </c>
      <c r="H67" s="1710">
        <f t="shared" si="2"/>
        <v>0</v>
      </c>
      <c r="I67" s="1710">
        <f t="shared" si="2"/>
        <v>1194</v>
      </c>
      <c r="J67" s="1710">
        <f t="shared" si="2"/>
        <v>161</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840</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1117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1957</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4302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2018</v>
      </c>
      <c r="D81" s="466"/>
      <c r="E81" s="468"/>
      <c r="F81" s="468"/>
      <c r="G81" s="468"/>
      <c r="H81" s="468"/>
      <c r="I81" s="468"/>
      <c r="J81" s="468"/>
      <c r="K81" s="468"/>
    </row>
    <row r="82" spans="1:11" ht="12.75" customHeight="1" thickBot="1" x14ac:dyDescent="0.25">
      <c r="A82" s="1730" t="s">
        <v>259</v>
      </c>
      <c r="B82" s="1731"/>
      <c r="C82" s="1729">
        <f>SUM(C77:C81)</f>
        <v>6320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4084</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4084</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280</v>
      </c>
      <c r="E95" s="521"/>
      <c r="F95" s="521"/>
      <c r="G95" s="521"/>
      <c r="H95" s="521"/>
      <c r="I95" s="521"/>
      <c r="J95" s="521"/>
      <c r="K95" s="521"/>
    </row>
    <row r="96" spans="1:11" ht="12.75" customHeight="1" x14ac:dyDescent="0.2">
      <c r="A96" s="463" t="s">
        <v>409</v>
      </c>
      <c r="B96" s="470">
        <v>1920</v>
      </c>
      <c r="C96" s="551">
        <v>475</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22455</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20966</v>
      </c>
      <c r="D104" s="466"/>
      <c r="E104" s="481"/>
      <c r="F104" s="467">
        <v>3520</v>
      </c>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6938</v>
      </c>
      <c r="D107" s="466"/>
      <c r="E107" s="466"/>
      <c r="F107" s="466"/>
      <c r="G107" s="466"/>
      <c r="H107" s="466"/>
      <c r="I107" s="466"/>
      <c r="J107" s="467"/>
      <c r="K107" s="466"/>
    </row>
    <row r="108" spans="1:12" ht="12.75" customHeight="1" thickBot="1" x14ac:dyDescent="0.25">
      <c r="A108" s="1730" t="s">
        <v>508</v>
      </c>
      <c r="B108" s="1734"/>
      <c r="C108" s="1729">
        <f>SUM(C95:C107)</f>
        <v>50834</v>
      </c>
      <c r="D108" s="1729">
        <f t="shared" ref="D108:K108" si="3">SUM(D95:D107)</f>
        <v>280</v>
      </c>
      <c r="E108" s="1729">
        <f t="shared" si="3"/>
        <v>0</v>
      </c>
      <c r="F108" s="1729">
        <f t="shared" si="3"/>
        <v>3520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293522</v>
      </c>
      <c r="D109" s="1737">
        <f t="shared" si="4"/>
        <v>53620</v>
      </c>
      <c r="E109" s="1737">
        <f t="shared" si="4"/>
        <v>97980</v>
      </c>
      <c r="F109" s="1737">
        <f t="shared" si="4"/>
        <v>25122</v>
      </c>
      <c r="G109" s="1737">
        <f t="shared" si="4"/>
        <v>77213</v>
      </c>
      <c r="H109" s="1737">
        <f t="shared" si="4"/>
        <v>0</v>
      </c>
      <c r="I109" s="1737">
        <f t="shared" si="4"/>
        <v>5724</v>
      </c>
      <c r="J109" s="1737">
        <f t="shared" si="4"/>
        <v>22346</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1386893</v>
      </c>
      <c r="D117" s="481">
        <v>57000</v>
      </c>
      <c r="E117" s="466"/>
      <c r="F117" s="481">
        <v>13000</v>
      </c>
      <c r="G117" s="481">
        <v>26000</v>
      </c>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1386893</v>
      </c>
      <c r="D121" s="1729">
        <f t="shared" si="5"/>
        <v>57000</v>
      </c>
      <c r="E121" s="1729">
        <f t="shared" si="5"/>
        <v>0</v>
      </c>
      <c r="F121" s="1729">
        <f t="shared" si="5"/>
        <v>13000</v>
      </c>
      <c r="G121" s="1729">
        <f t="shared" si="5"/>
        <v>26000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17561</v>
      </c>
      <c r="D125" s="561"/>
      <c r="E125" s="468"/>
      <c r="F125" s="466"/>
      <c r="G125" s="468"/>
      <c r="H125" s="468"/>
      <c r="I125" s="468"/>
      <c r="J125" s="468"/>
      <c r="K125" s="468"/>
    </row>
    <row r="126" spans="1:11" ht="12.75" customHeight="1" x14ac:dyDescent="0.2">
      <c r="A126" s="463" t="s">
        <v>922</v>
      </c>
      <c r="B126" s="562">
        <v>3110</v>
      </c>
      <c r="C126" s="551">
        <v>37479</v>
      </c>
      <c r="D126" s="466"/>
      <c r="E126" s="468"/>
      <c r="F126" s="466"/>
      <c r="G126" s="468"/>
      <c r="H126" s="468"/>
      <c r="I126" s="468"/>
      <c r="J126" s="468"/>
      <c r="K126" s="468"/>
    </row>
    <row r="127" spans="1:11" ht="12.75" customHeight="1" x14ac:dyDescent="0.2">
      <c r="A127" s="463" t="s">
        <v>107</v>
      </c>
      <c r="B127" s="562">
        <v>3120</v>
      </c>
      <c r="C127" s="466">
        <v>3551</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58591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1461</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16017</v>
      </c>
      <c r="G151" s="467"/>
      <c r="H151" s="468"/>
      <c r="I151" s="468"/>
      <c r="J151" s="468"/>
      <c r="K151" s="468"/>
    </row>
    <row r="152" spans="1:11" ht="12.75" customHeight="1" x14ac:dyDescent="0.2">
      <c r="A152" s="463" t="s">
        <v>1117</v>
      </c>
      <c r="B152" s="562">
        <v>3510</v>
      </c>
      <c r="C152" s="551"/>
      <c r="D152" s="466"/>
      <c r="E152" s="561"/>
      <c r="F152" s="466">
        <v>19375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35392</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8" t="s">
        <v>418</v>
      </c>
      <c r="B172" s="2169"/>
      <c r="C172" s="1744">
        <f t="shared" ref="C172:K172" si="6">SUM(C131,C140,C144,C145:C149,C154,C155:C170,C171)</f>
        <v>60052</v>
      </c>
      <c r="D172" s="1744">
        <f t="shared" si="6"/>
        <v>0</v>
      </c>
      <c r="E172" s="1744">
        <f t="shared" si="6"/>
        <v>0</v>
      </c>
      <c r="F172" s="1744">
        <f t="shared" si="6"/>
        <v>35392</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1446945</v>
      </c>
      <c r="D173" s="1737">
        <f>SUM(D121,D172)</f>
        <v>57000</v>
      </c>
      <c r="E173" s="1737">
        <f>SUM(E121,E172)</f>
        <v>0</v>
      </c>
      <c r="F173" s="1737">
        <f t="shared" ref="F173:K173" si="7">SUM(F121,F172)</f>
        <v>48392</v>
      </c>
      <c r="G173" s="1737">
        <f t="shared" si="7"/>
        <v>26000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0" t="s">
        <v>1572</v>
      </c>
      <c r="B175" s="2171"/>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4" t="s">
        <v>1764</v>
      </c>
      <c r="B178" s="2175"/>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8" t="s">
        <v>1763</v>
      </c>
      <c r="B179" s="217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6" t="s">
        <v>818</v>
      </c>
      <c r="B184" s="2177"/>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2" t="s">
        <v>1906</v>
      </c>
      <c r="B185" s="2173"/>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v>3626</v>
      </c>
      <c r="D190" s="466"/>
      <c r="E190" s="561"/>
      <c r="F190" s="466"/>
      <c r="G190" s="466"/>
      <c r="H190" s="468"/>
      <c r="I190" s="468"/>
      <c r="J190" s="468"/>
      <c r="K190" s="468"/>
    </row>
    <row r="191" spans="1:11" ht="12.75" customHeight="1" thickBot="1" x14ac:dyDescent="0.25">
      <c r="A191" s="1730" t="s">
        <v>1697</v>
      </c>
      <c r="B191" s="1731"/>
      <c r="C191" s="1729">
        <f>SUM(C187:C190)</f>
        <v>3626</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74578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31443</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106021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125911</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125911</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12110</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25390</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37500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16578</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4695</v>
      </c>
      <c r="D270" s="576"/>
      <c r="E270" s="468"/>
      <c r="F270" s="576"/>
      <c r="G270" s="576"/>
      <c r="H270" s="468"/>
      <c r="I270" s="468"/>
      <c r="J270" s="468"/>
      <c r="K270" s="468"/>
    </row>
    <row r="271" spans="1:11" ht="12.75" customHeight="1" thickTop="1" thickBot="1" x14ac:dyDescent="0.25">
      <c r="A271" s="463" t="s">
        <v>395</v>
      </c>
      <c r="B271" s="470">
        <v>4992</v>
      </c>
      <c r="C271" s="575">
        <v>11879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306210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306210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2046677</v>
      </c>
      <c r="D275" s="1737">
        <f t="shared" si="12"/>
        <v>110620</v>
      </c>
      <c r="E275" s="1737">
        <f t="shared" si="12"/>
        <v>97980</v>
      </c>
      <c r="F275" s="1737">
        <f t="shared" si="12"/>
        <v>73514</v>
      </c>
      <c r="G275" s="1737">
        <f t="shared" si="12"/>
        <v>103213</v>
      </c>
      <c r="H275" s="1737">
        <f t="shared" si="12"/>
        <v>0</v>
      </c>
      <c r="I275" s="1737">
        <f t="shared" si="12"/>
        <v>5724</v>
      </c>
      <c r="J275" s="1737">
        <f t="shared" si="12"/>
        <v>22346</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Normal="110" zoomScaleSheetLayoutView="100" workbookViewId="0">
      <pane ySplit="2" topLeftCell="A321" activePane="bottomLeft" state="frozen"/>
      <selection activeCell="O12" sqref="O12"/>
      <selection pane="bottomLeft" activeCell="L114" sqref="L11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8"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8" t="s">
        <v>315</v>
      </c>
      <c r="B3" s="218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598492</v>
      </c>
      <c r="D5" s="466">
        <v>73028</v>
      </c>
      <c r="E5" s="466">
        <v>18872</v>
      </c>
      <c r="F5" s="466">
        <v>76339</v>
      </c>
      <c r="G5" s="466">
        <v>8268</v>
      </c>
      <c r="H5" s="466"/>
      <c r="I5" s="467"/>
      <c r="J5" s="467"/>
      <c r="K5" s="1693">
        <f>SUM(C5:J5)</f>
        <v>774999</v>
      </c>
      <c r="L5" s="466">
        <v>774995</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201218</v>
      </c>
      <c r="D8" s="466">
        <v>26700</v>
      </c>
      <c r="E8" s="466">
        <v>750</v>
      </c>
      <c r="F8" s="466">
        <v>1049</v>
      </c>
      <c r="G8" s="466"/>
      <c r="H8" s="466"/>
      <c r="I8" s="467"/>
      <c r="J8" s="467"/>
      <c r="K8" s="1693">
        <f t="shared" si="0"/>
        <v>229717</v>
      </c>
      <c r="L8" s="466">
        <v>229712</v>
      </c>
    </row>
    <row r="9" spans="1:14" x14ac:dyDescent="0.2">
      <c r="A9" s="1526" t="s">
        <v>745</v>
      </c>
      <c r="B9" s="615" t="s">
        <v>1025</v>
      </c>
      <c r="C9" s="467">
        <v>43810</v>
      </c>
      <c r="D9" s="467">
        <v>1234</v>
      </c>
      <c r="E9" s="467"/>
      <c r="F9" s="467"/>
      <c r="G9" s="467"/>
      <c r="H9" s="467"/>
      <c r="I9" s="467"/>
      <c r="J9" s="467"/>
      <c r="K9" s="1693">
        <f t="shared" si="0"/>
        <v>45044</v>
      </c>
      <c r="L9" s="466">
        <v>45042</v>
      </c>
    </row>
    <row r="10" spans="1:14" x14ac:dyDescent="0.2">
      <c r="A10" s="1526" t="s">
        <v>746</v>
      </c>
      <c r="B10" s="615">
        <v>1250</v>
      </c>
      <c r="C10" s="466">
        <v>59054</v>
      </c>
      <c r="D10" s="466">
        <v>10415</v>
      </c>
      <c r="E10" s="466"/>
      <c r="F10" s="466">
        <v>24253</v>
      </c>
      <c r="G10" s="466">
        <v>945</v>
      </c>
      <c r="H10" s="466"/>
      <c r="I10" s="467"/>
      <c r="J10" s="467"/>
      <c r="K10" s="1693">
        <f t="shared" si="0"/>
        <v>94667</v>
      </c>
      <c r="L10" s="466">
        <v>94664</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v>21482</v>
      </c>
      <c r="D14" s="466">
        <v>505</v>
      </c>
      <c r="E14" s="466">
        <v>5662</v>
      </c>
      <c r="F14" s="466">
        <v>3746</v>
      </c>
      <c r="G14" s="466"/>
      <c r="H14" s="466">
        <v>1653</v>
      </c>
      <c r="I14" s="467"/>
      <c r="J14" s="467"/>
      <c r="K14" s="1693">
        <f t="shared" si="0"/>
        <v>33048</v>
      </c>
      <c r="L14" s="466">
        <v>33047</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v>5165</v>
      </c>
      <c r="I22" s="617"/>
      <c r="J22" s="477"/>
      <c r="K22" s="1693">
        <f t="shared" si="0"/>
        <v>5165</v>
      </c>
      <c r="L22" s="471">
        <v>5165</v>
      </c>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924056</v>
      </c>
      <c r="D33" s="1692">
        <f t="shared" ref="D33:L33" si="1">SUM(D5:D32)</f>
        <v>111882</v>
      </c>
      <c r="E33" s="1692">
        <f t="shared" si="1"/>
        <v>25284</v>
      </c>
      <c r="F33" s="1692">
        <f t="shared" si="1"/>
        <v>105387</v>
      </c>
      <c r="G33" s="1692">
        <f t="shared" si="1"/>
        <v>9213</v>
      </c>
      <c r="H33" s="1692">
        <f t="shared" si="1"/>
        <v>6818</v>
      </c>
      <c r="I33" s="1692">
        <f t="shared" si="1"/>
        <v>0</v>
      </c>
      <c r="J33" s="1692">
        <f t="shared" si="1"/>
        <v>0</v>
      </c>
      <c r="K33" s="1692">
        <f t="shared" si="1"/>
        <v>1182640</v>
      </c>
      <c r="L33" s="1692">
        <f t="shared" si="1"/>
        <v>1182625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46056</v>
      </c>
      <c r="D36" s="481">
        <v>5516</v>
      </c>
      <c r="E36" s="481"/>
      <c r="F36" s="481">
        <v>102</v>
      </c>
      <c r="G36" s="481"/>
      <c r="H36" s="481"/>
      <c r="I36" s="467"/>
      <c r="J36" s="467"/>
      <c r="K36" s="1693">
        <f t="shared" ref="K36:K41" si="2">SUM(C36:J36)</f>
        <v>51674</v>
      </c>
      <c r="L36" s="466">
        <v>51671</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v>1743</v>
      </c>
      <c r="F38" s="466"/>
      <c r="G38" s="466"/>
      <c r="H38" s="466"/>
      <c r="I38" s="467"/>
      <c r="J38" s="467"/>
      <c r="K38" s="1693">
        <f t="shared" si="2"/>
        <v>1743</v>
      </c>
      <c r="L38" s="466">
        <v>1743</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48260</v>
      </c>
      <c r="D40" s="466">
        <v>5551</v>
      </c>
      <c r="E40" s="466"/>
      <c r="F40" s="466">
        <v>862</v>
      </c>
      <c r="G40" s="466"/>
      <c r="H40" s="466"/>
      <c r="I40" s="467"/>
      <c r="J40" s="467"/>
      <c r="K40" s="1693">
        <f t="shared" si="2"/>
        <v>54673</v>
      </c>
      <c r="L40" s="466">
        <v>54669</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94316</v>
      </c>
      <c r="D42" s="1692">
        <f t="shared" ref="D42:L42" si="3">SUM(D36:D41)</f>
        <v>11067</v>
      </c>
      <c r="E42" s="1692">
        <f t="shared" si="3"/>
        <v>1743</v>
      </c>
      <c r="F42" s="1692">
        <f t="shared" si="3"/>
        <v>964</v>
      </c>
      <c r="G42" s="1692">
        <f t="shared" si="3"/>
        <v>0</v>
      </c>
      <c r="H42" s="1692">
        <f t="shared" si="3"/>
        <v>0</v>
      </c>
      <c r="I42" s="1692">
        <f t="shared" si="3"/>
        <v>0</v>
      </c>
      <c r="J42" s="1692">
        <f t="shared" si="3"/>
        <v>0</v>
      </c>
      <c r="K42" s="1692">
        <f t="shared" si="3"/>
        <v>108090</v>
      </c>
      <c r="L42" s="1692">
        <f t="shared" si="3"/>
        <v>108083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v>17957</v>
      </c>
      <c r="F44" s="481"/>
      <c r="G44" s="481"/>
      <c r="H44" s="481"/>
      <c r="I44" s="467"/>
      <c r="J44" s="467"/>
      <c r="K44" s="1694">
        <f>SUM(C44:J44)</f>
        <v>17957</v>
      </c>
      <c r="L44" s="481">
        <v>17956</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v>18157</v>
      </c>
      <c r="F46" s="466"/>
      <c r="G46" s="466"/>
      <c r="H46" s="466"/>
      <c r="I46" s="467"/>
      <c r="J46" s="467"/>
      <c r="K46" s="1694">
        <f>SUM(C46:J46)</f>
        <v>18157</v>
      </c>
      <c r="L46" s="466">
        <v>18157</v>
      </c>
    </row>
    <row r="47" spans="1:14" ht="12.75" customHeight="1" thickBot="1" x14ac:dyDescent="0.25">
      <c r="A47" s="1690" t="s">
        <v>582</v>
      </c>
      <c r="B47" s="1691" t="s">
        <v>32</v>
      </c>
      <c r="C47" s="1692">
        <f>SUM(C44:C46)</f>
        <v>0</v>
      </c>
      <c r="D47" s="1692">
        <f t="shared" ref="D47:K47" si="4">SUM(D44:D46)</f>
        <v>0</v>
      </c>
      <c r="E47" s="1692">
        <f t="shared" si="4"/>
        <v>36114</v>
      </c>
      <c r="F47" s="1692">
        <f t="shared" si="4"/>
        <v>0</v>
      </c>
      <c r="G47" s="1692">
        <f t="shared" si="4"/>
        <v>0</v>
      </c>
      <c r="H47" s="1692">
        <f t="shared" si="4"/>
        <v>0</v>
      </c>
      <c r="I47" s="1692">
        <f t="shared" si="4"/>
        <v>0</v>
      </c>
      <c r="J47" s="1692">
        <f t="shared" si="4"/>
        <v>0</v>
      </c>
      <c r="K47" s="1692">
        <f t="shared" si="4"/>
        <v>36114</v>
      </c>
      <c r="L47" s="1692">
        <f>SUM(L44:L46)</f>
        <v>36113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2263</v>
      </c>
      <c r="D49" s="481"/>
      <c r="E49" s="481">
        <v>20728</v>
      </c>
      <c r="F49" s="481">
        <v>4859</v>
      </c>
      <c r="G49" s="481"/>
      <c r="H49" s="481">
        <v>2724</v>
      </c>
      <c r="I49" s="467"/>
      <c r="J49" s="467"/>
      <c r="K49" s="1694">
        <f>SUM(C49:J49)</f>
        <v>30574</v>
      </c>
      <c r="L49" s="481">
        <v>30570</v>
      </c>
    </row>
    <row r="50" spans="1:14" x14ac:dyDescent="0.2">
      <c r="A50" s="1526" t="s">
        <v>872</v>
      </c>
      <c r="B50" s="615">
        <v>2320</v>
      </c>
      <c r="C50" s="466">
        <v>66837</v>
      </c>
      <c r="D50" s="466">
        <v>8550</v>
      </c>
      <c r="E50" s="466">
        <v>8187</v>
      </c>
      <c r="F50" s="466">
        <v>1481</v>
      </c>
      <c r="G50" s="466"/>
      <c r="H50" s="466"/>
      <c r="I50" s="467"/>
      <c r="J50" s="467"/>
      <c r="K50" s="1694">
        <f>SUM(C50:J50)</f>
        <v>85055</v>
      </c>
      <c r="L50" s="466">
        <v>85051</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69100</v>
      </c>
      <c r="D53" s="1692">
        <f t="shared" ref="D53:L53" si="5">SUM(D49:D52)</f>
        <v>8550</v>
      </c>
      <c r="E53" s="1692">
        <f t="shared" si="5"/>
        <v>28915</v>
      </c>
      <c r="F53" s="1692">
        <f t="shared" si="5"/>
        <v>6340</v>
      </c>
      <c r="G53" s="1692">
        <f t="shared" si="5"/>
        <v>0</v>
      </c>
      <c r="H53" s="1692">
        <f t="shared" si="5"/>
        <v>2724</v>
      </c>
      <c r="I53" s="1692">
        <f t="shared" si="5"/>
        <v>0</v>
      </c>
      <c r="J53" s="1692">
        <f t="shared" si="5"/>
        <v>0</v>
      </c>
      <c r="K53" s="1692">
        <f t="shared" si="5"/>
        <v>115629</v>
      </c>
      <c r="L53" s="1692">
        <f t="shared" si="5"/>
        <v>115621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102663</v>
      </c>
      <c r="D55" s="481">
        <v>31336</v>
      </c>
      <c r="E55" s="481"/>
      <c r="F55" s="481"/>
      <c r="G55" s="481"/>
      <c r="H55" s="481"/>
      <c r="I55" s="467"/>
      <c r="J55" s="467"/>
      <c r="K55" s="1694">
        <f>SUM(C55:J55)</f>
        <v>133999</v>
      </c>
      <c r="L55" s="481">
        <v>134462</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102663</v>
      </c>
      <c r="D57" s="1696">
        <f t="shared" ref="D57:K57" si="6">SUM(D55:D56)</f>
        <v>31336</v>
      </c>
      <c r="E57" s="1696">
        <f t="shared" si="6"/>
        <v>0</v>
      </c>
      <c r="F57" s="1696">
        <f t="shared" si="6"/>
        <v>0</v>
      </c>
      <c r="G57" s="1696">
        <f t="shared" si="6"/>
        <v>0</v>
      </c>
      <c r="H57" s="1696">
        <f t="shared" si="6"/>
        <v>0</v>
      </c>
      <c r="I57" s="1696">
        <f t="shared" si="6"/>
        <v>0</v>
      </c>
      <c r="J57" s="1696">
        <f t="shared" si="6"/>
        <v>0</v>
      </c>
      <c r="K57" s="1696">
        <f t="shared" si="6"/>
        <v>133999</v>
      </c>
      <c r="L57" s="1692">
        <f>SUM(L55:L56)</f>
        <v>134462</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45977</v>
      </c>
      <c r="D60" s="466">
        <v>6638</v>
      </c>
      <c r="E60" s="466"/>
      <c r="F60" s="466"/>
      <c r="G60" s="466"/>
      <c r="H60" s="466"/>
      <c r="I60" s="467"/>
      <c r="J60" s="467"/>
      <c r="K60" s="1694">
        <f t="shared" si="7"/>
        <v>52615</v>
      </c>
      <c r="L60" s="466">
        <v>52615</v>
      </c>
      <c r="M60" s="610"/>
      <c r="N60" s="610"/>
    </row>
    <row r="61" spans="1:14" s="343" customFormat="1" x14ac:dyDescent="0.2">
      <c r="A61" s="1526" t="s">
        <v>206</v>
      </c>
      <c r="B61" s="615">
        <v>2540</v>
      </c>
      <c r="C61" s="466">
        <v>78249</v>
      </c>
      <c r="D61" s="466">
        <v>10088</v>
      </c>
      <c r="E61" s="466">
        <v>1899</v>
      </c>
      <c r="F61" s="466"/>
      <c r="G61" s="466"/>
      <c r="H61" s="466"/>
      <c r="I61" s="467"/>
      <c r="J61" s="467"/>
      <c r="K61" s="1694">
        <f t="shared" si="7"/>
        <v>90236</v>
      </c>
      <c r="L61" s="466">
        <v>90235</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43458</v>
      </c>
      <c r="D63" s="466">
        <v>5376</v>
      </c>
      <c r="E63" s="466">
        <v>983</v>
      </c>
      <c r="F63" s="466">
        <v>60364</v>
      </c>
      <c r="G63" s="466"/>
      <c r="H63" s="466"/>
      <c r="I63" s="467"/>
      <c r="J63" s="467"/>
      <c r="K63" s="1694">
        <f t="shared" si="7"/>
        <v>110181</v>
      </c>
      <c r="L63" s="466">
        <v>110179</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167684</v>
      </c>
      <c r="D65" s="1692">
        <f t="shared" ref="D65:L65" si="8">SUM(D59:D64)</f>
        <v>22102</v>
      </c>
      <c r="E65" s="1692">
        <f t="shared" si="8"/>
        <v>2882</v>
      </c>
      <c r="F65" s="1692">
        <f t="shared" si="8"/>
        <v>60364</v>
      </c>
      <c r="G65" s="1692">
        <f t="shared" si="8"/>
        <v>0</v>
      </c>
      <c r="H65" s="1692">
        <f t="shared" si="8"/>
        <v>0</v>
      </c>
      <c r="I65" s="1692">
        <f t="shared" si="8"/>
        <v>0</v>
      </c>
      <c r="J65" s="1692">
        <f t="shared" si="8"/>
        <v>0</v>
      </c>
      <c r="K65" s="1692">
        <f t="shared" si="8"/>
        <v>253032</v>
      </c>
      <c r="L65" s="1692">
        <f t="shared" si="8"/>
        <v>253029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v>1250</v>
      </c>
      <c r="G73" s="573"/>
      <c r="H73" s="573"/>
      <c r="I73" s="531"/>
      <c r="J73" s="531"/>
      <c r="K73" s="1692">
        <f>SUM(C73:J73)</f>
        <v>1250</v>
      </c>
      <c r="L73" s="576">
        <v>1250</v>
      </c>
      <c r="M73" s="610"/>
      <c r="N73" s="610"/>
    </row>
    <row r="74" spans="1:14" ht="12.75" customHeight="1" thickTop="1" thickBot="1" x14ac:dyDescent="0.25">
      <c r="A74" s="1690" t="s">
        <v>865</v>
      </c>
      <c r="B74" s="1698">
        <v>2000</v>
      </c>
      <c r="C74" s="1699">
        <f>SUM(C42,C47,C53,C57,C65,C72,C73)</f>
        <v>433763</v>
      </c>
      <c r="D74" s="1699">
        <f t="shared" ref="D74:K74" si="10">SUM(D42,D47,D53,D57,D65,D72,D73)</f>
        <v>73055</v>
      </c>
      <c r="E74" s="1699">
        <f t="shared" si="10"/>
        <v>69654</v>
      </c>
      <c r="F74" s="1699">
        <f t="shared" si="10"/>
        <v>68918</v>
      </c>
      <c r="G74" s="1699">
        <f t="shared" si="10"/>
        <v>0</v>
      </c>
      <c r="H74" s="1699">
        <f t="shared" si="10"/>
        <v>2724</v>
      </c>
      <c r="I74" s="1699">
        <f t="shared" si="10"/>
        <v>0</v>
      </c>
      <c r="J74" s="1699">
        <f t="shared" si="10"/>
        <v>0</v>
      </c>
      <c r="K74" s="1699">
        <f t="shared" si="10"/>
        <v>648114</v>
      </c>
      <c r="L74" s="1699">
        <f>SUM(L42,L47,L53,L57,L65,L72,L73)</f>
        <v>648558</v>
      </c>
    </row>
    <row r="75" spans="1:14" s="259" customFormat="1" ht="15.75" customHeight="1" thickTop="1" thickBot="1" x14ac:dyDescent="0.25">
      <c r="A75" s="1632" t="s">
        <v>49</v>
      </c>
      <c r="B75" s="1633" t="s">
        <v>596</v>
      </c>
      <c r="C75" s="573"/>
      <c r="D75" s="573"/>
      <c r="E75" s="573"/>
      <c r="F75" s="573">
        <v>598</v>
      </c>
      <c r="G75" s="573"/>
      <c r="H75" s="573"/>
      <c r="I75" s="531"/>
      <c r="J75" s="531"/>
      <c r="K75" s="1692">
        <f>SUM(C75:J75)</f>
        <v>598</v>
      </c>
      <c r="L75" s="576">
        <v>598</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315</v>
      </c>
      <c r="I78" s="477"/>
      <c r="J78" s="477"/>
      <c r="K78" s="1693">
        <f t="shared" ref="K78:K83" si="11">SUM(C78:J78)</f>
        <v>315</v>
      </c>
      <c r="L78" s="481">
        <v>315</v>
      </c>
    </row>
    <row r="79" spans="1:14" x14ac:dyDescent="0.2">
      <c r="A79" s="1526" t="s">
        <v>322</v>
      </c>
      <c r="B79" s="615">
        <v>4120</v>
      </c>
      <c r="C79" s="617"/>
      <c r="D79" s="617"/>
      <c r="E79" s="466">
        <v>20077</v>
      </c>
      <c r="F79" s="617"/>
      <c r="G79" s="617"/>
      <c r="H79" s="466"/>
      <c r="I79" s="477"/>
      <c r="J79" s="477"/>
      <c r="K79" s="1693">
        <f t="shared" si="11"/>
        <v>20077</v>
      </c>
      <c r="L79" s="466">
        <v>20077</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20077</v>
      </c>
      <c r="F84" s="617"/>
      <c r="G84" s="617"/>
      <c r="H84" s="1692">
        <f>SUM(H78:H83)</f>
        <v>315</v>
      </c>
      <c r="I84" s="477"/>
      <c r="J84" s="477"/>
      <c r="K84" s="1692">
        <f>SUM(K78:K83)</f>
        <v>20392</v>
      </c>
      <c r="L84" s="1692">
        <f>SUM(L78:L83)</f>
        <v>20392</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35015</v>
      </c>
      <c r="I86" s="477"/>
      <c r="J86" s="477"/>
      <c r="K86" s="1699">
        <f t="shared" ref="K86:K98" si="12">H86</f>
        <v>35015</v>
      </c>
      <c r="L86" s="530">
        <v>35051</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35015</v>
      </c>
      <c r="I92" s="477"/>
      <c r="J92" s="477"/>
      <c r="K92" s="1699">
        <f t="shared" si="12"/>
        <v>35015</v>
      </c>
      <c r="L92" s="1692">
        <f>SUM(L85:L91)</f>
        <v>35051</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862</v>
      </c>
    </row>
    <row r="102" spans="1:14" ht="12.75" customHeight="1" thickTop="1" thickBot="1" x14ac:dyDescent="0.25">
      <c r="A102" s="1690" t="s">
        <v>1567</v>
      </c>
      <c r="B102" s="1700">
        <v>4000</v>
      </c>
      <c r="C102" s="617"/>
      <c r="D102" s="617"/>
      <c r="E102" s="1699">
        <f>SUM(E84,E92,E100,E101)</f>
        <v>20077</v>
      </c>
      <c r="F102" s="617"/>
      <c r="G102" s="617"/>
      <c r="H102" s="1699">
        <f>SUM(H84,H92,H100,H101)</f>
        <v>35330</v>
      </c>
      <c r="I102" s="477"/>
      <c r="J102" s="477"/>
      <c r="K102" s="1699">
        <f>SUM(K84,K92,K100,K101)</f>
        <v>55407</v>
      </c>
      <c r="L102" s="1699">
        <f>SUM(L84,L92,L100,L101)</f>
        <v>56305</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1357819</v>
      </c>
      <c r="D114" s="1692">
        <f t="shared" ref="D114:K114" si="13">SUM(D33,D74,D75,D102,D112,D113)</f>
        <v>184937</v>
      </c>
      <c r="E114" s="1692">
        <f t="shared" si="13"/>
        <v>115015</v>
      </c>
      <c r="F114" s="1692">
        <f t="shared" si="13"/>
        <v>174903</v>
      </c>
      <c r="G114" s="1692">
        <f t="shared" si="13"/>
        <v>9213</v>
      </c>
      <c r="H114" s="1692">
        <f>SUM(H33,H74,H75,H102,H112,H113)</f>
        <v>44872</v>
      </c>
      <c r="I114" s="1692">
        <f t="shared" si="13"/>
        <v>0</v>
      </c>
      <c r="J114" s="1692">
        <f t="shared" si="13"/>
        <v>0</v>
      </c>
      <c r="K114" s="1692">
        <f t="shared" si="13"/>
        <v>1886759</v>
      </c>
      <c r="L114" s="1692">
        <f>SUM(L33,L74,L75,L102,L112,L113)</f>
        <v>1888086</v>
      </c>
    </row>
    <row r="115" spans="1:14" ht="13.5" thickTop="1" x14ac:dyDescent="0.2">
      <c r="A115" s="2180" t="s">
        <v>1053</v>
      </c>
      <c r="B115" s="2181"/>
      <c r="C115" s="619"/>
      <c r="D115" s="619"/>
      <c r="E115" s="619"/>
      <c r="F115" s="619"/>
      <c r="G115" s="619"/>
      <c r="H115" s="619"/>
      <c r="I115" s="619"/>
      <c r="J115" s="619"/>
      <c r="K115" s="1706">
        <f>'Revenues 9-14'!C275-'Expenditures 15-22'!K114</f>
        <v>159918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5" t="s">
        <v>314</v>
      </c>
      <c r="B117" s="218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v>26068</v>
      </c>
      <c r="F124" s="466">
        <v>59545</v>
      </c>
      <c r="G124" s="466">
        <v>21366</v>
      </c>
      <c r="H124" s="466"/>
      <c r="I124" s="467"/>
      <c r="J124" s="467"/>
      <c r="K124" s="1692">
        <f>SUM(C124:J124)</f>
        <v>106979</v>
      </c>
      <c r="L124" s="466">
        <v>106975</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26068</v>
      </c>
      <c r="F127" s="1692">
        <f t="shared" si="14"/>
        <v>59545</v>
      </c>
      <c r="G127" s="1692">
        <f t="shared" si="14"/>
        <v>21366</v>
      </c>
      <c r="H127" s="1692">
        <f t="shared" si="14"/>
        <v>0</v>
      </c>
      <c r="I127" s="1692">
        <f t="shared" si="14"/>
        <v>0</v>
      </c>
      <c r="J127" s="1692">
        <f t="shared" si="14"/>
        <v>0</v>
      </c>
      <c r="K127" s="1692">
        <f t="shared" si="14"/>
        <v>106979</v>
      </c>
      <c r="L127" s="1692">
        <f t="shared" si="14"/>
        <v>106975</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26068</v>
      </c>
      <c r="F129" s="1699">
        <f t="shared" si="15"/>
        <v>59545</v>
      </c>
      <c r="G129" s="1699">
        <f t="shared" si="15"/>
        <v>21366</v>
      </c>
      <c r="H129" s="1699">
        <f t="shared" si="15"/>
        <v>0</v>
      </c>
      <c r="I129" s="1699">
        <f t="shared" si="15"/>
        <v>0</v>
      </c>
      <c r="J129" s="1699">
        <f t="shared" si="15"/>
        <v>0</v>
      </c>
      <c r="K129" s="1699">
        <f t="shared" si="15"/>
        <v>106979</v>
      </c>
      <c r="L129" s="1699">
        <f t="shared" si="15"/>
        <v>106975</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7" t="s">
        <v>641</v>
      </c>
      <c r="B151" s="2177"/>
      <c r="C151" s="1692">
        <f>SUM(C129,C130,C139,C149,C150)</f>
        <v>0</v>
      </c>
      <c r="D151" s="1692">
        <f t="shared" ref="D151:K151" si="16">SUM(D129,D130,D139,D149,D150)</f>
        <v>0</v>
      </c>
      <c r="E151" s="1692">
        <f t="shared" si="16"/>
        <v>26068</v>
      </c>
      <c r="F151" s="1692">
        <f t="shared" si="16"/>
        <v>59545</v>
      </c>
      <c r="G151" s="1692">
        <f t="shared" si="16"/>
        <v>21366</v>
      </c>
      <c r="H151" s="1692">
        <f t="shared" si="16"/>
        <v>0</v>
      </c>
      <c r="I151" s="1692">
        <f t="shared" si="16"/>
        <v>0</v>
      </c>
      <c r="J151" s="1692">
        <f t="shared" si="16"/>
        <v>0</v>
      </c>
      <c r="K151" s="1692">
        <f t="shared" si="16"/>
        <v>106979</v>
      </c>
      <c r="L151" s="1692">
        <f>SUM(L129,L130,L139,L149,L150)</f>
        <v>106975</v>
      </c>
    </row>
    <row r="152" spans="1:14" ht="12.75" customHeight="1" thickTop="1" x14ac:dyDescent="0.2">
      <c r="A152" s="2200" t="s">
        <v>1240</v>
      </c>
      <c r="B152" s="2201"/>
      <c r="C152" s="619"/>
      <c r="D152" s="619"/>
      <c r="E152" s="619"/>
      <c r="F152" s="619"/>
      <c r="G152" s="619"/>
      <c r="H152" s="619"/>
      <c r="I152" s="619"/>
      <c r="J152" s="617"/>
      <c r="K152" s="1706">
        <f>'Revenues 9-14'!D275-'Expenditures 15-22'!K151</f>
        <v>3641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5" t="s">
        <v>642</v>
      </c>
      <c r="B154" s="218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47192</v>
      </c>
      <c r="I169" s="617"/>
      <c r="J169" s="617"/>
      <c r="K169" s="1693">
        <f>SUM(C169:H169)</f>
        <v>47192</v>
      </c>
      <c r="L169" s="657">
        <v>47192</v>
      </c>
    </row>
    <row r="170" spans="1:14" ht="33.75" customHeight="1" x14ac:dyDescent="0.2">
      <c r="A170" s="670" t="s">
        <v>1769</v>
      </c>
      <c r="B170" s="672" t="s">
        <v>31</v>
      </c>
      <c r="C170" s="617"/>
      <c r="D170" s="617"/>
      <c r="E170" s="617"/>
      <c r="F170" s="617"/>
      <c r="G170" s="617"/>
      <c r="H170" s="569">
        <v>50000</v>
      </c>
      <c r="I170" s="617"/>
      <c r="J170" s="617"/>
      <c r="K170" s="1693">
        <f>SUM(C170:J170)</f>
        <v>50000</v>
      </c>
      <c r="L170" s="569">
        <v>50000</v>
      </c>
    </row>
    <row r="171" spans="1:14" ht="15.75" customHeight="1" x14ac:dyDescent="0.2">
      <c r="A171" s="622" t="s">
        <v>790</v>
      </c>
      <c r="B171" s="673" t="s">
        <v>86</v>
      </c>
      <c r="C171" s="617"/>
      <c r="D171" s="617"/>
      <c r="E171" s="466">
        <v>1000</v>
      </c>
      <c r="F171" s="617"/>
      <c r="G171" s="617"/>
      <c r="H171" s="569"/>
      <c r="I171" s="477"/>
      <c r="J171" s="617"/>
      <c r="K171" s="1693">
        <f>SUM(C171:J171)</f>
        <v>1000</v>
      </c>
      <c r="L171" s="569">
        <v>1000</v>
      </c>
    </row>
    <row r="172" spans="1:14" ht="12.75" customHeight="1" thickBot="1" x14ac:dyDescent="0.25">
      <c r="A172" s="1690" t="s">
        <v>659</v>
      </c>
      <c r="B172" s="1691" t="s">
        <v>513</v>
      </c>
      <c r="C172" s="617"/>
      <c r="D172" s="617"/>
      <c r="E172" s="1699">
        <f>SUM(E168,E169,E170,E171)</f>
        <v>1000</v>
      </c>
      <c r="F172" s="617"/>
      <c r="G172" s="617"/>
      <c r="H172" s="1699">
        <f>SUM(H168,H169,H170,H171)</f>
        <v>97192</v>
      </c>
      <c r="I172" s="639"/>
      <c r="J172" s="617"/>
      <c r="K172" s="1699">
        <f>SUM(K168,K169,K170,K171)</f>
        <v>98192</v>
      </c>
      <c r="L172" s="1699">
        <f>SUM(L168,L169,L170,L171)</f>
        <v>98192</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1000</v>
      </c>
      <c r="F174" s="617"/>
      <c r="G174" s="617"/>
      <c r="H174" s="1699">
        <f>SUM(H160,H172,H173)</f>
        <v>97192</v>
      </c>
      <c r="I174" s="639"/>
      <c r="J174" s="617"/>
      <c r="K174" s="1699">
        <f>SUM(K160,K172,K173)</f>
        <v>98192</v>
      </c>
      <c r="L174" s="1699">
        <f>SUM(L160,L172,L173)</f>
        <v>98192</v>
      </c>
    </row>
    <row r="175" spans="1:14" ht="13.5" thickTop="1" x14ac:dyDescent="0.2">
      <c r="A175" s="2180" t="s">
        <v>1053</v>
      </c>
      <c r="B175" s="2181"/>
      <c r="C175" s="617"/>
      <c r="D175" s="617"/>
      <c r="E175" s="617"/>
      <c r="F175" s="617"/>
      <c r="G175" s="617"/>
      <c r="H175" s="619"/>
      <c r="I175" s="617"/>
      <c r="J175" s="617"/>
      <c r="K175" s="1706">
        <f>'Revenues 9-14'!E275-'Expenditures 15-22'!K174</f>
        <v>-212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15661</v>
      </c>
      <c r="D182" s="466">
        <v>950</v>
      </c>
      <c r="E182" s="466">
        <v>46083</v>
      </c>
      <c r="F182" s="466">
        <v>2572</v>
      </c>
      <c r="G182" s="466"/>
      <c r="H182" s="466"/>
      <c r="I182" s="467"/>
      <c r="J182" s="467"/>
      <c r="K182" s="1693">
        <f>SUM(C182:J182)</f>
        <v>65266</v>
      </c>
      <c r="L182" s="466">
        <v>65262</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15661</v>
      </c>
      <c r="D184" s="1699">
        <f t="shared" ref="D184:J184" si="17">SUM(D180,D182,D183)</f>
        <v>950</v>
      </c>
      <c r="E184" s="1699">
        <f t="shared" si="17"/>
        <v>46083</v>
      </c>
      <c r="F184" s="1699">
        <f t="shared" si="17"/>
        <v>2572</v>
      </c>
      <c r="G184" s="1699">
        <f t="shared" si="17"/>
        <v>0</v>
      </c>
      <c r="H184" s="1699">
        <f t="shared" si="17"/>
        <v>0</v>
      </c>
      <c r="I184" s="1699">
        <f t="shared" si="17"/>
        <v>0</v>
      </c>
      <c r="J184" s="1699">
        <f t="shared" si="17"/>
        <v>0</v>
      </c>
      <c r="K184" s="1699">
        <f>SUM(K180,K182,K183)</f>
        <v>65266</v>
      </c>
      <c r="L184" s="1699">
        <f>SUM(L180, L182:L183)</f>
        <v>65262</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15661</v>
      </c>
      <c r="D210" s="1692">
        <f>SUM(D184,D185)</f>
        <v>950</v>
      </c>
      <c r="E210" s="1692">
        <f>SUM(E184,E185,E196)</f>
        <v>46083</v>
      </c>
      <c r="F210" s="1692">
        <f>SUM(F184,F185)</f>
        <v>2572</v>
      </c>
      <c r="G210" s="1692">
        <f>SUM(G184,G185)</f>
        <v>0</v>
      </c>
      <c r="H210" s="1692">
        <f>SUM(H184,H185,H196,H208,H209)</f>
        <v>0</v>
      </c>
      <c r="I210" s="1692">
        <f>SUM(I184,I185)</f>
        <v>0</v>
      </c>
      <c r="J210" s="1692">
        <f>SUM(J184,J185)</f>
        <v>0</v>
      </c>
      <c r="K210" s="1693">
        <f>SUM(K184,K185,K196,K208,K209)</f>
        <v>65266</v>
      </c>
      <c r="L210" s="1692">
        <f>SUM(L184,L185,L196,L208,L209)</f>
        <v>65262</v>
      </c>
    </row>
    <row r="211" spans="1:14" ht="13.5" thickTop="1" x14ac:dyDescent="0.2">
      <c r="A211" s="2180" t="s">
        <v>1053</v>
      </c>
      <c r="B211" s="2181"/>
      <c r="C211" s="619"/>
      <c r="D211" s="619"/>
      <c r="E211" s="619"/>
      <c r="F211" s="619"/>
      <c r="G211" s="619"/>
      <c r="H211" s="619"/>
      <c r="I211" s="617"/>
      <c r="J211" s="617"/>
      <c r="K211" s="1706">
        <f>'Revenues 9-14'!F275-'Expenditures 15-22'!K210</f>
        <v>8248</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2" t="s">
        <v>1022</v>
      </c>
      <c r="B213" s="220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8598</v>
      </c>
      <c r="E215" s="617"/>
      <c r="F215" s="617"/>
      <c r="G215" s="617"/>
      <c r="H215" s="617"/>
      <c r="I215" s="617"/>
      <c r="J215" s="617"/>
      <c r="K215" s="1693">
        <f>D215</f>
        <v>8598</v>
      </c>
      <c r="L215" s="466">
        <v>8598</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13367</v>
      </c>
      <c r="E217" s="617"/>
      <c r="F217" s="617"/>
      <c r="G217" s="617"/>
      <c r="H217" s="617"/>
      <c r="I217" s="617"/>
      <c r="J217" s="617"/>
      <c r="K217" s="1693">
        <f t="shared" si="19"/>
        <v>13367</v>
      </c>
      <c r="L217" s="466">
        <v>13366</v>
      </c>
    </row>
    <row r="218" spans="1:14" x14ac:dyDescent="0.2">
      <c r="A218" s="1526" t="s">
        <v>296</v>
      </c>
      <c r="B218" s="615" t="s">
        <v>1025</v>
      </c>
      <c r="C218" s="617"/>
      <c r="D218" s="467">
        <v>577</v>
      </c>
      <c r="E218" s="617"/>
      <c r="F218" s="617"/>
      <c r="G218" s="617"/>
      <c r="H218" s="617"/>
      <c r="I218" s="617"/>
      <c r="J218" s="617"/>
      <c r="K218" s="1693">
        <f t="shared" si="19"/>
        <v>577</v>
      </c>
      <c r="L218" s="466">
        <v>576</v>
      </c>
    </row>
    <row r="219" spans="1:14" x14ac:dyDescent="0.2">
      <c r="A219" s="1526" t="s">
        <v>297</v>
      </c>
      <c r="B219" s="615">
        <v>1250</v>
      </c>
      <c r="C219" s="617"/>
      <c r="D219" s="466">
        <v>4792</v>
      </c>
      <c r="E219" s="617"/>
      <c r="F219" s="617"/>
      <c r="G219" s="617"/>
      <c r="H219" s="617"/>
      <c r="I219" s="617"/>
      <c r="J219" s="617"/>
      <c r="K219" s="1693">
        <f t="shared" si="19"/>
        <v>4792</v>
      </c>
      <c r="L219" s="466">
        <v>4791</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v>428</v>
      </c>
      <c r="E223" s="617"/>
      <c r="F223" s="617"/>
      <c r="G223" s="617"/>
      <c r="H223" s="617"/>
      <c r="I223" s="617"/>
      <c r="J223" s="617"/>
      <c r="K223" s="1693">
        <f t="shared" si="19"/>
        <v>428</v>
      </c>
      <c r="L223" s="466">
        <v>427</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27762</v>
      </c>
      <c r="E229" s="617"/>
      <c r="F229" s="617"/>
      <c r="G229" s="617"/>
      <c r="H229" s="617"/>
      <c r="I229" s="617"/>
      <c r="J229" s="617"/>
      <c r="K229" s="1692">
        <f>SUM(K215:K228)</f>
        <v>27762</v>
      </c>
      <c r="L229" s="1692">
        <f>SUM(L215:L228)</f>
        <v>27758</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647</v>
      </c>
      <c r="E232" s="617"/>
      <c r="F232" s="617"/>
      <c r="G232" s="617"/>
      <c r="H232" s="617"/>
      <c r="I232" s="617"/>
      <c r="J232" s="617"/>
      <c r="K232" s="1693">
        <f t="shared" ref="K232:K237" si="20">D232</f>
        <v>647</v>
      </c>
      <c r="L232" s="466">
        <v>646</v>
      </c>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601</v>
      </c>
      <c r="E236" s="617"/>
      <c r="F236" s="617"/>
      <c r="G236" s="617"/>
      <c r="H236" s="617"/>
      <c r="I236" s="617"/>
      <c r="J236" s="617"/>
      <c r="K236" s="1693">
        <f t="shared" si="20"/>
        <v>601</v>
      </c>
      <c r="L236" s="466">
        <v>600</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1248</v>
      </c>
      <c r="E238" s="617"/>
      <c r="F238" s="617"/>
      <c r="G238" s="617"/>
      <c r="H238" s="617"/>
      <c r="I238" s="617"/>
      <c r="J238" s="617"/>
      <c r="K238" s="1692">
        <f>SUM(K232:K237)</f>
        <v>1248</v>
      </c>
      <c r="L238" s="1692">
        <f>SUM(L232:L237)</f>
        <v>1246</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173</v>
      </c>
      <c r="E245" s="617"/>
      <c r="F245" s="617"/>
      <c r="G245" s="617"/>
      <c r="H245" s="617"/>
      <c r="I245" s="617"/>
      <c r="J245" s="617"/>
      <c r="K245" s="1694">
        <f>D245</f>
        <v>173</v>
      </c>
      <c r="L245" s="481">
        <v>173</v>
      </c>
    </row>
    <row r="246" spans="1:12" x14ac:dyDescent="0.2">
      <c r="A246" s="1526" t="s">
        <v>872</v>
      </c>
      <c r="B246" s="615">
        <v>2320</v>
      </c>
      <c r="C246" s="617"/>
      <c r="D246" s="466">
        <v>949</v>
      </c>
      <c r="E246" s="617"/>
      <c r="F246" s="617"/>
      <c r="G246" s="617"/>
      <c r="H246" s="617"/>
      <c r="I246" s="617"/>
      <c r="J246" s="617"/>
      <c r="K246" s="1694">
        <f t="shared" ref="K246:K256" si="21">D246</f>
        <v>949</v>
      </c>
      <c r="L246" s="466">
        <v>949</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1122</v>
      </c>
      <c r="E257" s="617"/>
      <c r="F257" s="617"/>
      <c r="G257" s="617"/>
      <c r="H257" s="617"/>
      <c r="I257" s="617"/>
      <c r="J257" s="617"/>
      <c r="K257" s="1692">
        <f>SUM(K245:K256)</f>
        <v>1122</v>
      </c>
      <c r="L257" s="1692">
        <f>SUM(L245:L256)</f>
        <v>1122</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11447</v>
      </c>
      <c r="E259" s="617"/>
      <c r="F259" s="617"/>
      <c r="G259" s="617"/>
      <c r="H259" s="617"/>
      <c r="I259" s="617"/>
      <c r="J259" s="617"/>
      <c r="K259" s="1694">
        <f>D259</f>
        <v>11447</v>
      </c>
      <c r="L259" s="481">
        <v>11446</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11447</v>
      </c>
      <c r="E261" s="617"/>
      <c r="F261" s="617"/>
      <c r="G261" s="617"/>
      <c r="H261" s="617"/>
      <c r="I261" s="617"/>
      <c r="J261" s="617"/>
      <c r="K261" s="1692">
        <f>SUM(K259:K260)</f>
        <v>11447</v>
      </c>
      <c r="L261" s="1692">
        <f>SUM(L259:L260)</f>
        <v>11446</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11542</v>
      </c>
      <c r="E264" s="617"/>
      <c r="F264" s="617"/>
      <c r="G264" s="617"/>
      <c r="H264" s="617"/>
      <c r="I264" s="617"/>
      <c r="J264" s="617"/>
      <c r="K264" s="1694">
        <f t="shared" ref="K264:K269" si="22">D264</f>
        <v>11542</v>
      </c>
      <c r="L264" s="466">
        <v>11542</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17170</v>
      </c>
      <c r="E266" s="617"/>
      <c r="F266" s="617"/>
      <c r="G266" s="617"/>
      <c r="H266" s="617"/>
      <c r="I266" s="617"/>
      <c r="J266" s="617"/>
      <c r="K266" s="1694">
        <f t="shared" si="22"/>
        <v>17170</v>
      </c>
      <c r="L266" s="466">
        <v>17170</v>
      </c>
    </row>
    <row r="267" spans="1:14" x14ac:dyDescent="0.2">
      <c r="A267" s="1526" t="s">
        <v>1010</v>
      </c>
      <c r="B267" s="615">
        <v>2550</v>
      </c>
      <c r="C267" s="617"/>
      <c r="D267" s="466">
        <v>2202</v>
      </c>
      <c r="E267" s="617"/>
      <c r="F267" s="617"/>
      <c r="G267" s="617"/>
      <c r="H267" s="617"/>
      <c r="I267" s="617"/>
      <c r="J267" s="617"/>
      <c r="K267" s="1694">
        <f t="shared" si="22"/>
        <v>2202</v>
      </c>
      <c r="L267" s="466">
        <v>2201</v>
      </c>
    </row>
    <row r="268" spans="1:14" x14ac:dyDescent="0.2">
      <c r="A268" s="1526" t="s">
        <v>102</v>
      </c>
      <c r="B268" s="615">
        <v>2560</v>
      </c>
      <c r="C268" s="617"/>
      <c r="D268" s="466">
        <v>10184</v>
      </c>
      <c r="E268" s="617"/>
      <c r="F268" s="617"/>
      <c r="G268" s="617"/>
      <c r="H268" s="617"/>
      <c r="I268" s="617"/>
      <c r="J268" s="617"/>
      <c r="K268" s="1694">
        <f t="shared" si="22"/>
        <v>10184</v>
      </c>
      <c r="L268" s="466">
        <v>10184</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41098</v>
      </c>
      <c r="E270" s="617"/>
      <c r="F270" s="617"/>
      <c r="G270" s="617"/>
      <c r="H270" s="617"/>
      <c r="I270" s="617"/>
      <c r="J270" s="617"/>
      <c r="K270" s="1692">
        <f>SUM(K263:K269)</f>
        <v>41098</v>
      </c>
      <c r="L270" s="1692">
        <f>SUM(L263:L269)</f>
        <v>41097</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54915</v>
      </c>
      <c r="E279" s="617"/>
      <c r="F279" s="617"/>
      <c r="G279" s="617"/>
      <c r="H279" s="617"/>
      <c r="I279" s="617"/>
      <c r="J279" s="617"/>
      <c r="K279" s="1699">
        <f>SUM(K238,K243,K257,K261,K270,K277,K278)</f>
        <v>54915</v>
      </c>
      <c r="L279" s="1699">
        <f>SUM(L238,L243,L257,L261,L270,L277,L278)</f>
        <v>54911</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8" t="s">
        <v>526</v>
      </c>
      <c r="B295" s="2199"/>
      <c r="C295" s="617"/>
      <c r="D295" s="1692">
        <f>SUM(D229,D279,D280,D285)</f>
        <v>82677</v>
      </c>
      <c r="E295" s="617"/>
      <c r="F295" s="617"/>
      <c r="G295" s="617"/>
      <c r="H295" s="1692">
        <f>H293</f>
        <v>0</v>
      </c>
      <c r="I295" s="617"/>
      <c r="J295" s="617"/>
      <c r="K295" s="1692">
        <f>SUM(K229,K279,K280,K285,K293,K294)</f>
        <v>82677</v>
      </c>
      <c r="L295" s="1692">
        <f>SUM(L229,L279,L280,L285,L293,L294)</f>
        <v>82669</v>
      </c>
    </row>
    <row r="296" spans="1:14" ht="13.5" thickTop="1" x14ac:dyDescent="0.2">
      <c r="A296" s="2180" t="s">
        <v>1053</v>
      </c>
      <c r="B296" s="2181"/>
      <c r="C296" s="617"/>
      <c r="D296" s="619"/>
      <c r="E296" s="617"/>
      <c r="F296" s="617"/>
      <c r="G296" s="617"/>
      <c r="H296" s="688"/>
      <c r="I296" s="617"/>
      <c r="J296" s="617"/>
      <c r="K296" s="1706">
        <f>'Revenues 9-14'!G275-'Expenditures 15-22'!K295</f>
        <v>20536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0" t="s">
        <v>145</v>
      </c>
      <c r="B298" s="218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5" t="s">
        <v>295</v>
      </c>
      <c r="B312" s="2196"/>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91" t="s">
        <v>1053</v>
      </c>
      <c r="B313" s="2192"/>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4" t="s">
        <v>151</v>
      </c>
      <c r="B315" s="220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6" t="s">
        <v>954</v>
      </c>
      <c r="B317" s="220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13318</v>
      </c>
      <c r="F320" s="467"/>
      <c r="G320" s="467"/>
      <c r="H320" s="467"/>
      <c r="I320" s="467"/>
      <c r="J320" s="467"/>
      <c r="K320" s="1693">
        <f t="shared" ref="K320:K327" si="24">SUM(C320:J320)</f>
        <v>13318</v>
      </c>
      <c r="L320" s="467">
        <v>13318</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v>4182</v>
      </c>
      <c r="F322" s="467"/>
      <c r="G322" s="467"/>
      <c r="H322" s="467"/>
      <c r="I322" s="467"/>
      <c r="J322" s="467"/>
      <c r="K322" s="1693">
        <f t="shared" si="24"/>
        <v>4182</v>
      </c>
      <c r="L322" s="467">
        <v>4182</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17500</v>
      </c>
      <c r="F330" s="1692">
        <f t="shared" si="25"/>
        <v>0</v>
      </c>
      <c r="G330" s="1692">
        <f t="shared" si="25"/>
        <v>0</v>
      </c>
      <c r="H330" s="1692">
        <f t="shared" si="25"/>
        <v>0</v>
      </c>
      <c r="I330" s="1692">
        <f t="shared" si="25"/>
        <v>0</v>
      </c>
      <c r="J330" s="1692">
        <f t="shared" si="25"/>
        <v>0</v>
      </c>
      <c r="K330" s="1692">
        <f>SUM(K319:K329)</f>
        <v>17500</v>
      </c>
      <c r="L330" s="1692">
        <f>SUM(L319:L329)</f>
        <v>17500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17500</v>
      </c>
      <c r="F342" s="1692">
        <f>SUM(F330)</f>
        <v>0</v>
      </c>
      <c r="G342" s="1692">
        <f>SUM(G330)</f>
        <v>0</v>
      </c>
      <c r="H342" s="1692">
        <f>SUM(H330,H334,H340)</f>
        <v>0</v>
      </c>
      <c r="I342" s="1692">
        <f>SUM(I330)</f>
        <v>0</v>
      </c>
      <c r="J342" s="1692">
        <f>SUM(J330)</f>
        <v>0</v>
      </c>
      <c r="K342" s="1692">
        <f>SUM(K330,K334,K340)</f>
        <v>17500</v>
      </c>
      <c r="L342" s="1699">
        <f>SUM(L330,L340,L341)</f>
        <v>17500</v>
      </c>
    </row>
    <row r="343" spans="1:14" ht="12.75" customHeight="1" thickTop="1" x14ac:dyDescent="0.2">
      <c r="A343" s="2193" t="s">
        <v>1053</v>
      </c>
      <c r="B343" s="2194"/>
      <c r="C343" s="617"/>
      <c r="D343" s="617"/>
      <c r="E343" s="617"/>
      <c r="F343" s="617"/>
      <c r="G343" s="617"/>
      <c r="H343" s="617"/>
      <c r="I343" s="617"/>
      <c r="J343" s="617"/>
      <c r="K343" s="1706">
        <f>'Revenues 9-14'!J275-'Expenditures 15-22'!K342</f>
        <v>4846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3" t="s">
        <v>1023</v>
      </c>
      <c r="B345" s="218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80" t="s">
        <v>1053</v>
      </c>
      <c r="B368" s="2181"/>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schemas.microsoft.com/office/infopath/2007/PartnerControls"/>
    <ds:schemaRef ds:uri="http://schemas.microsoft.com/office/2006/documentManagement/types"/>
    <ds:schemaRef ds:uri="d21dc803-237d-4c68-8692-8d731fd29118"/>
    <ds:schemaRef ds:uri="http://schemas.microsoft.com/sharepoint/v3"/>
    <ds:schemaRef ds:uri="http://purl.org/dc/dcmitype/"/>
    <ds:schemaRef ds:uri="http://schemas.microsoft.com/office/2006/metadata/properties"/>
    <ds:schemaRef ds:uri="6ce3111e-7420-4802-b50a-75d4e9a0b980"/>
    <ds:schemaRef ds:uri="http://purl.org/dc/terms/"/>
    <ds:schemaRef ds:uri="http://schemas.openxmlformats.org/package/2006/metadata/core-properties"/>
    <ds:schemaRef ds:uri="4d435f69-8686-490b-bd6d-b153bf22ab50"/>
    <ds:schemaRef ds:uri="http://www.w3.org/XML/1998/namespace"/>
    <ds:schemaRef ds:uri="http://purl.org/dc/elements/1.1/"/>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2018-09-13T14:52:56Z</cp:lastPrinted>
  <dcterms:created xsi:type="dcterms:W3CDTF">2003-10-29T19:06:34Z</dcterms:created>
  <dcterms:modified xsi:type="dcterms:W3CDTF">2018-10-11T20:18:58Z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Financial Statements</vt:lpwstr>
  </property>
  <property fmtid="{D5CDD505-2E9C-101B-9397-08002B2CF9AE}" pid="5" name="tabIndex">
    <vt:lpwstr>FS</vt:lpwstr>
  </property>
  <property fmtid="{D5CDD505-2E9C-101B-9397-08002B2CF9AE}" pid="6" name="workpaperIndex">
    <vt:lpwstr/>
  </property>
</Properties>
</file>