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18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18" sheetId="183" r:id="rId29"/>
    <sheet name="SEFA NOTES" sheetId="173" r:id="rId30"/>
    <sheet name="SF&amp;QC Sec-1" sheetId="174" r:id="rId31"/>
    <sheet name="SF&amp;QC Sec-2" sheetId="175" r:id="rId32"/>
    <sheet name="SF&amp;QC Sec-3" sheetId="176" r:id="rId33"/>
    <sheet name="SSPAF" sheetId="177" r:id="rId34"/>
    <sheet name="CAP" sheetId="184" r:id="rId35"/>
  </sheets>
  <definedNames>
    <definedName name="CAPS2018">#REF!</definedName>
    <definedName name="goof" localSheetId="34">#REF!</definedName>
    <definedName name="goof">#REF!</definedName>
    <definedName name="oops" localSheetId="34">#REF!</definedName>
    <definedName name="oops">#REF!</definedName>
    <definedName name="_xlnm.Print_Area" localSheetId="27">' SEFA'!$B$1:$M$46</definedName>
    <definedName name="_xlnm.Print_Area" localSheetId="28">'SEFA 18'!$A$14:$S$103</definedName>
    <definedName name="_xlnm.Print_Area" localSheetId="29">'SEFA NOTES'!$A$1:$F$54</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Print_Area_MI" localSheetId="28">'SEFA 18'!$B$16:$S$66</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18'!$A:$C,'SEFA 18'!$1:$13</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 name="Z_6482DF05_54F2_4037_96F9_8254662E9156_.wvu.PrintArea" localSheetId="28" hidden="1">'SEFA 18'!$A$14:$S$103</definedName>
    <definedName name="Z_6482DF05_54F2_4037_96F9_8254662E9156_.wvu.PrintTitles" localSheetId="28" hidden="1">'SEFA 18'!$A:$C,'SEFA 18'!$1:$13</definedName>
    <definedName name="Z_6482DF05_54F2_4037_96F9_8254662E9156_.wvu.Rows" localSheetId="28" hidden="1">'SEFA 18'!$1:$2,'SEFA 18'!$24:$25,'SEFA 18'!$42:$44,'SEFA 18'!$48:$48,'SEFA 18'!$58:$58,'SEFA 18'!$62:$63,'SEFA 18'!$76:$80,'SEFA 18'!$83:$87</definedName>
    <definedName name="Z_6BAFD3DD_C8E2_444F_8B12_417A8A4ECB77_.wvu.PrintArea" localSheetId="28" hidden="1">'SEFA 18'!$A$14:$S$103</definedName>
    <definedName name="Z_6BAFD3DD_C8E2_444F_8B12_417A8A4ECB77_.wvu.PrintTitles" localSheetId="28" hidden="1">'SEFA 18'!$A:$C,'SEFA 18'!$1:$13</definedName>
    <definedName name="Z_6BAFD3DD_C8E2_444F_8B12_417A8A4ECB77_.wvu.Rows" localSheetId="28" hidden="1">'SEFA 18'!$1:$2,'SEFA 18'!$24:$25,'SEFA 18'!$42:$44,'SEFA 18'!$48:$48,'SEFA 18'!$58:$58,'SEFA 18'!$62:$63,'SEFA 18'!$76:$80,'SEFA 18'!$83:$87</definedName>
    <definedName name="Z_B4B9A1D2_1697_46D8_8B9D_A1E36BE03956_.wvu.PrintArea" localSheetId="28" hidden="1">'SEFA 18'!$A$14:$S$103</definedName>
    <definedName name="Z_B4B9A1D2_1697_46D8_8B9D_A1E36BE03956_.wvu.PrintTitles" localSheetId="28" hidden="1">'SEFA 18'!$A:$C,'SEFA 18'!$1:$13</definedName>
    <definedName name="Z_B4B9A1D2_1697_46D8_8B9D_A1E36BE03956_.wvu.Rows" localSheetId="28" hidden="1">'SEFA 18'!$1:$2,'SEFA 18'!$24:$25,'SEFA 18'!$42:$44,'SEFA 18'!$48:$48,'SEFA 18'!$58:$58,'SEFA 18'!$62:$63,'SEFA 18'!$76:$80,'SEFA 18'!$83:$87</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50" i="183" l="1"/>
  <c r="J32" i="8" l="1"/>
  <c r="J31" i="8"/>
  <c r="O93" i="183" l="1"/>
  <c r="K93" i="183"/>
  <c r="I93" i="183"/>
  <c r="G93" i="183"/>
  <c r="O87" i="183"/>
  <c r="O95" i="183" s="1"/>
  <c r="M87" i="183"/>
  <c r="M95" i="183" s="1"/>
  <c r="K87" i="183"/>
  <c r="K95" i="183" s="1"/>
  <c r="I87" i="183"/>
  <c r="G87" i="183"/>
  <c r="Q86" i="183"/>
  <c r="Q87" i="183" s="1"/>
  <c r="O82" i="183"/>
  <c r="M82" i="183"/>
  <c r="K82" i="183"/>
  <c r="I82" i="183"/>
  <c r="G82" i="183"/>
  <c r="Q80" i="183"/>
  <c r="Q79" i="183"/>
  <c r="Q74" i="183"/>
  <c r="Q73" i="183"/>
  <c r="O66" i="183"/>
  <c r="K66" i="183"/>
  <c r="Q65" i="183"/>
  <c r="I65" i="183"/>
  <c r="Q64" i="183"/>
  <c r="G64" i="183"/>
  <c r="Q63" i="183"/>
  <c r="Q62" i="183"/>
  <c r="Q60" i="183"/>
  <c r="I60" i="183"/>
  <c r="Q59" i="183"/>
  <c r="G59" i="183"/>
  <c r="G95" i="183" s="1"/>
  <c r="Q58" i="183"/>
  <c r="Q53" i="183"/>
  <c r="M52" i="183"/>
  <c r="Q49" i="183"/>
  <c r="Q48" i="183"/>
  <c r="Q46" i="183"/>
  <c r="M45" i="183"/>
  <c r="Q43" i="183"/>
  <c r="Q42" i="183"/>
  <c r="M36" i="183"/>
  <c r="K36" i="183"/>
  <c r="I36" i="183"/>
  <c r="G36" i="183"/>
  <c r="Q34" i="183"/>
  <c r="Q33" i="183"/>
  <c r="Q31" i="183"/>
  <c r="Q30" i="183"/>
  <c r="Q28" i="183"/>
  <c r="Q27" i="183"/>
  <c r="Q24" i="183"/>
  <c r="Q22" i="183"/>
  <c r="Q21" i="183"/>
  <c r="Q19" i="183"/>
  <c r="Q18" i="183"/>
  <c r="M11" i="183"/>
  <c r="K11" i="183"/>
  <c r="M10" i="183"/>
  <c r="O97" i="183" l="1"/>
  <c r="M66" i="183"/>
  <c r="M90" i="183" s="1"/>
  <c r="O90" i="183"/>
  <c r="Q95" i="183"/>
  <c r="K90" i="183"/>
  <c r="M93" i="183"/>
  <c r="M97" i="183" s="1"/>
  <c r="Q52" i="183"/>
  <c r="Q36" i="183"/>
  <c r="Q82" i="183"/>
  <c r="I95" i="183"/>
  <c r="I97" i="183" s="1"/>
  <c r="G97" i="183"/>
  <c r="K97" i="183"/>
  <c r="Q45" i="183"/>
  <c r="G66" i="183"/>
  <c r="G90" i="183" s="1"/>
  <c r="I66" i="183"/>
  <c r="I90" i="183" s="1"/>
  <c r="Q93" i="183" l="1"/>
  <c r="Q97" i="183" s="1"/>
  <c r="Q66" i="183"/>
  <c r="Q90" i="183" s="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4" i="169"/>
  <c r="K18" i="169"/>
  <c r="G18" i="169"/>
  <c r="G15" i="169"/>
  <c r="I13" i="169"/>
  <c r="G11" i="169"/>
  <c r="G10" i="169"/>
  <c r="G9" i="169"/>
  <c r="G7" i="169"/>
  <c r="E7" i="169"/>
  <c r="B2" i="179" s="1"/>
  <c r="A7" i="169"/>
  <c r="B4" i="177"/>
  <c r="B4" i="176"/>
  <c r="B4" i="175"/>
  <c r="G43" i="174"/>
  <c r="D47" i="174" s="1"/>
  <c r="B4" i="174"/>
  <c r="E36"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A2" i="17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D7765" i="106" s="1"/>
  <c r="B7764" i="106"/>
  <c r="D7764" i="106" s="1"/>
  <c r="J85" i="28"/>
  <c r="B7758" i="106" s="1"/>
  <c r="D7758" i="106" s="1"/>
  <c r="J88" i="28"/>
  <c r="K6" i="29"/>
  <c r="B7763" i="106" s="1"/>
  <c r="B7762" i="106"/>
  <c r="K12" i="12"/>
  <c r="K23" i="12"/>
  <c r="K24" i="12" s="1"/>
  <c r="B7733" i="106" s="1"/>
  <c r="J12" i="12"/>
  <c r="B7718" i="106" s="1"/>
  <c r="D7718" i="106" s="1"/>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6" i="5"/>
  <c r="B4411" i="106" s="1"/>
  <c r="D4411" i="106" s="1"/>
  <c r="C224" i="5"/>
  <c r="B5286" i="106" s="1"/>
  <c r="D5286" i="106" s="1"/>
  <c r="C228" i="5"/>
  <c r="B5304" i="106" s="1"/>
  <c r="D5304" i="106" s="1"/>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3" i="106"/>
  <c r="B7735" i="106"/>
  <c r="D7735" i="106" s="1"/>
  <c r="B7736" i="106"/>
  <c r="D7736" i="106" s="1"/>
  <c r="B7737" i="106"/>
  <c r="D7737" i="106" s="1"/>
  <c r="B7738" i="106"/>
  <c r="D7738" i="106" s="1"/>
  <c r="K26" i="12"/>
  <c r="B7743" i="106" s="1"/>
  <c r="D7743"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71"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F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B2633" i="106"/>
  <c r="D2633" i="106" s="1"/>
  <c r="D7" i="118"/>
  <c r="D8" i="118"/>
  <c r="D9" i="118"/>
  <c r="H14" i="118"/>
  <c r="H19" i="118"/>
  <c r="H24" i="118"/>
  <c r="D22" i="37"/>
  <c r="J22" i="37"/>
  <c r="D24" i="37"/>
  <c r="B4270" i="106" s="1"/>
  <c r="D4270" i="106" s="1"/>
  <c r="F72" i="34" l="1"/>
  <c r="B1126" i="106"/>
  <c r="D1126" i="106" s="1"/>
  <c r="F35" i="34"/>
  <c r="H29" i="118"/>
  <c r="F45" i="34"/>
  <c r="F41" i="34"/>
  <c r="D11" i="37"/>
  <c r="D13" i="7"/>
  <c r="B3726" i="106" s="1"/>
  <c r="D3726" i="106" s="1"/>
  <c r="L15" i="11"/>
  <c r="B3459" i="106" s="1"/>
  <c r="D3459" i="106" s="1"/>
  <c r="H33" i="118"/>
  <c r="D6103" i="106"/>
  <c r="F27" i="108"/>
  <c r="F64" i="34"/>
  <c r="F26" i="108"/>
  <c r="F69" i="34"/>
  <c r="D26" i="108"/>
  <c r="D36" i="108"/>
  <c r="J210" i="29"/>
  <c r="B7072" i="106" s="1"/>
  <c r="D7072" i="106" s="1"/>
  <c r="F36" i="108"/>
  <c r="G172" i="5"/>
  <c r="B5770" i="106" s="1"/>
  <c r="D5770" i="106" s="1"/>
  <c r="I24" i="12"/>
  <c r="I26" i="12" s="1"/>
  <c r="B7741" i="106" s="1"/>
  <c r="D7741" i="106" s="1"/>
  <c r="H28" i="118"/>
  <c r="D5" i="4"/>
  <c r="B3406" i="106" s="1"/>
  <c r="D3406" i="106" s="1"/>
  <c r="N22" i="3"/>
  <c r="B283" i="106" s="1"/>
  <c r="D283" i="106" s="1"/>
  <c r="F42" i="34"/>
  <c r="F70" i="34"/>
  <c r="F50" i="34"/>
  <c r="F21" i="8"/>
  <c r="B1879" i="106" s="1"/>
  <c r="D1879" i="106" s="1"/>
  <c r="F46" i="34"/>
  <c r="L5" i="11"/>
  <c r="B2056" i="106" s="1"/>
  <c r="D2056" i="106" s="1"/>
  <c r="F38" i="34"/>
  <c r="G35" i="108"/>
  <c r="E35" i="108"/>
  <c r="B7047" i="106"/>
  <c r="D7047" i="106" s="1"/>
  <c r="G33" i="108"/>
  <c r="F31" i="108"/>
  <c r="B7076" i="106"/>
  <c r="D7076" i="106" s="1"/>
  <c r="B1746" i="106"/>
  <c r="D1746" i="106" s="1"/>
  <c r="C129" i="29"/>
  <c r="C151" i="29" s="1"/>
  <c r="B1226" i="106" s="1"/>
  <c r="D1226" i="106" s="1"/>
  <c r="I210" i="29"/>
  <c r="B7071" i="106" s="1"/>
  <c r="D7071"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D109" i="5"/>
  <c r="D9" i="7"/>
  <c r="B1767" i="106" s="1"/>
  <c r="D1767" i="106" s="1"/>
  <c r="C14" i="4"/>
  <c r="B2558" i="106" s="1"/>
  <c r="D2558" i="106" s="1"/>
  <c r="I274" i="5"/>
  <c r="I7" i="4" s="1"/>
  <c r="B4444" i="106" s="1"/>
  <c r="D4444" i="106" s="1"/>
  <c r="B4396" i="106"/>
  <c r="D4396" i="106" s="1"/>
  <c r="G109" i="5"/>
  <c r="B5066" i="106"/>
  <c r="D5066" i="106" s="1"/>
  <c r="F62" i="34"/>
  <c r="F34" i="34"/>
  <c r="B6995" i="106"/>
  <c r="D6995" i="106" s="1"/>
  <c r="B6289" i="106"/>
  <c r="D6289" i="106" s="1"/>
  <c r="B2734" i="106"/>
  <c r="D2734" i="106" s="1"/>
  <c r="L13" i="11"/>
  <c r="B2060" i="106" s="1"/>
  <c r="D2060" i="106" s="1"/>
  <c r="B1996" i="106"/>
  <c r="D1996"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B4435" i="106"/>
  <c r="D4435"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B4398" i="106"/>
  <c r="D4398" i="106" s="1"/>
  <c r="B5537" i="106"/>
  <c r="D5537" i="106" s="1"/>
  <c r="E173" i="5"/>
  <c r="I109" i="5"/>
  <c r="L279" i="29"/>
  <c r="L295" i="29" s="1"/>
  <c r="L74" i="29"/>
  <c r="K33" i="29"/>
  <c r="B720" i="106"/>
  <c r="D720" i="106" s="1"/>
  <c r="B7618" i="106"/>
  <c r="L14" i="11"/>
  <c r="B7623" i="106" s="1"/>
  <c r="B7503" i="106"/>
  <c r="B7531" i="106"/>
  <c r="D7253" i="106"/>
  <c r="B7214" i="106"/>
  <c r="D7214"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J24" i="12"/>
  <c r="B7270" i="106"/>
  <c r="H77" i="4" l="1"/>
  <c r="B3299" i="106" s="1"/>
  <c r="D3299" i="106" s="1"/>
  <c r="D7251" i="106"/>
  <c r="K28" i="118"/>
  <c r="O27" i="118" s="1"/>
  <c r="O29" i="118" s="1"/>
  <c r="H22" i="37"/>
  <c r="G173" i="5"/>
  <c r="B5778" i="106" s="1"/>
  <c r="D5778" i="106" s="1"/>
  <c r="I6" i="4"/>
  <c r="B5011" i="106" s="1"/>
  <c r="D5011" i="106" s="1"/>
  <c r="B1225" i="106"/>
  <c r="D1225" i="106" s="1"/>
  <c r="D7256" i="106"/>
  <c r="D7250" i="106"/>
  <c r="D41" i="108"/>
  <c r="E43" i="108" s="1"/>
  <c r="F66" i="34"/>
  <c r="L16" i="11"/>
  <c r="B2061" i="106" s="1"/>
  <c r="D2061" i="106" s="1"/>
  <c r="B2031" i="106"/>
  <c r="D2031" i="106" s="1"/>
  <c r="J151" i="29"/>
  <c r="B7052" i="106" s="1"/>
  <c r="D7052" i="106" s="1"/>
  <c r="F41" i="108"/>
  <c r="G43" i="108" s="1"/>
  <c r="B1328" i="106"/>
  <c r="D1328"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F24" i="37" l="1"/>
  <c r="G6" i="4"/>
  <c r="B2604" i="106" s="1"/>
  <c r="D2604" i="106" s="1"/>
  <c r="B5719" i="106"/>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H37" i="37"/>
  <c r="B285" i="106"/>
  <c r="D285" i="106" s="1"/>
  <c r="N37" i="3"/>
  <c r="B1510" i="106"/>
  <c r="D1510" i="106" s="1"/>
  <c r="K295" i="29"/>
  <c r="F12" i="34" s="1"/>
  <c r="G13" i="4"/>
  <c r="B1282" i="106"/>
  <c r="D1282" i="106" s="1"/>
  <c r="D15" i="4"/>
  <c r="B2571" i="106" s="1"/>
  <c r="D2571" i="106" s="1"/>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B2608" i="106"/>
  <c r="D2608" i="106" s="1"/>
  <c r="G17" i="4"/>
  <c r="B5552" i="106"/>
  <c r="D5552" i="106" s="1"/>
  <c r="K175" i="29"/>
  <c r="B1333" i="106" s="1"/>
  <c r="D1333" i="106" s="1"/>
  <c r="A7260" i="106"/>
  <c r="D7259" i="106"/>
  <c r="E8" i="4"/>
  <c r="B2568" i="106" l="1"/>
  <c r="D2568" i="106" s="1"/>
  <c r="D10" i="4"/>
  <c r="B4123" i="106" s="1"/>
  <c r="D4123" i="106" s="1"/>
  <c r="D20" i="4"/>
  <c r="B2574" i="106" s="1"/>
  <c r="D2574" i="106" s="1"/>
  <c r="F10" i="4"/>
  <c r="B4125" i="106" s="1"/>
  <c r="D4125" i="106" s="1"/>
  <c r="D8" i="146"/>
  <c r="B2595" i="106"/>
  <c r="D2595" i="106" s="1"/>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D10" i="146" l="1"/>
  <c r="D78" i="4"/>
  <c r="B3239" i="106" s="1"/>
  <c r="D3239" i="106" s="1"/>
  <c r="F78" i="4"/>
  <c r="B2601" i="106"/>
  <c r="D2601" i="106" s="1"/>
  <c r="B3300" i="106"/>
  <c r="D3300" i="106" s="1"/>
  <c r="A7262" i="106"/>
  <c r="D7261" i="106"/>
  <c r="F9" i="146"/>
  <c r="E78" i="4"/>
  <c r="B2636" i="106"/>
  <c r="D2636" i="106" s="1"/>
  <c r="B3278" i="106" l="1"/>
  <c r="D3278" i="106" s="1"/>
  <c r="A7263" i="106"/>
  <c r="D7262" i="106"/>
  <c r="B3256" i="106"/>
  <c r="D3256"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B6270" i="106" l="1"/>
  <c r="D6270" i="106" s="1"/>
  <c r="F83" i="4"/>
  <c r="B6279" i="106" s="1"/>
  <c r="D6279" i="106" s="1"/>
  <c r="B170" i="106" l="1"/>
  <c r="D170" i="106" s="1"/>
  <c r="F41" i="3"/>
  <c r="D60" i="36"/>
  <c r="D47" i="36" l="1"/>
  <c r="B171" i="106"/>
  <c r="D171" i="106" s="1"/>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F79" i="34" s="1"/>
  <c r="B7224" i="106"/>
  <c r="D7224" i="106" s="1"/>
  <c r="J109" i="5"/>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K16" i="4"/>
  <c r="B3574" i="106" s="1"/>
  <c r="D3574" i="106" s="1"/>
  <c r="B7243" i="106"/>
  <c r="D7243" i="106" s="1"/>
  <c r="K109" i="5"/>
  <c r="B6269" i="106"/>
  <c r="D6269" i="106" s="1"/>
  <c r="E83" i="4"/>
  <c r="B6278" i="106" s="1"/>
  <c r="D6278" i="106" s="1"/>
  <c r="H83" i="4"/>
  <c r="B6281" i="106" s="1"/>
  <c r="D6281" i="106" s="1"/>
  <c r="B6272" i="106"/>
  <c r="D6272" i="106" s="1"/>
  <c r="J275" i="5" l="1"/>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B7625" i="106"/>
  <c r="D7625" i="106" s="1"/>
  <c r="I18" i="11"/>
  <c r="K19" i="4"/>
  <c r="B4144" i="106" s="1"/>
  <c r="D4144" i="106" s="1"/>
  <c r="B3575" i="106"/>
  <c r="D3575" i="106" s="1"/>
  <c r="B6023" i="106"/>
  <c r="D6023" i="106" s="1"/>
  <c r="K368" i="29"/>
  <c r="B3681" i="106" s="1"/>
  <c r="D3681" i="106" s="1"/>
  <c r="B3569" i="106"/>
  <c r="D3569" i="106" s="1"/>
  <c r="K8" i="4"/>
  <c r="I82" i="4"/>
  <c r="E11" i="146"/>
  <c r="B3323" i="106"/>
  <c r="D3323" i="106" s="1"/>
  <c r="B6216" i="106"/>
  <c r="D6216" i="106" s="1"/>
  <c r="D51" i="36"/>
  <c r="B141" i="106"/>
  <c r="D141" i="106" s="1"/>
  <c r="D46" i="36"/>
  <c r="D50" i="36"/>
  <c r="B2913" i="106"/>
  <c r="D2913" i="106" s="1"/>
  <c r="J20" i="4" l="1"/>
  <c r="J10" i="4"/>
  <c r="B6225" i="106" s="1"/>
  <c r="D6225" i="106" s="1"/>
  <c r="B6223" i="106"/>
  <c r="D6223" i="106" s="1"/>
  <c r="B282" i="106"/>
  <c r="D282" i="106" s="1"/>
  <c r="N23" i="3"/>
  <c r="B123" i="106"/>
  <c r="D123" i="106" s="1"/>
  <c r="D58" i="36"/>
  <c r="D41" i="3"/>
  <c r="K10" i="4"/>
  <c r="B4130" i="106" s="1"/>
  <c r="D4130" i="106" s="1"/>
  <c r="B3571" i="106"/>
  <c r="D3571" i="106" s="1"/>
  <c r="K20" i="4"/>
  <c r="I83" i="4"/>
  <c r="B6282" i="106" s="1"/>
  <c r="D6282" i="106" s="1"/>
  <c r="B6273" i="106"/>
  <c r="D6273" i="106" s="1"/>
  <c r="B7631" i="106"/>
  <c r="D7631" i="106" s="1"/>
  <c r="F180" i="34"/>
  <c r="B3567" i="106"/>
  <c r="D3567" i="106" s="1"/>
  <c r="K41" i="3"/>
  <c r="B212" i="106"/>
  <c r="D212" i="106" s="1"/>
  <c r="H41" i="3"/>
  <c r="D62" i="36"/>
  <c r="B6230" i="106" l="1"/>
  <c r="D6230" i="106" s="1"/>
  <c r="J78" i="4"/>
  <c r="B284" i="106"/>
  <c r="D284" i="106" s="1"/>
  <c r="D55" i="36"/>
  <c r="B124" i="106"/>
  <c r="D124" i="106" s="1"/>
  <c r="D45" i="36"/>
  <c r="B3576" i="106"/>
  <c r="D3576" i="106" s="1"/>
  <c r="K78" i="4"/>
  <c r="B3568" i="106"/>
  <c r="D3568" i="106" s="1"/>
  <c r="B213" i="106"/>
  <c r="D213" i="106" s="1"/>
  <c r="D49" i="36"/>
  <c r="B6263" i="106" l="1"/>
  <c r="D6263" i="106" s="1"/>
  <c r="J81" i="4"/>
  <c r="B3588" i="106"/>
  <c r="D3588" i="106" s="1"/>
  <c r="K81" i="4"/>
  <c r="B6266" i="106" l="1"/>
  <c r="D6266" i="106" s="1"/>
  <c r="J82" i="4"/>
  <c r="D64" i="36"/>
  <c r="K82" i="4"/>
  <c r="B3591" i="106"/>
  <c r="D3591" i="106" s="1"/>
  <c r="D65" i="36"/>
  <c r="B6274" i="106" l="1"/>
  <c r="D6274" i="106" s="1"/>
  <c r="J83" i="4"/>
  <c r="B6283" i="106" s="1"/>
  <c r="D6283" i="106" s="1"/>
  <c r="K83" i="4"/>
  <c r="B6284" i="106" s="1"/>
  <c r="D6284" i="106" s="1"/>
  <c r="B6275" i="106"/>
  <c r="D6275" i="106" s="1"/>
  <c r="B3546" i="106" l="1"/>
  <c r="D3546" i="106" s="1"/>
  <c r="D42" i="36"/>
  <c r="K13" i="3"/>
  <c r="B3552" i="106" l="1"/>
  <c r="D3552" i="106" s="1"/>
  <c r="D52" i="36"/>
  <c r="B5248" i="106" l="1"/>
  <c r="D5248" i="106" s="1"/>
  <c r="B5791" i="106" l="1"/>
  <c r="D5791" i="106" s="1"/>
  <c r="B5790" i="106"/>
  <c r="D5790" i="106" s="1"/>
  <c r="G211" i="5" l="1"/>
  <c r="B5803" i="106" s="1"/>
  <c r="D5803" i="106" s="1"/>
  <c r="B5247" i="106"/>
  <c r="D5247" i="106" s="1"/>
  <c r="C211" i="5"/>
  <c r="G273" i="5" l="1"/>
  <c r="B5863" i="106" s="1"/>
  <c r="D5863" i="106" s="1"/>
  <c r="B5260" i="106"/>
  <c r="D5260" i="106" s="1"/>
  <c r="C273" i="5"/>
  <c r="F130" i="34"/>
  <c r="F178" i="34" s="1"/>
  <c r="F179" i="34" s="1"/>
  <c r="F181" i="34" s="1"/>
  <c r="F183" i="34" s="1"/>
  <c r="G274" i="5" l="1"/>
  <c r="G275" i="5" s="1"/>
  <c r="B5320" i="106"/>
  <c r="D5320" i="106" s="1"/>
  <c r="C274" i="5"/>
  <c r="G7" i="4" l="1"/>
  <c r="G8" i="4" s="1"/>
  <c r="B5869" i="106"/>
  <c r="D5869" i="106" s="1"/>
  <c r="K296" i="29"/>
  <c r="B1518" i="106" s="1"/>
  <c r="D1518" i="106" s="1"/>
  <c r="B5870" i="106"/>
  <c r="D5870" i="106" s="1"/>
  <c r="C275" i="5"/>
  <c r="B5326" i="106"/>
  <c r="D5326" i="106" s="1"/>
  <c r="C7" i="4"/>
  <c r="B2605" i="106" l="1"/>
  <c r="D2605" i="106" s="1"/>
  <c r="G41" i="3"/>
  <c r="B189" i="106"/>
  <c r="D189" i="106" s="1"/>
  <c r="B2606" i="106"/>
  <c r="D2606" i="106" s="1"/>
  <c r="G20" i="4"/>
  <c r="G10" i="4"/>
  <c r="B4126" i="106" s="1"/>
  <c r="D4126" i="106" s="1"/>
  <c r="B2554" i="106"/>
  <c r="D2554" i="106" s="1"/>
  <c r="C8" i="4"/>
  <c r="D10" i="171"/>
  <c r="D19" i="171" s="1"/>
  <c r="D32" i="171" s="1"/>
  <c r="D49" i="171" s="1"/>
  <c r="K115" i="29"/>
  <c r="B1153" i="106" s="1"/>
  <c r="D1153" i="106" s="1"/>
  <c r="B5327" i="106"/>
  <c r="D5327" i="106" s="1"/>
  <c r="B2613" i="106" l="1"/>
  <c r="D2613" i="106" s="1"/>
  <c r="G78" i="4"/>
  <c r="D48" i="36"/>
  <c r="B190" i="106"/>
  <c r="D190" i="106" s="1"/>
  <c r="H13" i="118"/>
  <c r="C10" i="4"/>
  <c r="B4122" i="106" s="1"/>
  <c r="D4122" i="106" s="1"/>
  <c r="B2555" i="106"/>
  <c r="D2555" i="106" s="1"/>
  <c r="H18" i="118"/>
  <c r="K17" i="118" s="1"/>
  <c r="B8" i="146"/>
  <c r="C20" i="4"/>
  <c r="D16" i="37"/>
  <c r="H16" i="37" s="1"/>
  <c r="B3262" i="106" l="1"/>
  <c r="D3262" i="106" s="1"/>
  <c r="G81" i="4"/>
  <c r="C78" i="4"/>
  <c r="B2562" i="106"/>
  <c r="D2562" i="106" s="1"/>
  <c r="O16" i="118"/>
  <c r="J20" i="118"/>
  <c r="K20" i="118"/>
  <c r="B92" i="106"/>
  <c r="D92" i="106" s="1"/>
  <c r="C41" i="3"/>
  <c r="D76" i="36"/>
  <c r="F8" i="146"/>
  <c r="F10" i="146" s="1"/>
  <c r="B10" i="146"/>
  <c r="G82" i="4" l="1"/>
  <c r="B1686" i="106"/>
  <c r="D1686" i="106" s="1"/>
  <c r="D61" i="36"/>
  <c r="B93" i="106"/>
  <c r="D93" i="106" s="1"/>
  <c r="D44" i="36"/>
  <c r="O17" i="118"/>
  <c r="O20" i="118" s="1"/>
  <c r="B3233" i="106"/>
  <c r="D3233" i="106" s="1"/>
  <c r="C81" i="4"/>
  <c r="B6271" i="106" l="1"/>
  <c r="D6271" i="106" s="1"/>
  <c r="G83" i="4"/>
  <c r="B6280" i="106" s="1"/>
  <c r="D6280" i="106" s="1"/>
  <c r="B11" i="146"/>
  <c r="F11" i="146" s="1"/>
  <c r="B1630" i="106"/>
  <c r="D1630" i="106" s="1"/>
  <c r="C82" i="4"/>
  <c r="J16" i="37"/>
  <c r="B4269" i="106" s="1"/>
  <c r="D4269" i="106" s="1"/>
  <c r="H12" i="118"/>
  <c r="K12" i="118" s="1"/>
  <c r="O11" i="118" s="1"/>
  <c r="O13" i="118" s="1"/>
  <c r="O35" i="118" s="1"/>
  <c r="O37" i="118" s="1"/>
  <c r="D57" i="36"/>
  <c r="C83" i="4" l="1"/>
  <c r="B6276" i="106" s="1"/>
  <c r="D6276" i="106" s="1"/>
  <c r="B6267" i="106"/>
  <c r="D6267" i="106" s="1"/>
  <c r="D29" i="36"/>
  <c r="J24" i="24" s="1"/>
  <c r="C12" i="14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<sst xmlns="http://schemas.openxmlformats.org/spreadsheetml/2006/main" count="5288" uniqueCount="2234">
  <si>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</si>
  <si>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</si>
  <si>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</si>
  <si>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</si>
  <si>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</si>
  <si>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</si>
  <si>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</si>
  <si>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</si>
  <si>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</si>
  <si>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</si>
  <si>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</si>
  <si>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</si>
  <si>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</si>
  <si>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</si>
  <si>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</si>
  <si>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</si>
  <si>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</si>
  <si>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</si>
  <si>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</si>
  <si>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</si>
  <si>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</si>
  <si>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</si>
  <si>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</si>
  <si>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</si>
  <si>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</si>
  <si>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</si>
  <si>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</si>
  <si>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</si>
  <si>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</si>
  <si>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</si>
  <si>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</si>
  <si>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</si>
  <si>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</si>
  <si>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</si>
  <si>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</si>
  <si>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</si>
  <si>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</si>
  <si>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</si>
  <si>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</si>
  <si>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</si>
  <si>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</si>
  <si>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</si>
  <si>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</si>
  <si>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</si>
  <si>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</si>
  <si>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</si>
  <si>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</si>
  <si>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</si>
  <si>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</si>
  <si>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</si>
  <si>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</si>
  <si>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</si>
  <si>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</si>
  <si>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</si>
  <si>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</si>
  <si>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</si>
  <si>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</si>
  <si>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</si>
  <si>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</si>
  <si>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</si>
  <si>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</si>
  <si>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</si>
  <si>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</si>
  <si>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</si>
  <si>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</si>
  <si>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</si>
  <si>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</si>
  <si>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</si>
  <si>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</si>
  <si>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</si>
  <si>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</si>
  <si>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</si>
  <si>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</si>
  <si>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</si>
  <si>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</si>
  <si>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</si>
  <si>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</si>
  <si>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</si>
  <si>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</si>
  <si>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</si>
  <si>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</si>
  <si>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</si>
  <si>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</si>
  <si>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</si>
  <si>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</si>
  <si>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</si>
  <si>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</si>
  <si>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</si>
  <si>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</si>
  <si>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</si>
  <si>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</si>
  <si>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</si>
  <si>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</si>
  <si>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</si>
  <si>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</si>
  <si>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</si>
  <si>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</si>
  <si>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</si>
  <si>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</si>
  <si>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</si>
  <si>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</si>
  <si>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</si>
  <si>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</si>
  <si>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</si>
  <si>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</si>
  <si>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</si>
  <si>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</si>
  <si>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</si>
  <si>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</si>
  <si>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</si>
  <si>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</si>
  <si>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</si>
  <si>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</si>
  <si>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</si>
  <si>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</si>
  <si>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</si>
  <si>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</si>
  <si>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</si>
  <si>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</si>
  <si>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</si>
  <si>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</si>
  <si>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</si>
  <si>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</si>
  <si>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</si>
  <si>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</si>
  <si>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</si>
  <si>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</si>
  <si>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</si>
  <si>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</si>
  <si>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</si>
  <si>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</si>
  <si>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</si>
  <si>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</si>
  <si>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</si>
  <si>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</si>
  <si>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</si>
  <si>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</si>
  <si>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</si>
  <si>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</si>
  <si>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</si>
  <si>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</si>
  <si>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</si>
  <si>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</si>
  <si>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</si>
  <si>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</si>
  <si>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</si>
  <si>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</si>
  <si>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</si>
  <si>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</si>
  <si>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</si>
  <si>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</si>
  <si>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</si>
  <si>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</si>
  <si>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</si>
  <si>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</si>
  <si>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</si>
  <si>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</si>
  <si>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</si>
  <si>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</si>
  <si>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</si>
  <si>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</si>
  <si>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</si>
  <si>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</si>
  <si>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</si>
  <si>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</si>
  <si>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</si>
  <si>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</si>
  <si>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</si>
  <si>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</si>
  <si>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</si>
  <si>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</si>
  <si>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</si>
  <si>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</si>
  <si>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</si>
  <si>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</si>
  <si>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</si>
  <si>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</si>
  <si>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</si>
  <si>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</si>
  <si>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</si>
  <si>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</si>
  <si>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</si>
  <si>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</si>
  <si>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</si>
  <si>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</si>
  <si>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</si>
  <si>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</si>
  <si>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</si>
  <si>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</si>
  <si>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</si>
  <si>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</si>
  <si>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</si>
  <si>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</si>
  <si>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</si>
  <si>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</si>
  <si>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</si>
  <si>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</si>
  <si>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</si>
  <si>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</si>
  <si>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</si>
  <si>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</si>
  <si>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</si>
  <si>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</si>
  <si>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</si>
  <si>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</si>
  <si>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</si>
  <si>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</si>
  <si>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</si>
  <si>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</si>
  <si>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</si>
  <si>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</si>
  <si>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</si>
  <si>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</si>
  <si>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</si>
  <si>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</si>
  <si>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</si>
  <si>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</si>
  <si>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</si>
  <si>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</si>
  <si>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</si>
  <si>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</si>
  <si>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</si>
  <si>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</si>
  <si>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</si>
  <si>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</si>
  <si>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</si>
  <si>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</si>
  <si>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</si>
  <si>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</si>
  <si>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</si>
  <si>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</si>
  <si>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</si>
  <si>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</si>
  <si>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</si>
  <si>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</si>
  <si>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</si>
  <si>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</si>
  <si>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</si>
  <si>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</si>
  <si>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</si>
  <si>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</si>
  <si>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</si>
  <si>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</si>
  <si>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</si>
  <si>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</si>
  <si>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</si>
  <si>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</si>
  <si>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</si>
  <si>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</si>
  <si>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</si>
  <si>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</si>
  <si>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</si>
  <si>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</si>
  <si>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</si>
  <si>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</si>
  <si>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</si>
  <si>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</si>
  <si>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</si>
  <si>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</si>
  <si>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</si>
  <si>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</si>
  <si>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</si>
  <si>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</si>
  <si>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</si>
  <si>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</si>
  <si>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</si>
  <si>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</si>
  <si>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</si>
  <si>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</si>
  <si>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</si>
  <si>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</si>
  <si>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</si>
  <si>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</si>
  <si>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</si>
  <si>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</si>
  <si>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</si>
  <si>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</si>
  <si>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</si>
  <si>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</si>
  <si>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</si>
  <si>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</si>
  <si>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</si>
  <si>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</si>
  <si>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</si>
  <si>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</si>
  <si>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</si>
  <si>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</si>
  <si>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</si>
  <si>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</si>
  <si>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</si>
  <si>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</si>
  <si>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</si>
  <si>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</si>
  <si>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</si>
  <si>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</si>
  <si>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</si>
  <si>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</si>
  <si>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</si>
  <si>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</si>
  <si>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</si>
  <si>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</si>
  <si>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</si>
  <si>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</si>
  <si>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</si>
  <si>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</si>
  <si>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</si>
  <si>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</si>
  <si>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</si>
  <si>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</si>
  <si>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</si>
  <si>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</si>
  <si>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</si>
  <si>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</si>
  <si>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</si>
  <si>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</si>
  <si>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</si>
  <si>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</si>
  <si>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</si>
  <si>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</si>
  <si>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</si>
  <si>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</si>
  <si>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</si>
  <si>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</si>
  <si>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</si>
  <si>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</si>
  <si>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</si>
  <si>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</si>
  <si>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</si>
  <si>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</si>
  <si>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</si>
  <si>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</si>
  <si>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</si>
  <si>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</si>
  <si>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</si>
  <si>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</si>
  <si>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</si>
  <si>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</si>
  <si>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</si>
  <si>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</si>
  <si>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</si>
  <si>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</si>
  <si>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</si>
  <si>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</si>
  <si>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</si>
  <si>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</si>
  <si>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</si>
  <si>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</si>
  <si>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</si>
  <si>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</si>
  <si>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</si>
  <si>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</si>
  <si>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</si>
  <si>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</si>
  <si>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</si>
  <si>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</si>
  <si>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</si>
  <si>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</si>
  <si>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</si>
  <si>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</si>
  <si>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</si>
  <si>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</si>
  <si>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</si>
  <si>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</si>
  <si>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</si>
  <si>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</si>
  <si>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</si>
  <si>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</si>
  <si>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</si>
  <si>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</si>
  <si>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</si>
  <si>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</si>
  <si>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</si>
  <si>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</si>
  <si>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</si>
  <si>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</si>
  <si>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</si>
  <si>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</si>
  <si>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</si>
  <si>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</si>
  <si>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</si>
  <si>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</si>
  <si>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</si>
  <si>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</si>
  <si>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</si>
  <si>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</si>
  <si>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</si>
  <si>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</si>
  <si>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</si>
  <si>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</si>
  <si>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</si>
  <si>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</si>
  <si>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</si>
  <si>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</si>
  <si>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</si>
  <si>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</si>
  <si>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</si>
  <si>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</si>
  <si>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</si>
  <si>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</si>
  <si>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</si>
  <si>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</si>
  <si>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</si>
  <si>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</si>
  <si>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</si>
  <si>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</si>
  <si>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</si>
  <si>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</si>
  <si>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</si>
  <si>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</si>
  <si>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</si>
  <si>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</si>
  <si>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</si>
  <si>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</si>
  <si>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</si>
  <si>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</si>
  <si>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</si>
  <si>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</si>
  <si>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</si>
  <si>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</si>
  <si>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</si>
  <si>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</si>
  <si>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</si>
  <si>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</si>
  <si>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</si>
  <si>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</si>
  <si>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</si>
  <si>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</si>
  <si>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</si>
  <si>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</si>
  <si>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</si>
  <si>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</si>
  <si>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</si>
  <si>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</si>
  <si>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</si>
  <si>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</si>
  <si>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</si>
  <si>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</si>
  <si>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</si>
  <si>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</si>
  <si>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</si>
  <si>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</si>
  <si>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</si>
  <si>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</si>
  <si>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</si>
  <si>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</si>
  <si>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</si>
  <si>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</si>
  <si>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</si>
  <si>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</si>
  <si>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</si>
  <si>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</si>
  <si>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</si>
  <si>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</si>
  <si>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</si>
  <si>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</si>
  <si>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</si>
  <si>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</si>
  <si>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</si>
  <si>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</si>
  <si>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</si>
  <si>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</si>
  <si>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</si>
  <si>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</si>
  <si>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</si>
  <si>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</si>
  <si>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</si>
  <si>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</si>
  <si>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</si>
  <si>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</si>
  <si>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</si>
  <si>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</si>
  <si>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</si>
  <si>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</si>
  <si>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</si>
  <si>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</si>
  <si>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</si>
  <si>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</si>
  <si>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</si>
  <si>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</si>
  <si>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</si>
  <si>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</si>
  <si>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</si>
  <si>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</si>
  <si>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</si>
  <si>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</si>
  <si>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</si>
  <si>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</si>
  <si>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</si>
  <si>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</si>
  <si>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</si>
  <si>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</si>
  <si>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</si>
  <si>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</si>
  <si>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</si>
  <si>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</si>
  <si>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</si>
  <si>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</si>
  <si>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</si>
  <si>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</si>
  <si>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</si>
  <si>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</si>
  <si>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</si>
  <si>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</si>
  <si>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</si>
  <si>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</si>
  <si>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</si>
  <si>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</si>
  <si>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</si>
  <si>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</si>
  <si>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</si>
  <si>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</si>
  <si>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</si>
  <si>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</si>
  <si>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</si>
  <si>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</si>
  <si>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</si>
  <si>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</si>
  <si>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</si>
  <si>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</si>
  <si>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</si>
  <si>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</si>
  <si>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</si>
  <si>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</si>
  <si>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</si>
  <si>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</si>
  <si>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</si>
  <si>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</si>
  <si>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</si>
  <si>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</si>
  <si>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</si>
  <si>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</si>
  <si>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</si>
  <si>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</si>
  <si>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</si>
  <si>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</si>
  <si>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</si>
  <si>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</si>
  <si>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</si>
  <si>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</si>
  <si>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</si>
  <si>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</si>
  <si>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</si>
  <si>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</si>
  <si>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</si>
  <si>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</si>
  <si>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</si>
  <si>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</si>
  <si>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</si>
  <si>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</si>
  <si>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</si>
  <si>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</si>
  <si>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</si>
  <si>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</si>
  <si>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</si>
  <si>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</si>
  <si>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</si>
  <si>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</si>
  <si>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</si>
  <si>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</si>
  <si>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</si>
  <si>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</si>
  <si>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</si>
  <si>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</si>
  <si>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</si>
  <si>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</si>
  <si>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</si>
  <si>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</si>
  <si>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</si>
  <si>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</si>
  <si>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</si>
  <si>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</si>
  <si>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</si>
  <si>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</si>
  <si>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</si>
  <si>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</si>
  <si>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</si>
  <si>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</si>
  <si>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</si>
  <si>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</si>
  <si>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</si>
  <si>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</si>
  <si>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</si>
  <si>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</si>
  <si>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</si>
  <si>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</si>
  <si>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</si>
  <si>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</si>
  <si>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</si>
  <si>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</si>
  <si>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</si>
  <si>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</si>
  <si>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</si>
  <si>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</si>
  <si>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</si>
  <si>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</si>
  <si>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</si>
  <si>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</si>
  <si>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</si>
  <si>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</si>
  <si>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</si>
  <si>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</si>
  <si>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</si>
  <si>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</si>
  <si>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</si>
  <si>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</si>
  <si>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</si>
  <si>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</si>
  <si>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</si>
  <si>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</si>
  <si>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</si>
  <si>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</si>
  <si>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</si>
  <si>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</si>
  <si>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</si>
  <si>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</si>
  <si>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</si>
  <si>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</si>
  <si>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</si>
  <si>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</si>
  <si>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</si>
  <si>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</si>
  <si>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</si>
  <si>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</si>
  <si>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</si>
  <si>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</si>
  <si>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</si>
  <si>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</si>
  <si>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</si>
  <si>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</si>
  <si>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</si>
  <si>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</si>
  <si>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</si>
  <si>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</si>
  <si>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</si>
  <si>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</si>
  <si>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</si>
  <si>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</si>
  <si>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</si>
  <si>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</si>
  <si>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</si>
  <si>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</si>
  <si>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</si>
  <si>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</si>
  <si>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</si>
  <si>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</si>
  <si>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</si>
  <si>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</si>
  <si>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</si>
  <si>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</si>
  <si>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</si>
  <si>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</si>
  <si>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</si>
  <si>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</si>
  <si>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</si>
  <si>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</si>
  <si>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</si>
  <si>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</si>
  <si>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</si>
  <si>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</si>
  <si>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</si>
  <si>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</si>
  <si>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</si>
  <si>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</si>
  <si>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</si>
  <si>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</si>
  <si>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</si>
  <si>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</si>
  <si>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</si>
  <si>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</si>
  <si>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</si>
  <si>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</si>
  <si>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</si>
  <si>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</si>
  <si>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</si>
  <si>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</si>
  <si>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</si>
  <si>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</si>
  <si>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</si>
  <si>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</si>
  <si>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</si>
  <si>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</si>
  <si>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</si>
  <si>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</si>
  <si>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</si>
  <si>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</si>
  <si>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</si>
  <si>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</si>
  <si>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</si>
  <si>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</si>
  <si>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</si>
  <si>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</si>
  <si>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</si>
  <si>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</si>
  <si>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</si>
  <si>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</si>
  <si>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</si>
  <si>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</si>
  <si>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</si>
  <si>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</si>
  <si>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</si>
  <si>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</si>
  <si>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</si>
  <si>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</si>
  <si>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</si>
  <si>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</si>
  <si>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</si>
  <si>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</si>
  <si>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</si>
  <si>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</si>
  <si>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</si>
  <si>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</si>
  <si>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</si>
  <si>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</si>
  <si>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</si>
  <si>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</si>
  <si>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</si>
  <si>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</si>
  <si>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</si>
  <si>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</si>
  <si>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</si>
  <si>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</si>
  <si>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</si>
  <si>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</si>
  <si>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</si>
  <si>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</si>
  <si>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</si>
  <si>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</si>
  <si>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</si>
  <si>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</si>
  <si>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</si>
  <si>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</si>
  <si>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</si>
  <si>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</si>
  <si>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</si>
  <si>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</si>
  <si>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</si>
  <si>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</si>
  <si>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</si>
  <si>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</si>
  <si>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</si>
  <si>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</si>
  <si>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</si>
  <si>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</si>
  <si>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</si>
  <si>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</si>
  <si>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</si>
  <si>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</si>
  <si>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</si>
  <si>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</si>
  <si>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</si>
  <si>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</si>
  <si>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</si>
  <si>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</si>
  <si>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</si>
  <si>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</si>
  <si>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</si>
  <si>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</si>
  <si>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</si>
  <si>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</si>
  <si>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</si>
  <si>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</si>
  <si>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</si>
  <si>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</si>
  <si>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</si>
  <si>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</si>
  <si>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</si>
  <si>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</si>
  <si>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</si>
  <si>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</si>
  <si>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</si>
  <si>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</si>
  <si>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</si>
  <si>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</si>
  <si>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</si>
  <si>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</si>
  <si>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</si>
  <si>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</si>
  <si>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</si>
  <si>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</si>
  <si>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</si>
  <si>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</si>
  <si>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</si>
  <si>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</si>
  <si>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</si>
  <si>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</si>
  <si>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</si>
  <si>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</si>
  <si>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</si>
  <si>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</si>
  <si>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</si>
  <si>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</si>
  <si>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</si>
  <si>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</si>
  <si>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</si>
  <si>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</si>
  <si>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</si>
  <si>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</si>
  <si>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</si>
  <si>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</si>
  <si>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</si>
  <si>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</si>
  <si>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</si>
  <si>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</si>
  <si>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</si>
  <si>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</si>
  <si>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</si>
  <si>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</si>
  <si>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</si>
  <si>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</si>
  <si>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</si>
  <si>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</si>
  <si>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</si>
  <si>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</si>
  <si>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</si>
  <si>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</si>
  <si>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</si>
  <si>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</si>
  <si>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</si>
  <si>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</si>
  <si>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</si>
  <si>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</si>
  <si>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</si>
  <si>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</si>
  <si>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</si>
  <si>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</si>
  <si>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</si>
  <si>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</si>
  <si>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</si>
  <si>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</si>
  <si>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</si>
  <si>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</si>
  <si>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</si>
  <si>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</si>
  <si>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</si>
  <si>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</si>
  <si>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</si>
  <si>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</si>
  <si>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</si>
  <si>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</si>
  <si>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</si>
  <si>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</si>
  <si>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</si>
  <si>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</si>
  <si>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</si>
  <si>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</si>
  <si>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</si>
  <si>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</si>
  <si>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</si>
  <si>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</si>
  <si>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</si>
  <si>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</si>
  <si>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</si>
  <si>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</si>
  <si>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</si>
  <si>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</si>
  <si>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</si>
  <si>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</si>
  <si>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</si>
  <si>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</si>
  <si>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</si>
  <si>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</si>
  <si>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</si>
  <si>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</si>
  <si>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</si>
  <si>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</si>
  <si>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</si>
  <si>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</si>
  <si>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</si>
  <si>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</si>
  <si>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</si>
  <si>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</si>
  <si>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</si>
  <si>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</si>
  <si>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</si>
  <si>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</si>
  <si>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</si>
  <si>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</si>
  <si>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</si>
  <si>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</si>
  <si>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</si>
  <si>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</si>
  <si>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</si>
  <si>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</si>
  <si>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</si>
  <si>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</si>
  <si>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</si>
  <si>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</si>
  <si>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</si>
  <si>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</si>
  <si>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</si>
  <si>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</si>
  <si>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</si>
  <si>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</si>
  <si>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</si>
  <si>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</si>
  <si>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</si>
  <si>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</si>
  <si>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</si>
  <si>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</si>
  <si>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</si>
  <si>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</si>
  <si>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</si>
  <si>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</si>
  <si>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</si>
  <si>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</si>
  <si>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</si>
  <si>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</si>
  <si>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</si>
  <si>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</si>
  <si>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</si>
  <si>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</si>
  <si>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</si>
  <si>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</si>
  <si>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</si>
  <si>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</si>
  <si>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</si>
  <si>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</si>
  <si>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</si>
  <si>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</si>
  <si>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</si>
  <si>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</si>
  <si>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</si>
  <si>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</si>
  <si>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</si>
  <si>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</si>
  <si>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</si>
  <si>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</si>
  <si>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</si>
  <si>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</si>
  <si>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</si>
  <si>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</si>
  <si>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</si>
  <si>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</si>
  <si>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</si>
  <si>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</si>
  <si>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</si>
  <si>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</si>
  <si>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</si>
  <si>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</si>
  <si>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</si>
  <si>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</si>
  <si>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</si>
  <si>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</si>
  <si>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</si>
  <si>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</si>
  <si>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</si>
  <si>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</si>
  <si>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</si>
  <si>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</si>
  <si>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</si>
  <si>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</si>
  <si>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</si>
  <si>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</si>
  <si>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</si>
  <si>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</si>
  <si>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</si>
  <si>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</si>
  <si>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</si>
  <si>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</si>
  <si>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</si>
  <si>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</si>
  <si>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</si>
  <si>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</si>
  <si>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</si>
  <si>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</si>
  <si>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</si>
  <si>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</si>
  <si>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</si>
  <si>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</si>
  <si>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</si>
  <si>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</si>
  <si>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</si>
  <si>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</si>
  <si>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</si>
  <si>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</si>
  <si>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</si>
  <si>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</si>
  <si>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</si>
  <si>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</si>
  <si>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</si>
  <si>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</si>
  <si>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</si>
  <si>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</si>
  <si>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</si>
  <si>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</si>
  <si>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</si>
  <si>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</si>
  <si>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</si>
  <si>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</si>
  <si>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</si>
  <si>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</si>
  <si>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</si>
  <si>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</si>
  <si>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</si>
  <si>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</si>
  <si>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</si>
  <si>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</si>
  <si>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</si>
  <si>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</si>
  <si>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</si>
  <si>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</si>
  <si>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</si>
  <si>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</si>
  <si>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</si>
  <si>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</si>
  <si>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</si>
  <si>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</si>
  <si>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</si>
  <si>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</si>
  <si>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</si>
  <si>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</si>
  <si>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</si>
  <si>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</si>
  <si>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</si>
  <si>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</si>
  <si>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</si>
  <si>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</si>
  <si>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</si>
  <si>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</si>
  <si>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</si>
  <si>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</si>
  <si>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</si>
  <si>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</si>
  <si>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</si>
  <si>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</si>
  <si>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</si>
  <si>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</si>
  <si>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</si>
  <si>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</si>
  <si>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</si>
  <si>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</si>
  <si>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</si>
  <si>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</si>
  <si>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</si>
  <si>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</si>
  <si>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</si>
  <si>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</si>
  <si>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</si>
  <si>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</si>
  <si>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</si>
  <si>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</si>
  <si>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</si>
  <si>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</si>
  <si>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</si>
  <si>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</si>
  <si>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</si>
  <si>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</si>
  <si>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</si>
  <si>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</si>
  <si>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</si>
  <si>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</si>
  <si>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</si>
  <si>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</si>
  <si>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</si>
  <si>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</si>
  <si>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</si>
  <si>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</si>
  <si>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</si>
  <si>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</si>
  <si>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</si>
  <si>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</si>
  <si>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</si>
  <si>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</si>
  <si>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</si>
  <si>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</si>
  <si>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</si>
  <si>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</si>
  <si>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</si>
  <si>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</si>
  <si>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</si>
  <si>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</si>
  <si>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</si>
  <si>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</si>
  <si>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</si>
  <si>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</si>
  <si>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</si>
  <si>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</si>
  <si>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</si>
  <si>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</si>
  <si>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</si>
  <si>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</si>
  <si>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</si>
  <si>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</si>
  <si>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</si>
  <si>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</si>
  <si>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</si>
  <si>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</si>
  <si>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</si>
  <si>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</si>
  <si>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</si>
  <si>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</si>
  <si>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</si>
  <si>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</si>
  <si>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</si>
  <si>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</si>
  <si>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</si>
  <si>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</si>
  <si>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</si>
  <si>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</si>
  <si>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</si>
  <si>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</si>
  <si>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</si>
  <si>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</si>
  <si>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</si>
  <si>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</si>
  <si>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</si>
  <si>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</si>
  <si>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</si>
  <si>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</si>
  <si>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</si>
  <si>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</si>
  <si>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</si>
  <si>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</si>
  <si>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</si>
  <si>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</si>
  <si>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</si>
  <si>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</si>
  <si>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</si>
  <si>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</si>
  <si>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</si>
  <si>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</si>
  <si>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</si>
  <si>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</si>
  <si>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</si>
  <si>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</si>
  <si>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</si>
  <si>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</si>
  <si>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</si>
  <si>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</si>
  <si>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</si>
  <si>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</si>
  <si>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</si>
  <si>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</si>
  <si>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</si>
  <si>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</si>
  <si>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</si>
  <si>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</si>
  <si>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</si>
  <si>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</si>
  <si>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</si>
  <si>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</si>
  <si>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</si>
  <si>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</si>
  <si>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</si>
  <si>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</si>
  <si>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</si>
  <si>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</si>
  <si>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</si>
  <si>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</si>
  <si>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</si>
  <si>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</si>
  <si>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</si>
  <si>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</si>
  <si>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</si>
  <si>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</si>
  <si>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</si>
  <si>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</si>
  <si>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</si>
  <si>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</si>
  <si>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</si>
  <si>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</si>
  <si>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</si>
  <si>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</si>
  <si>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</si>
  <si>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</si>
  <si>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</si>
  <si>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</si>
  <si>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</si>
  <si>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</si>
  <si>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</si>
  <si>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</si>
  <si>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</si>
  <si>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</si>
  <si>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</si>
  <si>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</si>
  <si>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</si>
  <si>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</si>
  <si>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</si>
  <si>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</si>
  <si>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</si>
  <si>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</si>
  <si>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</si>
  <si>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</si>
  <si>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</si>
  <si>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</si>
  <si>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</si>
  <si>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</si>
  <si>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</si>
  <si>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</si>
  <si>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</si>
  <si>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</si>
  <si>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</si>
  <si>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</si>
  <si>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</si>
  <si>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</si>
  <si>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</si>
  <si>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</si>
  <si>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</si>
  <si>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</si>
  <si>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</si>
  <si>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</si>
  <si>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</si>
  <si>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</si>
  <si>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</si>
  <si>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</si>
  <si>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</si>
  <si>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</si>
  <si>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</si>
  <si>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</si>
  <si>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</si>
  <si>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</si>
  <si>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</si>
  <si>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</si>
  <si>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</si>
  <si>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</si>
  <si>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</si>
  <si>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</si>
  <si>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</si>
  <si>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</si>
  <si>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</si>
  <si>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</si>
  <si>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</si>
  <si>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</si>
  <si>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</si>
  <si>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</si>
  <si>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</si>
  <si>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</si>
  <si>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</si>
  <si>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</si>
  <si>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</si>
  <si>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</si>
  <si>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</si>
  <si>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</si>
  <si>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</si>
  <si>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</si>
  <si>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</si>
  <si>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</si>
  <si>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</si>
  <si>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</si>
  <si>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</si>
  <si>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</si>
  <si>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</si>
  <si>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</si>
  <si>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</si>
  <si>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</si>
  <si>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</si>
  <si>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</si>
  <si>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</si>
  <si>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</si>
  <si>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</si>
  <si>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</si>
  <si>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</si>
  <si>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</si>
  <si>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</si>
  <si>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</si>
  <si>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</si>
  <si>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</si>
  <si>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</si>
  <si>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</si>
  <si>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</si>
  <si>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</si>
  <si>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</si>
  <si>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</si>
  <si>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</si>
  <si>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</si>
  <si>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</si>
  <si>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</si>
  <si>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</si>
  <si>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</si>
  <si>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</si>
  <si>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</si>
  <si>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</si>
  <si>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</si>
  <si>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</si>
  <si>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</si>
  <si>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</si>
  <si>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</si>
  <si>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</si>
  <si>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</si>
  <si>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</si>
  <si>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</si>
  <si>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</si>
  <si>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</si>
  <si>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</si>
  <si>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</si>
  <si>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</si>
  <si>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</si>
  <si>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</si>
  <si>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</si>
  <si>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</si>
  <si>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</si>
  <si>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</si>
  <si>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</si>
  <si>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</si>
  <si>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</si>
  <si>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</si>
  <si>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</si>
  <si>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</si>
  <si>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</si>
  <si>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</si>
  <si>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</si>
  <si>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</si>
  <si>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</si>
  <si>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</si>
  <si>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</si>
  <si>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</si>
  <si>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</si>
  <si>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</si>
  <si>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</si>
  <si>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</si>
  <si>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</si>
  <si>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</si>
  <si>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</si>
  <si>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</si>
  <si>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</si>
  <si>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</si>
  <si>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</si>
  <si>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</si>
  <si>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</si>
  <si>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</si>
  <si>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</si>
  <si>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</si>
  <si>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</si>
  <si>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</si>
  <si>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</si>
  <si>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</si>
  <si>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</si>
  <si>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</si>
  <si>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</si>
  <si>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</si>
  <si>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</si>
  <si>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</si>
  <si>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</si>
  <si>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</si>
  <si>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</si>
  <si>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</si>
  <si>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</si>
  <si>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</si>
  <si>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</si>
  <si>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</si>
  <si>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</si>
  <si>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</si>
  <si>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</si>
  <si>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</si>
  <si>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</si>
  <si>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</si>
  <si>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</si>
  <si>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</si>
  <si>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</si>
  <si>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</si>
  <si>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</si>
  <si>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</si>
  <si>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</si>
  <si>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</si>
  <si>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</si>
  <si>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</si>
  <si>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</si>
  <si>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</si>
  <si>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</si>
  <si>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</si>
  <si>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</si>
  <si>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</si>
  <si>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</si>
  <si>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</si>
  <si>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</si>
  <si>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</si>
  <si>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</si>
  <si>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</si>
  <si>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</si>
  <si>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</si>
  <si>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</si>
  <si>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</si>
  <si>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</si>
  <si>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</si>
  <si>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</si>
  <si>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</si>
  <si>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</si>
  <si>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</si>
  <si>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</si>
  <si>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</si>
  <si>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</si>
  <si>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</si>
  <si>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</si>
  <si>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</si>
  <si>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</si>
  <si>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</si>
  <si>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</si>
  <si>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</si>
  <si>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</si>
  <si>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</si>
  <si>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</si>
  <si>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</si>
  <si>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</si>
  <si>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</si>
  <si>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</si>
  <si>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</si>
  <si>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</si>
  <si>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</si>
  <si>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</si>
  <si>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</si>
  <si>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</si>
  <si>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</si>
  <si>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</si>
  <si>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</si>
  <si>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</si>
  <si>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</si>
  <si>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</si>
  <si>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</si>
  <si>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</si>
  <si>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</si>
  <si>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</si>
  <si>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</si>
  <si>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</si>
  <si>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</si>
  <si>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</si>
  <si>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</si>
  <si>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</si>
  <si>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</si>
  <si>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</si>
  <si>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</si>
  <si>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</si>
  <si>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</si>
  <si>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</si>
  <si>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</si>
  <si>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</si>
  <si>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</si>
  <si>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</si>
  <si>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</si>
  <si>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</si>
  <si>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</si>
  <si>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</si>
  <si>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</si>
  <si>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</si>
  <si>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</si>
  <si>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</si>
  <si>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</si>
  <si>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</si>
  <si>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</si>
  <si>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</si>
  <si>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</si>
  <si>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</si>
  <si>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</si>
  <si>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</si>
  <si>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</si>
  <si>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</si>
  <si>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</si>
  <si>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</si>
  <si>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</si>
  <si>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</si>
  <si>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</si>
  <si>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</si>
  <si>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</si>
  <si>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</si>
  <si>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</si>
  <si>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</si>
  <si>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</si>
  <si>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</si>
  <si>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</si>
  <si>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</si>
  <si>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</si>
  <si>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</si>
  <si>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</si>
  <si>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</si>
  <si>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</si>
  <si>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</si>
  <si>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</si>
  <si>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</si>
  <si>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</si>
  <si>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</si>
  <si>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</si>
  <si>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</si>
  <si>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</si>
  <si>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</si>
  <si>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</si>
  <si>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</si>
  <si>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</si>
  <si>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</si>
  <si>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</si>
  <si>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</si>
  <si>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</si>
  <si>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</si>
  <si>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</si>
  <si>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</si>
  <si>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</si>
  <si>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</si>
  <si>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</si>
  <si>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</si>
  <si>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</si>
  <si>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</si>
  <si>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</si>
  <si>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</si>
  <si>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</si>
  <si>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</si>
  <si>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</si>
  <si>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</si>
  <si>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</si>
  <si>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</si>
  <si>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</si>
  <si>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</si>
  <si>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</si>
  <si>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</si>
  <si>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</si>
  <si>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</si>
  <si>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</si>
  <si>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</si>
  <si>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</si>
  <si>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</si>
  <si>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</si>
  <si>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</si>
  <si>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</si>
  <si>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</si>
  <si>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</si>
  <si>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</si>
  <si>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</si>
  <si>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</si>
  <si>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</si>
  <si>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</si>
  <si>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</si>
  <si>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</si>
  <si>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</si>
  <si>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</si>
  <si>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</si>
  <si>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</si>
  <si>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</si>
  <si>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</si>
  <si>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</si>
  <si>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</si>
  <si>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</si>
  <si>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</si>
  <si>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</si>
  <si>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</si>
  <si>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</si>
  <si>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</si>
  <si>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</si>
  <si>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</si>
  <si>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</si>
  <si>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</si>
  <si>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</si>
  <si>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</si>
  <si>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</si>
  <si>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</si>
  <si>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</si>
  <si>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</si>
  <si>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</si>
  <si>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</si>
  <si>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</si>
  <si>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</si>
  <si>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</si>
  <si>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</si>
  <si>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</si>
  <si>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</si>
  <si>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</si>
  <si>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</si>
  <si>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</si>
  <si>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</si>
  <si>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</si>
  <si>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</si>
  <si>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</si>
  <si>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</si>
  <si>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</si>
  <si>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</si>
  <si>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</si>
  <si>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</si>
  <si>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</si>
  <si>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</si>
  <si>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</si>
  <si>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</si>
  <si>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</si>
  <si>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</si>
  <si>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</si>
  <si>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</si>
  <si>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</si>
  <si>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</si>
  <si>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</si>
  <si>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</si>
  <si>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</si>
  <si>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</si>
  <si>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</si>
  <si>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</si>
  <si>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</si>
  <si>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</si>
  <si>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</si>
  <si>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</si>
  <si>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</si>
  <si>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</si>
  <si>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</si>
  <si>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</si>
  <si>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</si>
  <si>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</si>
  <si>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</si>
  <si>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</si>
  <si>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</si>
  <si>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</si>
  <si>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</si>
  <si>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</si>
  <si>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</si>
  <si>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</si>
  <si>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</si>
  <si>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</si>
  <si>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</si>
  <si>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</si>
  <si>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</si>
  <si>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</si>
  <si>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</si>
  <si>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</si>
  <si>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</si>
  <si>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</si>
  <si>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</si>
  <si>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</si>
  <si>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</si>
  <si>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</si>
  <si>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</si>
  <si>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</si>
  <si>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</si>
  <si>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</si>
  <si>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</si>
  <si>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</si>
  <si>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</si>
  <si>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</si>
  <si>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</si>
  <si>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</si>
  <si>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</si>
  <si>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</si>
  <si>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</si>
  <si>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</si>
  <si>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</si>
  <si>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</si>
  <si>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</si>
  <si>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</si>
  <si>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</si>
  <si>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</si>
  <si>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</si>
  <si>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</si>
  <si>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</si>
  <si>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</si>
  <si>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</si>
  <si>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</si>
  <si>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</si>
  <si>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</si>
  <si>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</si>
  <si>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</si>
  <si>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</si>
  <si>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</si>
  <si>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</si>
  <si>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</si>
  <si>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</si>
  <si>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</si>
  <si>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</si>
  <si>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</si>
  <si>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</si>
  <si>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</si>
  <si>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</si>
  <si>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</si>
  <si>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</si>
  <si>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</si>
  <si>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</si>
  <si>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</si>
  <si>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</si>
  <si>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</si>
  <si>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</si>
  <si>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</si>
  <si>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</si>
  <si>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</si>
  <si>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</si>
  <si>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</si>
  <si>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</si>
  <si>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</si>
  <si>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</si>
  <si>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</si>
  <si>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</si>
  <si>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</si>
  <si>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</si>
  <si>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</si>
  <si>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</si>
  <si>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</si>
  <si>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</si>
  <si>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</si>
  <si>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</si>
  <si>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</si>
  <si>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</si>
  <si>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</si>
  <si>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</si>
  <si>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</si>
  <si>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</si>
  <si>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</si>
  <si>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</si>
  <si>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</si>
  <si>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</si>
  <si>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</si>
  <si>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</si>
  <si>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</si>
  <si>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</si>
  <si>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</si>
  <si>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</si>
  <si>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</si>
  <si>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</si>
  <si>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</si>
  <si>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</si>
  <si>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</si>
  <si>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</si>
  <si>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</si>
  <si>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</si>
  <si>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</si>
  <si>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</si>
  <si>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</si>
  <si>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</si>
  <si>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</si>
  <si>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</si>
  <si>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</si>
  <si>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</si>
  <si>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</si>
  <si>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</si>
  <si>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</si>
  <si>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</si>
  <si>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</si>
  <si>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</si>
  <si>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</si>
  <si>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</si>
  <si>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</si>
  <si>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</si>
  <si>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</si>
  <si>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</si>
  <si>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</si>
  <si>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</si>
  <si>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</si>
  <si>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</si>
  <si>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</si>
  <si>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</si>
  <si>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</si>
  <si>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</si>
  <si>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</si>
  <si>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</si>
  <si>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</si>
  <si>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</si>
  <si>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</si>
  <si>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</si>
  <si>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</si>
  <si>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</si>
  <si>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</si>
  <si>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</si>
  <si>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</si>
  <si>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</si>
  <si>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</si>
  <si>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</si>
  <si>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</si>
  <si>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</si>
  <si>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</si>
  <si>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</si>
  <si>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</si>
  <si>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</si>
  <si>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</si>
  <si>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</si>
  <si>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</si>
  <si>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</si>
  <si>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</si>
  <si>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</si>
  <si>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</si>
  <si>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</si>
  <si>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</si>
  <si>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</si>
  <si>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</si>
  <si>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</si>
  <si>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</si>
  <si>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</si>
  <si>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</si>
  <si>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</si>
  <si>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</si>
  <si>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</si>
  <si>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</si>
  <si>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</si>
  <si>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</si>
  <si>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</si>
  <si>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</si>
  <si>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</si>
  <si>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</si>
  <si>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</si>
  <si>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</si>
  <si>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</si>
  <si>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</si>
  <si>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</si>
  <si>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</si>
  <si>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</si>
  <si>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</si>
  <si>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</si>
  <si>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</si>
  <si>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</si>
  <si>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</si>
  <si>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</si>
  <si>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</si>
  <si>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</si>
  <si>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</si>
  <si>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</si>
  <si>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</si>
  <si>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</si>
  <si>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</si>
  <si>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</si>
  <si>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</si>
  <si>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</si>
  <si>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</si>
  <si>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</si>
  <si>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</si>
  <si>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</si>
  <si>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</si>
  <si>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</si>
  <si>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</si>
  <si>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</si>
  <si>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</si>
  <si>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</si>
  <si>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</si>
  <si>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</si>
  <si>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</si>
  <si>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</si>
  <si>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</si>
  <si>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</si>
  <si>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</si>
  <si>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</si>
  <si>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</si>
  <si>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</si>
  <si>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</si>
  <si>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</si>
  <si>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</si>
  <si>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</si>
  <si>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</si>
  <si>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</si>
  <si>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</si>
  <si>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</si>
  <si>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</si>
  <si>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</si>
  <si>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</si>
  <si>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</si>
  <si>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</si>
  <si>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</si>
  <si>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</si>
  <si>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</si>
  <si>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</si>
  <si>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</si>
  <si>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</si>
  <si>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</si>
  <si>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</si>
  <si>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</si>
  <si>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</si>
  <si>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</si>
  <si>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</si>
  <si>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</si>
  <si>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</si>
  <si>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</si>
  <si>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</si>
  <si>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</si>
  <si>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</si>
  <si>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</si>
  <si>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</si>
  <si>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</si>
  <si>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</si>
  <si>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</si>
  <si>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</si>
  <si>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</si>
  <si>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</si>
  <si>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</si>
  <si>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</si>
  <si>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</si>
  <si>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</si>
  <si>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</si>
  <si>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</si>
  <si>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</si>
  <si>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</si>
  <si>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</si>
  <si>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</si>
  <si>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</si>
  <si>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</si>
  <si>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</si>
  <si>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</si>
  <si>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</si>
  <si>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</si>
  <si>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</si>
  <si>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</si>
  <si>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</si>
  <si>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</si>
  <si>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</si>
  <si>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</si>
  <si>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</si>
  <si>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</si>
  <si>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</si>
  <si>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</si>
  <si>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</si>
  <si>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</si>
  <si>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</si>
  <si>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</si>
  <si>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</si>
  <si>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</si>
  <si>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</si>
  <si>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</si>
  <si>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</si>
  <si>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</si>
  <si>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</si>
  <si>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</si>
  <si>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</si>
  <si>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</si>
  <si>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</si>
  <si>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</si>
  <si>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</si>
  <si>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</si>
  <si>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</si>
  <si>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</si>
  <si>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</si>
  <si>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</si>
  <si>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</si>
  <si>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</si>
  <si>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</si>
  <si>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</si>
  <si>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</si>
  <si>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</si>
  <si>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</si>
  <si>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</si>
  <si>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</si>
  <si>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</si>
  <si>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</si>
  <si>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</si>
  <si>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</si>
  <si>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</si>
  <si>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</si>
  <si>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</si>
  <si>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</si>
  <si>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</si>
  <si>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</si>
  <si>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</si>
  <si>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</si>
  <si>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</si>
  <si>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</si>
  <si>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</si>
  <si>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</si>
  <si>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</si>
  <si>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</si>
  <si>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</si>
  <si>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</si>
  <si>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</si>
  <si>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</si>
  <si>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</si>
  <si>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</si>
  <si>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</si>
  <si>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</si>
  <si>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</si>
  <si>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</si>
  <si>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</si>
  <si>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</si>
  <si>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</si>
  <si>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</si>
  <si>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</si>
  <si>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</si>
  <si>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</si>
  <si>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</si>
  <si>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</si>
  <si>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</si>
  <si>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</si>
  <si>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</si>
  <si>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</si>
  <si>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</si>
  <si>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</si>
  <si>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</si>
  <si>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</si>
  <si>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</si>
  <si>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</si>
  <si>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</si>
  <si>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</si>
  <si>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</si>
  <si>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</si>
  <si>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</si>
  <si>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</si>
  <si>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</si>
  <si>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</si>
  <si>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</si>
  <si>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</si>
  <si>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</si>
  <si>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</si>
  <si>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</si>
  <si>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</si>
  <si>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</si>
  <si>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</si>
  <si>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</si>
  <si>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</si>
  <si>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</si>
  <si>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</si>
  <si>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</si>
  <si>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</si>
  <si>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</si>
  <si>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</si>
  <si>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</si>
  <si>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</si>
  <si>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</si>
  <si>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</si>
  <si>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</si>
  <si>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</si>
  <si>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</si>
  <si>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</si>
  <si>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</si>
  <si>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</si>
  <si>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</si>
  <si>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</si>
  <si>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</si>
  <si>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</si>
  <si>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</si>
  <si>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</si>
  <si>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</si>
  <si>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</si>
  <si>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</si>
  <si>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</si>
  <si>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</si>
  <si>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</si>
  <si>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</si>
  <si>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</si>
  <si>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</si>
  <si>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</si>
  <si>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</si>
  <si>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</si>
  <si>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</si>
  <si>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</si>
  <si>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</si>
  <si>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</si>
  <si>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</si>
  <si>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</si>
  <si>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</si>
  <si>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</si>
  <si>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</si>
  <si>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</si>
  <si>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</si>
  <si>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</si>
  <si>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</si>
  <si>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</si>
  <si>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</si>
  <si>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</si>
  <si>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</si>
  <si>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</si>
  <si>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</si>
  <si>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</si>
  <si>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</si>
  <si>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</si>
  <si>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</si>
  <si>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</si>
  <si>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</si>
  <si>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</si>
  <si>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</si>
  <si>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</si>
  <si>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</si>
  <si>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</si>
  <si>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</si>
  <si>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</si>
  <si>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</si>
  <si>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</si>
  <si>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</si>
  <si>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</si>
  <si>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</si>
  <si>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</si>
  <si>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</si>
  <si>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</si>
  <si>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</si>
  <si>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</si>
  <si>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</si>
  <si>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</si>
  <si>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</si>
  <si>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</si>
  <si>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</si>
  <si>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</si>
  <si>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</si>
  <si>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</si>
  <si>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</si>
  <si>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</si>
  <si>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</si>
  <si>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</si>
  <si>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</si>
  <si>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</si>
  <si>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</si>
  <si>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</si>
  <si>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</si>
  <si>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</si>
  <si>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</si>
  <si>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</si>
  <si>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</si>
  <si>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</si>
  <si>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</si>
  <si>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</si>
  <si>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SEE SEFA18 TAB</t>
  </si>
  <si>
    <t>bill.link@pekin.net</t>
  </si>
  <si>
    <t>Bill Link</t>
  </si>
  <si>
    <t>53-090-1080-02</t>
  </si>
  <si>
    <t>Tazewell</t>
  </si>
  <si>
    <t>Pekin Public Schools District No. 108</t>
  </si>
  <si>
    <t>Pekin</t>
  </si>
  <si>
    <t>501 Washington Street</t>
  </si>
  <si>
    <t>Jason A. Hohulin, CPA</t>
  </si>
  <si>
    <t>jhohulin@gorenzcpa.com</t>
  </si>
  <si>
    <t>x</t>
  </si>
  <si>
    <t>Limited School Bonds, Series 2010</t>
  </si>
  <si>
    <t>Flex benefits outsources to GPS Solutions</t>
  </si>
  <si>
    <t>Member of Ilinois Energ Consortium (electric/natural gas)</t>
  </si>
  <si>
    <t>Illinois School District Liquid Asset Fund</t>
  </si>
  <si>
    <t>Tazewell-Mason Special Educaion Association</t>
  </si>
  <si>
    <t>US Communities Government Purchasing Cooperative</t>
  </si>
  <si>
    <t>Intergovernmental agreement w/ Pekin D303 &amp; City of Pekin</t>
  </si>
  <si>
    <t>Outsourced to ABBCO</t>
  </si>
  <si>
    <t>2017-001</t>
  </si>
  <si>
    <t>Unauthorized interfund loans</t>
  </si>
  <si>
    <t>Cash Basis - Commodities NOT recorded in Revenue</t>
  </si>
  <si>
    <t>Build America Bond - Interest Reimbursement</t>
  </si>
  <si>
    <t>PEKIN PUBLIC SCHOOLS DISTRICT NO. 108</t>
  </si>
  <si>
    <t xml:space="preserve">                              Year Ending June 30, 2018                             </t>
  </si>
  <si>
    <t>ISBE</t>
  </si>
  <si>
    <t xml:space="preserve">          Receipts/Revenues          </t>
  </si>
  <si>
    <t xml:space="preserve">  Expenditures/Disbursements  </t>
  </si>
  <si>
    <t>Project</t>
  </si>
  <si>
    <t>Prior to</t>
  </si>
  <si>
    <t>7/1/17 -</t>
  </si>
  <si>
    <t>Final</t>
  </si>
  <si>
    <t>Federal Grantor/Pass-Through Grantor,</t>
  </si>
  <si>
    <t>Number</t>
  </si>
  <si>
    <t>7/1/17</t>
  </si>
  <si>
    <t>6/30/18</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</si>
  <si>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</si>
  <si>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</si>
  <si>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</si>
  <si>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</si>
  <si>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</si>
  <si>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</si>
  <si>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</si>
  <si>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</si>
  <si>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</si>
  <si>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</si>
  <si>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</si>
  <si>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</si>
  <si>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</si>
  <si>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</si>
  <si>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</si>
  <si>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17-4210-00</t>
  </si>
  <si>
    <t>N/A</t>
  </si>
  <si>
    <t>18-4210-00</t>
  </si>
  <si>
    <t>Food Donation (3)</t>
  </si>
  <si>
    <t>FY17</t>
  </si>
  <si>
    <t>FY18</t>
  </si>
  <si>
    <t>Commodity Salvage</t>
  </si>
  <si>
    <t>FY08</t>
  </si>
  <si>
    <t>Dept. of Defense -</t>
  </si>
  <si>
    <t>Fresh Fruits and Vegetables (3)</t>
  </si>
  <si>
    <t>17-4220-00</t>
  </si>
  <si>
    <t>18-4220-00</t>
  </si>
  <si>
    <t>17-4225-00</t>
  </si>
  <si>
    <t>18-4225-00</t>
  </si>
  <si>
    <t xml:space="preserve">Total U.S. Department of Agriculture - Pass-through programs  </t>
  </si>
  <si>
    <t xml:space="preserve">U.S. Department of Education - </t>
  </si>
  <si>
    <t>84.367A</t>
  </si>
  <si>
    <t>15-4932-00</t>
  </si>
  <si>
    <t>16-4932-00</t>
  </si>
  <si>
    <t>17-4300-00</t>
  </si>
  <si>
    <t>18-4300-00</t>
  </si>
  <si>
    <t>Room &amp; Board</t>
  </si>
  <si>
    <t>I.D.E.A. - Room &amp; Board-Excess Costs</t>
  </si>
  <si>
    <t>84.027A</t>
  </si>
  <si>
    <t>17-4625-XC</t>
  </si>
  <si>
    <t>17-4932-00</t>
  </si>
  <si>
    <t>18-4932-00</t>
  </si>
  <si>
    <t xml:space="preserve">  Tazewell Mason Special Education Co-Op</t>
  </si>
  <si>
    <t>I.D.E.A. - Preschool Incentive Grant</t>
  </si>
  <si>
    <t>17-4600-00</t>
  </si>
  <si>
    <t>18-4600-00</t>
  </si>
  <si>
    <t>ARRA - I.D.E.A. Flow-Through</t>
  </si>
  <si>
    <t>84.391A</t>
  </si>
  <si>
    <t>11-4857-00</t>
  </si>
  <si>
    <t>I.D.E.A. - Flow-Through</t>
  </si>
  <si>
    <t>17-4620-00</t>
  </si>
  <si>
    <t>18-4620-00</t>
  </si>
  <si>
    <t>Total U.S. Department of Education - Pass through programs</t>
  </si>
  <si>
    <t xml:space="preserve">U.S. Department of Health and Human Services - </t>
  </si>
  <si>
    <t xml:space="preserve">   Illinois Department of Healthcare</t>
  </si>
  <si>
    <t xml:space="preserve">   and Family Services</t>
  </si>
  <si>
    <t>Medicaid Administrative Outreach</t>
  </si>
  <si>
    <t>17-4991-00</t>
  </si>
  <si>
    <t>18-4991-00</t>
  </si>
  <si>
    <t xml:space="preserve">   Peoria School District #150</t>
  </si>
  <si>
    <t>10-4991-00</t>
  </si>
  <si>
    <t>11-4991-00</t>
  </si>
  <si>
    <t>Total U.S. Department of Health and Human Services - Pass-through programs</t>
  </si>
  <si>
    <t>Federal Emergency Management Agency</t>
  </si>
  <si>
    <t xml:space="preserve">  Passed Thruough the Illinois Emergency Management Agency</t>
  </si>
  <si>
    <t>Emergency Snow Removal</t>
  </si>
  <si>
    <t>11-4998-00</t>
  </si>
  <si>
    <t>Total Federal Emergency Management Agency</t>
  </si>
  <si>
    <t>Total Federal Awards</t>
  </si>
  <si>
    <t>Total Federal Awards Passed Through Illinois State Board of Education</t>
  </si>
  <si>
    <t>Total Federal Awards Passed Through Other Entities</t>
  </si>
  <si>
    <t>(M) Indicates Major Federal Financial Assistance Program.</t>
  </si>
  <si>
    <t>(1) Project Not Complete as of June 30, 2018.</t>
  </si>
  <si>
    <t>(2) Carryover from Prior Year Project.</t>
  </si>
  <si>
    <t>(3) Nonmonetary assistance is reported in the schedule at the fair market value of the commodities received and disbursed.</t>
  </si>
  <si>
    <r>
      <t xml:space="preserve">Of the federal expenditures presented in the schedule, </t>
    </r>
    <r>
      <rPr>
        <b/>
        <sz val="9"/>
        <rFont val="Calibri"/>
        <family val="2"/>
        <scheme val="minor"/>
      </rPr>
      <t xml:space="preserve">Pekin Public Schools District No. 108 </t>
    </r>
    <r>
      <rPr>
        <sz val="9"/>
        <rFont val="Calibri"/>
        <family val="2"/>
        <scheme val="minor"/>
      </rPr>
      <t>provided federal awards to subrecipients as follows:</t>
    </r>
  </si>
  <si>
    <r>
      <t xml:space="preserve">The accompanying Schedule of Expenditures of Federal Awards includes the federal grant activity of Pekin Public Schools District No. 108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</si>
  <si>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The District did NOT provide federal awards to any subrecipients during the year ended June 30, 2018</t>
  </si>
  <si>
    <r>
      <t xml:space="preserve">The following amounts were expended in the form of non-cash assistance by </t>
    </r>
    <r>
      <rPr>
        <b/>
        <sz val="9"/>
        <rFont val="Calibri"/>
        <family val="2"/>
        <scheme val="minor"/>
      </rPr>
      <t>Pekin Public Schools District No. 108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</si>
  <si>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Note 4:  Relationship to Basic Financial Statements and Program Financial Reports</t>
  </si>
  <si>
    <t>Note 5:  Non-Cash Assistance</t>
  </si>
  <si>
    <t>Note 6:  Other Information</t>
  </si>
  <si>
    <t>Federal awards received are reflected in the District's financial statements within the Educational, Debt Service, and Municipal
Retirement/Social Security Funds as receipts from federal sources. Amounts reported in the accompanying Schedule of
Federal Awards agree with amounts reported in the Program Financial Report for programs which have filed final reports as
of June 30, 2018, with ISBE.</t>
  </si>
  <si>
    <t>Unmodified</t>
  </si>
  <si>
    <t>10.553, 10.555, &amp; 10.559</t>
  </si>
  <si>
    <t>Child Nutrition Cluster</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</si>
  <si>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</si>
  <si>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</si>
  <si>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</si>
  <si>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</si>
  <si>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</si>
  <si>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</si>
  <si>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</si>
  <si>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</si>
  <si>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</si>
  <si>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2018 -</t>
  </si>
  <si>
    <t>The opinion is adverse due to the use of the Regulatory Basis of Accounting.</t>
  </si>
  <si>
    <t>ISBE Tech Loan</t>
  </si>
  <si>
    <t>Page 10, Line 74 - Other Food Service - Misc. Food Sales and Catering</t>
  </si>
  <si>
    <t>Page 16, Line 73 - Other Support Services - Parent Coordinator</t>
  </si>
  <si>
    <t>Page 15, Line 41 - Other Support Services - Pupils - Misc. Special Education Supplies</t>
  </si>
  <si>
    <t>Page 11, Line 107 - Other Local Revenues - Commission on Coke Machine</t>
  </si>
  <si>
    <t xml:space="preserve">Page 16, Line 83 - Other Payments to In-Statements </t>
  </si>
  <si>
    <t>Page 18, Line 171 - Bond Fees</t>
  </si>
  <si>
    <t>Page 20, Line 278 - Parent Coordinator</t>
  </si>
  <si>
    <t>Page 24, Line 32 - ISBE Tech Loan</t>
  </si>
  <si>
    <t>Page 29, Line 68 - "PLEASE ENTER CONTRACTS PAID IN THE CURRENT YEAR"</t>
  </si>
  <si>
    <t>For the current fiscal year under audit, the district did not have any qualifying contracts</t>
  </si>
  <si>
    <t>exceeding the $25,000 limit.</t>
  </si>
  <si>
    <t>City of Pekin - Bus Department</t>
  </si>
  <si>
    <t>40-2550-300</t>
  </si>
  <si>
    <t>Transp.-Pupil. Transp.-Purchase Services</t>
  </si>
  <si>
    <t>18-4625-XC</t>
  </si>
  <si>
    <t>Pekin, IL</t>
  </si>
  <si>
    <t>None</t>
  </si>
  <si>
    <t>066-005027</t>
  </si>
  <si>
    <t>Corrective Action Taken</t>
  </si>
  <si>
    <t>see PDF version</t>
  </si>
  <si>
    <t>Pekin PSD 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</si>
</sst>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 numFmtId="184" formatCode="_(* #,##0_);_(* \(#,##0\);_(* &quot;0&quot;_);_(@_)"/>
    <numFmt numFmtId="185" formatCode="#,##0.000_);\(#,##0.000\)"/>
    <numFmt numFmtId="186" formatCode="_(* #,##0.00_);_(* \(#,##0.00\);_(* &quot; &quot;_);_(@_)"/>
  </numFmts>
  <fonts count="1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Courier"/>
    </font>
    <font>
      <sz val="11"/>
      <name val="Times New Roman"/>
      <family val="1"/>
    </font>
    <font>
      <sz val="11"/>
      <name val="Courier"/>
      <family val="3"/>
    </font>
    <font>
      <sz val="10"/>
      <name val="Courier"/>
      <family val="3"/>
    </font>
    <font>
      <b/>
      <sz val="11"/>
      <name val="Times New Roman"/>
      <family val="1"/>
    </font>
    <font>
      <b/>
      <u/>
      <sz val="11"/>
      <name val="Times New Roman"/>
      <family val="1"/>
    </font>
    <font>
      <u/>
      <sz val="11"/>
      <name val="Times New Roman"/>
      <family val="1"/>
    </font>
    <font>
      <u val="singleAccounting"/>
      <sz val="11"/>
      <name val="Times New Roman"/>
      <family val="1"/>
    </font>
    <font>
      <u val="doubleAccounting"/>
      <sz val="11"/>
      <name val="Times New Roman"/>
      <family val="1"/>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37" fontId="138" fillId="0" borderId="0"/>
    <xf numFmtId="37" fontId="141" fillId="0" borderId="0" applyProtection="0"/>
    <xf numFmtId="43" fontId="45" fillId="0" borderId="0" applyFont="0" applyFill="0" applyBorder="0" applyAlignment="0" applyProtection="0"/>
  </cellStyleXfs>
  <cellXfs count="261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6" fillId="0" borderId="158" xfId="17" applyFont="1" applyBorder="1" applyAlignment="1" applyProtection="1">
      <alignment horizontal="left" vertical="top" wrapText="1"/>
      <protection locked="0"/>
    </xf>
    <xf numFmtId="0" fontId="6" fillId="0" borderId="158"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8"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179" fontId="57" fillId="0" borderId="0" xfId="3" applyNumberFormat="1" applyFont="1" applyBorder="1" applyAlignment="1" applyProtection="1">
      <alignment horizontal="center"/>
      <protection locked="0"/>
    </xf>
    <xf numFmtId="0" fontId="57" fillId="0" borderId="0" xfId="3" applyFont="1" applyBorder="1" applyAlignment="1" applyProtection="1">
      <alignment horizontal="center"/>
      <protection locked="0"/>
    </xf>
    <xf numFmtId="49" fontId="3" fillId="0" borderId="158" xfId="17" applyNumberFormat="1" applyFont="1" applyBorder="1" applyAlignment="1" applyProtection="1">
      <alignment horizontal="center" vertical="top"/>
      <protection locked="0"/>
    </xf>
    <xf numFmtId="0" fontId="3" fillId="0" borderId="158" xfId="17" applyFont="1" applyBorder="1" applyAlignment="1" applyProtection="1">
      <alignment vertical="top"/>
      <protection locked="0"/>
    </xf>
    <xf numFmtId="37" fontId="139" fillId="0" borderId="0" xfId="19" applyFont="1" applyFill="1" applyAlignment="1">
      <alignment horizontal="centerContinuous" vertical="center"/>
    </xf>
    <xf numFmtId="37" fontId="139" fillId="0" borderId="0" xfId="19" applyFont="1" applyFill="1" applyAlignment="1">
      <alignment vertical="center"/>
    </xf>
    <xf numFmtId="37" fontId="139" fillId="0" borderId="0" xfId="19" applyFont="1" applyFill="1" applyAlignment="1">
      <alignment horizontal="center" vertical="center"/>
    </xf>
    <xf numFmtId="37" fontId="140" fillId="0" borderId="0" xfId="19" applyFont="1" applyFill="1" applyAlignment="1">
      <alignment vertical="center"/>
    </xf>
    <xf numFmtId="37" fontId="140" fillId="0" borderId="0" xfId="19" applyFont="1" applyFill="1" applyBorder="1" applyAlignment="1">
      <alignment vertical="center"/>
    </xf>
    <xf numFmtId="37" fontId="140" fillId="0" borderId="0" xfId="19" applyFont="1" applyFill="1" applyBorder="1" applyAlignment="1">
      <alignment horizontal="center" vertical="center"/>
    </xf>
    <xf numFmtId="37" fontId="140" fillId="0" borderId="0" xfId="19" applyFont="1" applyAlignment="1">
      <alignment vertical="center"/>
    </xf>
    <xf numFmtId="37" fontId="142" fillId="0" borderId="0" xfId="19" applyFont="1" applyFill="1" applyBorder="1" applyAlignment="1">
      <alignment vertical="center"/>
    </xf>
    <xf numFmtId="37" fontId="142" fillId="0" borderId="0" xfId="19" applyFont="1" applyFill="1" applyBorder="1" applyAlignment="1">
      <alignment horizontal="center" vertical="center"/>
    </xf>
    <xf numFmtId="37" fontId="139" fillId="0" borderId="0" xfId="19" applyFont="1" applyFill="1" applyBorder="1" applyAlignment="1">
      <alignment horizontal="centerContinuous" vertical="center"/>
    </xf>
    <xf numFmtId="37" fontId="139" fillId="0" borderId="0" xfId="19" applyFont="1" applyFill="1" applyBorder="1" applyAlignment="1">
      <alignment horizontal="left" vertical="center"/>
    </xf>
    <xf numFmtId="37" fontId="139" fillId="0" borderId="0" xfId="19" applyFont="1" applyFill="1" applyBorder="1" applyAlignment="1">
      <alignment vertical="center"/>
    </xf>
    <xf numFmtId="37" fontId="139" fillId="0" borderId="0" xfId="19" applyFont="1" applyFill="1" applyBorder="1" applyAlignment="1">
      <alignment horizontal="center" vertical="center"/>
    </xf>
    <xf numFmtId="37" fontId="144" fillId="0" borderId="0" xfId="19" applyFont="1" applyFill="1" applyBorder="1" applyAlignment="1">
      <alignment horizontal="centerContinuous" vertical="center"/>
    </xf>
    <xf numFmtId="37" fontId="139" fillId="0" borderId="0" xfId="19" applyFont="1" applyFill="1" applyAlignment="1">
      <alignment horizontal="left" vertical="center"/>
    </xf>
    <xf numFmtId="37" fontId="139" fillId="0" borderId="0" xfId="19" quotePrefix="1" applyFont="1" applyFill="1" applyAlignment="1">
      <alignment horizontal="center" vertical="center"/>
    </xf>
    <xf numFmtId="14" fontId="139" fillId="0" borderId="0" xfId="19" quotePrefix="1" applyNumberFormat="1" applyFont="1" applyFill="1" applyAlignment="1">
      <alignment horizontal="center" vertical="center"/>
    </xf>
    <xf numFmtId="14" fontId="139" fillId="0" borderId="0" xfId="19" applyNumberFormat="1" applyFont="1" applyFill="1" applyAlignment="1">
      <alignment horizontal="center" vertical="center"/>
    </xf>
    <xf numFmtId="37" fontId="144" fillId="0" borderId="0" xfId="19" applyFont="1" applyFill="1" applyAlignment="1">
      <alignment horizontal="left" vertical="center"/>
    </xf>
    <xf numFmtId="37" fontId="144" fillId="0" borderId="0" xfId="19" applyFont="1" applyFill="1" applyAlignment="1">
      <alignment horizontal="center" vertical="center"/>
    </xf>
    <xf numFmtId="37" fontId="144" fillId="0" borderId="0" xfId="19" applyNumberFormat="1" applyFont="1" applyFill="1" applyAlignment="1" applyProtection="1">
      <alignment horizontal="center" vertical="center"/>
    </xf>
    <xf numFmtId="37" fontId="139" fillId="0" borderId="0" xfId="19" applyNumberFormat="1" applyFont="1" applyFill="1" applyAlignment="1" applyProtection="1">
      <alignment vertical="center"/>
    </xf>
    <xf numFmtId="37" fontId="139" fillId="0" borderId="0" xfId="19" applyNumberFormat="1" applyFont="1" applyFill="1" applyAlignment="1" applyProtection="1">
      <alignment horizontal="center" vertical="center"/>
    </xf>
    <xf numFmtId="37" fontId="142" fillId="0" borderId="0" xfId="19" applyFont="1" applyFill="1" applyAlignment="1">
      <alignment horizontal="left" vertical="center"/>
    </xf>
    <xf numFmtId="37" fontId="139" fillId="0" borderId="0" xfId="19" applyFont="1" applyAlignment="1">
      <alignment horizontal="center" vertical="center"/>
    </xf>
    <xf numFmtId="37" fontId="142" fillId="0" borderId="0" xfId="19" applyFont="1" applyFill="1" applyAlignment="1">
      <alignment vertical="center"/>
    </xf>
    <xf numFmtId="181" fontId="139" fillId="0" borderId="0" xfId="19" applyNumberFormat="1" applyFont="1" applyFill="1" applyAlignment="1">
      <alignment vertical="center"/>
    </xf>
    <xf numFmtId="37" fontId="139" fillId="0" borderId="0" xfId="20" applyFont="1" applyFill="1" applyAlignment="1">
      <alignment vertical="center"/>
    </xf>
    <xf numFmtId="37" fontId="139" fillId="0" borderId="0" xfId="19" applyFont="1" applyFill="1" applyAlignment="1">
      <alignment horizontal="right" vertical="center"/>
    </xf>
    <xf numFmtId="182" fontId="139" fillId="0" borderId="0" xfId="19" applyNumberFormat="1" applyFont="1" applyFill="1" applyAlignment="1" applyProtection="1">
      <alignment horizontal="center" vertical="center"/>
    </xf>
    <xf numFmtId="183" fontId="139" fillId="0" borderId="0" xfId="19" applyNumberFormat="1" applyFont="1" applyFill="1" applyAlignment="1" applyProtection="1">
      <alignment vertical="center"/>
    </xf>
    <xf numFmtId="181" fontId="139" fillId="0" borderId="0" xfId="19" applyNumberFormat="1" applyFont="1" applyFill="1" applyAlignment="1" applyProtection="1">
      <alignment horizontal="center" vertical="center"/>
    </xf>
    <xf numFmtId="181" fontId="139" fillId="0" borderId="0" xfId="19" applyNumberFormat="1" applyFont="1" applyFill="1" applyAlignment="1">
      <alignment horizontal="center" vertical="center"/>
    </xf>
    <xf numFmtId="181" fontId="145" fillId="0" borderId="0" xfId="19" applyNumberFormat="1" applyFont="1" applyFill="1" applyAlignment="1">
      <alignment vertical="center"/>
    </xf>
    <xf numFmtId="181" fontId="145" fillId="0" borderId="0" xfId="19" applyNumberFormat="1" applyFont="1" applyFill="1" applyAlignment="1">
      <alignment horizontal="center" vertical="center"/>
    </xf>
    <xf numFmtId="181" fontId="145" fillId="0" borderId="0" xfId="19" applyNumberFormat="1" applyFont="1" applyFill="1" applyAlignment="1" applyProtection="1">
      <alignment vertical="center"/>
    </xf>
    <xf numFmtId="181" fontId="139" fillId="0" borderId="0" xfId="19" applyNumberFormat="1" applyFont="1" applyFill="1" applyAlignment="1" applyProtection="1">
      <alignment vertical="center"/>
    </xf>
    <xf numFmtId="181" fontId="139" fillId="0" borderId="0" xfId="19" applyNumberFormat="1" applyFont="1" applyFill="1" applyAlignment="1" applyProtection="1">
      <alignment horizontal="right" vertical="center"/>
    </xf>
    <xf numFmtId="184" fontId="145" fillId="0" borderId="0" xfId="19" applyNumberFormat="1" applyFont="1" applyFill="1" applyAlignment="1">
      <alignment vertical="center"/>
    </xf>
    <xf numFmtId="183" fontId="145" fillId="0" borderId="0" xfId="19" applyNumberFormat="1" applyFont="1" applyFill="1" applyAlignment="1">
      <alignment vertical="center"/>
    </xf>
    <xf numFmtId="37" fontId="139" fillId="21" borderId="0" xfId="19" applyFont="1" applyFill="1" applyAlignment="1">
      <alignment horizontal="center" vertical="center"/>
    </xf>
    <xf numFmtId="181" fontId="139" fillId="21" borderId="0" xfId="19" applyNumberFormat="1" applyFont="1" applyFill="1" applyAlignment="1">
      <alignment vertical="center"/>
    </xf>
    <xf numFmtId="181" fontId="139" fillId="0" borderId="0" xfId="19" applyNumberFormat="1" applyFont="1" applyFill="1" applyAlignment="1">
      <alignment horizontal="right" vertical="center"/>
    </xf>
    <xf numFmtId="182" fontId="139" fillId="0" borderId="0" xfId="19" applyNumberFormat="1" applyFont="1" applyFill="1" applyAlignment="1" applyProtection="1">
      <alignment horizontal="left" vertical="center"/>
    </xf>
    <xf numFmtId="37" fontId="139" fillId="21" borderId="0" xfId="19" applyFont="1" applyFill="1" applyAlignment="1">
      <alignment horizontal="left" vertical="center"/>
    </xf>
    <xf numFmtId="182" fontId="139" fillId="21" borderId="0" xfId="19" applyNumberFormat="1" applyFont="1" applyFill="1" applyAlignment="1" applyProtection="1">
      <alignment horizontal="center" vertical="center"/>
    </xf>
    <xf numFmtId="185" fontId="139" fillId="0" borderId="0" xfId="19" applyNumberFormat="1" applyFont="1" applyFill="1" applyAlignment="1">
      <alignment vertical="center"/>
    </xf>
    <xf numFmtId="185" fontId="139" fillId="0" borderId="0" xfId="19" applyNumberFormat="1" applyFont="1" applyFill="1" applyAlignment="1">
      <alignment horizontal="center" vertical="center"/>
    </xf>
    <xf numFmtId="37" fontId="140" fillId="0" borderId="0" xfId="19" applyFont="1" applyFill="1" applyAlignment="1">
      <alignment horizontal="center" vertical="center"/>
    </xf>
    <xf numFmtId="181" fontId="144" fillId="0" borderId="0" xfId="19" applyNumberFormat="1" applyFont="1" applyFill="1" applyAlignment="1">
      <alignment vertical="center"/>
    </xf>
    <xf numFmtId="183" fontId="145" fillId="0" borderId="0" xfId="19" applyNumberFormat="1" applyFont="1" applyFill="1" applyAlignment="1" applyProtection="1">
      <alignment vertical="center"/>
    </xf>
    <xf numFmtId="182" fontId="139" fillId="0" borderId="0" xfId="19" applyNumberFormat="1" applyFont="1" applyFill="1" applyAlignment="1" applyProtection="1">
      <alignment vertical="center"/>
    </xf>
    <xf numFmtId="37" fontId="140" fillId="0" borderId="0" xfId="19" applyFont="1" applyAlignment="1" applyProtection="1">
      <alignment horizontal="left" vertical="center"/>
    </xf>
    <xf numFmtId="186" fontId="139" fillId="0" borderId="0" xfId="19" applyNumberFormat="1" applyFont="1" applyFill="1" applyAlignment="1">
      <alignment vertical="center"/>
    </xf>
    <xf numFmtId="37" fontId="142" fillId="0" borderId="0" xfId="20" applyFont="1" applyFill="1" applyAlignment="1">
      <alignment horizontal="left" vertical="center"/>
    </xf>
    <xf numFmtId="181" fontId="139" fillId="0" borderId="0" xfId="19" applyNumberFormat="1" applyFont="1" applyFill="1" applyBorder="1" applyAlignment="1">
      <alignment horizontal="right" vertical="center"/>
    </xf>
    <xf numFmtId="181" fontId="139" fillId="0" borderId="0" xfId="19" applyNumberFormat="1" applyFont="1" applyFill="1" applyBorder="1" applyAlignment="1">
      <alignment vertical="center"/>
    </xf>
    <xf numFmtId="181" fontId="145" fillId="0" borderId="0" xfId="19" applyNumberFormat="1" applyFont="1" applyFill="1" applyBorder="1" applyAlignment="1">
      <alignment vertical="center"/>
    </xf>
    <xf numFmtId="181" fontId="145" fillId="0" borderId="0" xfId="19" applyNumberFormat="1" applyFont="1" applyFill="1" applyBorder="1" applyAlignment="1">
      <alignment horizontal="right" vertical="center"/>
    </xf>
    <xf numFmtId="37" fontId="140" fillId="0" borderId="0" xfId="19" applyFont="1" applyAlignment="1" applyProtection="1">
      <alignment vertical="center"/>
      <protection locked="0"/>
    </xf>
    <xf numFmtId="37" fontId="142" fillId="0" borderId="0" xfId="19" quotePrefix="1" applyFont="1" applyFill="1" applyAlignment="1">
      <alignment horizontal="left" vertical="center"/>
    </xf>
    <xf numFmtId="183" fontId="146" fillId="0" borderId="0" xfId="19" applyNumberFormat="1" applyFont="1" applyFill="1" applyAlignment="1">
      <alignment vertical="center"/>
    </xf>
    <xf numFmtId="181" fontId="146" fillId="0" borderId="0" xfId="19" applyNumberFormat="1" applyFont="1" applyFill="1" applyAlignment="1">
      <alignment vertical="center"/>
    </xf>
    <xf numFmtId="181" fontId="139" fillId="0" borderId="0" xfId="19" applyNumberFormat="1" applyFont="1" applyFill="1" applyAlignment="1">
      <alignment horizontal="fill" vertical="center"/>
    </xf>
    <xf numFmtId="181" fontId="139" fillId="0" borderId="0" xfId="19" applyNumberFormat="1" applyFont="1" applyFill="1" applyAlignment="1">
      <alignment horizontal="left" vertical="center"/>
    </xf>
    <xf numFmtId="37" fontId="140" fillId="0" borderId="0" xfId="19" applyFont="1" applyAlignment="1">
      <alignment horizontal="center" vertical="center"/>
    </xf>
    <xf numFmtId="183" fontId="139" fillId="0" borderId="0" xfId="19" applyNumberFormat="1" applyFont="1" applyFill="1" applyAlignment="1">
      <alignment vertical="center"/>
    </xf>
    <xf numFmtId="37" fontId="139" fillId="0" borderId="0" xfId="19" quotePrefix="1" applyFont="1" applyFill="1" applyAlignment="1">
      <alignment horizontal="left" vertical="center"/>
    </xf>
    <xf numFmtId="49" fontId="13" fillId="0" borderId="0" xfId="3" applyNumberFormat="1" applyFont="1" applyBorder="1" applyAlignment="1" applyProtection="1">
      <alignment horizontal="center" vertical="center"/>
    </xf>
    <xf numFmtId="0" fontId="10" fillId="0" borderId="0" xfId="3" applyProtection="1"/>
    <xf numFmtId="166" fontId="13" fillId="0" borderId="0" xfId="3" applyNumberFormat="1" applyFont="1" applyBorder="1" applyAlignment="1" applyProtection="1">
      <alignment horizontal="center" vertical="center"/>
    </xf>
    <xf numFmtId="0" fontId="13" fillId="0" borderId="0" xfId="3" applyFont="1" applyAlignment="1" applyProtection="1">
      <alignment horizontal="center" vertical="center"/>
    </xf>
    <xf numFmtId="171" fontId="13" fillId="0" borderId="0" xfId="3" applyNumberFormat="1" applyFont="1" applyAlignment="1" applyProtection="1">
      <alignment horizontal="center" vertical="center"/>
    </xf>
    <xf numFmtId="0" fontId="10" fillId="0" borderId="0" xfId="3" applyBorder="1" applyProtection="1"/>
    <xf numFmtId="0" fontId="148" fillId="0" borderId="0" xfId="3" applyFont="1" applyBorder="1" applyAlignment="1" applyProtection="1">
      <alignment horizontal="left"/>
    </xf>
    <xf numFmtId="0" fontId="34" fillId="0" borderId="0" xfId="3" applyFont="1" applyBorder="1" applyAlignment="1" applyProtection="1">
      <alignment horizontal="left"/>
    </xf>
    <xf numFmtId="0" fontId="34" fillId="0" borderId="0" xfId="3" applyFont="1" applyBorder="1" applyProtection="1"/>
    <xf numFmtId="0" fontId="13" fillId="0" borderId="0" xfId="3" applyFont="1" applyBorder="1" applyAlignment="1" applyProtection="1">
      <alignment horizontal="left"/>
    </xf>
    <xf numFmtId="0" fontId="11" fillId="0" borderId="0" xfId="3" applyFont="1" applyBorder="1" applyProtection="1"/>
    <xf numFmtId="0" fontId="13" fillId="0" borderId="0" xfId="3" applyFont="1" applyBorder="1" applyAlignment="1" applyProtection="1">
      <alignment horizontal="center"/>
    </xf>
    <xf numFmtId="178" fontId="13" fillId="0" borderId="9" xfId="3" applyNumberFormat="1" applyFont="1" applyBorder="1" applyAlignment="1" applyProtection="1">
      <alignment horizontal="center"/>
      <protection locked="0"/>
    </xf>
    <xf numFmtId="0" fontId="149" fillId="0" borderId="0" xfId="3" applyFont="1" applyBorder="1" applyAlignment="1" applyProtection="1">
      <alignment horizontal="left"/>
    </xf>
    <xf numFmtId="14" fontId="10" fillId="0" borderId="0" xfId="3" quotePrefix="1" applyNumberFormat="1" applyAlignment="1" applyProtection="1">
      <alignment horizontal="left" indent="1"/>
      <protection locked="0"/>
    </xf>
    <xf numFmtId="0" fontId="10" fillId="0" borderId="0" xfId="3" applyBorder="1" applyAlignment="1" applyProtection="1">
      <alignment horizontal="left" indent="1"/>
      <protection locked="0"/>
    </xf>
    <xf numFmtId="0" fontId="10" fillId="0" borderId="0" xfId="3" applyAlignment="1" applyProtection="1">
      <alignment horizontal="left" indent="1"/>
      <protection locked="0"/>
    </xf>
    <xf numFmtId="0" fontId="10" fillId="0" borderId="0" xfId="3" applyProtection="1">
      <protection locked="0"/>
    </xf>
    <xf numFmtId="0" fontId="12" fillId="0" borderId="0" xfId="3" applyFont="1" applyProtection="1"/>
    <xf numFmtId="0" fontId="10" fillId="0" borderId="0" xfId="3" applyFont="1" applyAlignment="1" applyProtection="1">
      <alignment horizontal="left"/>
    </xf>
    <xf numFmtId="0" fontId="10" fillId="0" borderId="0" xfId="3" applyAlignment="1" applyProtection="1">
      <alignment horizontal="left"/>
    </xf>
    <xf numFmtId="0" fontId="10" fillId="0" borderId="78" xfId="3" applyFont="1" applyBorder="1" applyAlignment="1" applyProtection="1"/>
    <xf numFmtId="0" fontId="10" fillId="0" borderId="78" xfId="3" applyBorder="1" applyProtection="1"/>
    <xf numFmtId="0" fontId="150" fillId="0" borderId="0" xfId="3" applyFont="1" applyBorder="1" applyAlignment="1" applyProtection="1">
      <alignment horizontal="left"/>
    </xf>
    <xf numFmtId="0" fontId="11" fillId="0" borderId="0" xfId="3" applyFont="1" applyAlignment="1" applyProtection="1">
      <alignment horizontal="left"/>
    </xf>
    <xf numFmtId="0" fontId="11" fillId="0" borderId="0" xfId="3" applyFont="1" applyProtection="1"/>
    <xf numFmtId="0" fontId="36" fillId="0" borderId="0" xfId="3" applyFont="1" applyProtection="1"/>
    <xf numFmtId="0" fontId="150" fillId="0" borderId="0" xfId="3" applyFont="1" applyBorder="1" applyProtection="1"/>
    <xf numFmtId="0" fontId="150" fillId="0" borderId="0" xfId="3" applyFont="1" applyProtection="1"/>
    <xf numFmtId="0" fontId="2" fillId="0" borderId="158" xfId="17" applyFont="1" applyBorder="1" applyAlignment="1" applyProtection="1">
      <alignment horizontal="left" vertical="top" wrapText="1"/>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5" fillId="13" borderId="13" xfId="0" applyNumberFormat="1" applyFont="1" applyFill="1" applyBorder="1" applyAlignment="1" applyProtection="1">
      <alignment horizontal="center" vertical="center"/>
    </xf>
    <xf numFmtId="0" fontId="57" fillId="13"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3"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37" fontId="142" fillId="0" borderId="0" xfId="19" applyFont="1" applyFill="1" applyAlignment="1">
      <alignment horizontal="center" vertical="center"/>
    </xf>
    <xf numFmtId="0" fontId="143" fillId="0" borderId="0" xfId="19" applyNumberFormat="1" applyFont="1" applyFill="1" applyAlignment="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55" fillId="0" borderId="0" xfId="3" applyFont="1" applyBorder="1" applyAlignment="1" applyProtection="1">
      <alignment horizontal="left"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Fill="1" applyBorder="1" applyProtection="1">
      <protection locked="0"/>
    </xf>
    <xf numFmtId="6" fontId="62" fillId="0" borderId="151" xfId="3" applyNumberFormat="1" applyFont="1" applyFill="1" applyBorder="1" applyProtection="1">
      <protection locked="0"/>
    </xf>
    <xf numFmtId="170" fontId="57" fillId="0" borderId="9" xfId="3" applyNumberFormat="1" applyFont="1" applyBorder="1" applyAlignment="1" applyProtection="1">
      <alignment horizontal="center"/>
      <protection locked="0"/>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13" fillId="0" borderId="0" xfId="3" applyNumberFormat="1" applyFont="1" applyBorder="1" applyAlignment="1" applyProtection="1">
      <alignment horizontal="center" vertical="center" wrapText="1"/>
    </xf>
    <xf numFmtId="165" fontId="13" fillId="0" borderId="0" xfId="3" applyNumberFormat="1" applyFont="1" applyBorder="1" applyAlignment="1" applyProtection="1">
      <alignment horizontal="center" vertical="center" wrapText="1"/>
    </xf>
    <xf numFmtId="0" fontId="20" fillId="0" borderId="0" xfId="3" applyFont="1" applyAlignment="1" applyProtection="1">
      <alignment horizontal="center" vertical="center" wrapText="1"/>
    </xf>
    <xf numFmtId="171" fontId="20" fillId="0" borderId="0" xfId="3" applyNumberFormat="1" applyFont="1" applyAlignment="1" applyProtection="1">
      <alignment horizontal="center" vertical="center" wrapText="1"/>
    </xf>
  </cellXfs>
  <cellStyles count="22">
    <cellStyle name="Comma" xfId="1" builtinId="3"/>
    <cellStyle name="Comma 2" xfId="21"/>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1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Federal" xfId="20"/>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0</xdr:rowOff>
        </xdr:from>
        <xdr:to>
          <xdr:col>5</xdr:col>
          <xdr:colOff>304800</xdr:colOff>
          <xdr:row>5</xdr:row>
          <xdr:rowOff>38100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C1F7319D-004E-459F-9878-F240B3344DB3}"/>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C1FB758D-2FF5-4838-92A6-C88FEC4B794C}"/>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133" t="s">
        <v>425</v>
      </c>
      <c r="J1" s="2134"/>
      <c r="K1" s="2134"/>
      <c r="L1" s="2134"/>
      <c r="M1" s="2134"/>
      <c r="N1" s="2134"/>
      <c r="O1" s="2134"/>
      <c r="P1" s="2134"/>
      <c r="Q1" s="2134"/>
      <c r="R1" s="2134"/>
      <c r="S1" s="2134"/>
    </row>
    <row r="2" spans="1:28" ht="12" customHeight="1" x14ac:dyDescent="0.2">
      <c r="A2" s="47" t="s">
        <v>1682</v>
      </c>
      <c r="D2" s="48"/>
      <c r="I2" s="2135" t="s">
        <v>1036</v>
      </c>
      <c r="J2" s="2134"/>
      <c r="K2" s="2134"/>
      <c r="L2" s="2134"/>
      <c r="M2" s="2134"/>
      <c r="N2" s="2134"/>
      <c r="O2" s="2134"/>
      <c r="P2" s="2134"/>
      <c r="Q2" s="2134"/>
      <c r="R2" s="2134"/>
      <c r="S2" s="2134"/>
    </row>
    <row r="3" spans="1:28" ht="12" customHeight="1" x14ac:dyDescent="0.2">
      <c r="A3" s="155" t="s">
        <v>1683</v>
      </c>
      <c r="B3" s="156"/>
      <c r="C3" s="156"/>
      <c r="D3" s="157"/>
      <c r="I3" s="2135" t="s">
        <v>54</v>
      </c>
      <c r="J3" s="2134"/>
      <c r="K3" s="2134"/>
      <c r="L3" s="2134"/>
      <c r="M3" s="2134"/>
      <c r="N3" s="2134"/>
      <c r="O3" s="2134"/>
      <c r="P3" s="2134"/>
      <c r="Q3" s="2134"/>
      <c r="R3" s="2134"/>
      <c r="S3" s="2134"/>
    </row>
    <row r="4" spans="1:28" ht="12" customHeight="1" x14ac:dyDescent="0.2">
      <c r="A4" s="37"/>
      <c r="I4" s="2135" t="s">
        <v>545</v>
      </c>
      <c r="J4" s="2134"/>
      <c r="K4" s="2134"/>
      <c r="L4" s="2134"/>
      <c r="M4" s="2134"/>
      <c r="N4" s="2134"/>
      <c r="O4" s="2134"/>
      <c r="P4" s="2134"/>
      <c r="Q4" s="2134"/>
      <c r="R4" s="2134"/>
      <c r="S4" s="2134"/>
    </row>
    <row r="5" spans="1:28" ht="14.1" customHeight="1" x14ac:dyDescent="0.2">
      <c r="B5" s="104" t="s">
        <v>2071</v>
      </c>
      <c r="C5" s="26" t="s">
        <v>966</v>
      </c>
      <c r="D5" s="84"/>
      <c r="E5" s="84"/>
      <c r="H5" s="38"/>
      <c r="I5" s="2142" t="s">
        <v>701</v>
      </c>
      <c r="J5" s="2087"/>
      <c r="K5" s="2087"/>
      <c r="L5" s="2087"/>
      <c r="M5" s="2087"/>
      <c r="N5" s="2087"/>
      <c r="O5" s="2087"/>
      <c r="P5" s="2087"/>
      <c r="Q5" s="2087"/>
      <c r="R5" s="2087"/>
      <c r="S5" s="2087"/>
    </row>
    <row r="6" spans="1:28" ht="14.1" customHeight="1" x14ac:dyDescent="0.2">
      <c r="B6" s="104"/>
      <c r="C6" s="26" t="s">
        <v>967</v>
      </c>
      <c r="D6" s="84"/>
      <c r="E6" s="84"/>
      <c r="I6" s="2141" t="s">
        <v>938</v>
      </c>
      <c r="J6" s="2087"/>
      <c r="K6" s="2087"/>
      <c r="L6" s="2087"/>
      <c r="M6" s="2087"/>
      <c r="N6" s="2087"/>
      <c r="O6" s="2087"/>
      <c r="P6" s="2087"/>
      <c r="Q6" s="2087"/>
      <c r="R6" s="2087"/>
      <c r="S6" s="2087"/>
    </row>
    <row r="7" spans="1:28" ht="12.2" customHeight="1" x14ac:dyDescent="0.2">
      <c r="I7" s="2136">
        <v>43281</v>
      </c>
      <c r="J7" s="2137"/>
      <c r="K7" s="2137"/>
      <c r="L7" s="2137"/>
      <c r="M7" s="2137"/>
      <c r="N7" s="2137"/>
      <c r="O7" s="2137"/>
      <c r="P7" s="2137"/>
      <c r="Q7" s="2137"/>
      <c r="R7" s="2137"/>
      <c r="S7" s="21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138" t="s">
        <v>695</v>
      </c>
      <c r="J9" s="2139"/>
      <c r="K9" s="2139"/>
      <c r="L9" s="2139"/>
      <c r="M9" s="2139"/>
      <c r="N9" s="2139"/>
      <c r="O9" s="2139"/>
      <c r="P9" s="2139"/>
      <c r="Q9" s="2139"/>
      <c r="R9" s="2139"/>
      <c r="S9" s="2140"/>
      <c r="T9" s="2083" t="s">
        <v>554</v>
      </c>
      <c r="U9" s="2084"/>
      <c r="V9" s="2084"/>
      <c r="W9" s="2084"/>
      <c r="X9" s="2084"/>
      <c r="Y9" s="2084"/>
      <c r="Z9" s="2084"/>
      <c r="AA9" s="2085"/>
    </row>
    <row r="10" spans="1:28" ht="13.5" customHeight="1" x14ac:dyDescent="0.2">
      <c r="A10" s="2092" t="s">
        <v>696</v>
      </c>
      <c r="B10" s="2093"/>
      <c r="C10" s="2093"/>
      <c r="D10" s="2093"/>
      <c r="E10" s="2093"/>
      <c r="F10" s="2093"/>
      <c r="G10" s="2093"/>
      <c r="H10" s="2094"/>
      <c r="I10" s="29"/>
      <c r="J10" s="30"/>
      <c r="K10" s="28"/>
      <c r="R10" s="30"/>
      <c r="S10" s="30"/>
      <c r="T10" s="2086"/>
      <c r="U10" s="2087"/>
      <c r="V10" s="2087"/>
      <c r="W10" s="2087"/>
      <c r="X10" s="2087"/>
      <c r="Y10" s="2087"/>
      <c r="Z10" s="2087"/>
      <c r="AA10" s="2088"/>
    </row>
    <row r="11" spans="1:28" ht="14.25" customHeight="1" x14ac:dyDescent="0.2">
      <c r="A11" s="2095" t="s">
        <v>1012</v>
      </c>
      <c r="B11" s="2096"/>
      <c r="C11" s="2096"/>
      <c r="D11" s="2096"/>
      <c r="E11" s="2096"/>
      <c r="F11" s="2096"/>
      <c r="G11" s="2096"/>
      <c r="H11" s="2097"/>
      <c r="I11" s="27"/>
      <c r="J11" s="74"/>
      <c r="K11" s="27"/>
      <c r="O11" s="148" t="s">
        <v>2071</v>
      </c>
      <c r="P11" s="100" t="s">
        <v>210</v>
      </c>
      <c r="Q11" s="30"/>
      <c r="R11" s="28"/>
      <c r="S11" s="27"/>
      <c r="T11" s="2089"/>
      <c r="U11" s="2090"/>
      <c r="V11" s="2090"/>
      <c r="W11" s="2090"/>
      <c r="X11" s="2090"/>
      <c r="Y11" s="2090"/>
      <c r="Z11" s="2090"/>
      <c r="AA11" s="20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103">
        <v>53090108002</v>
      </c>
      <c r="B13" s="2104"/>
      <c r="C13" s="2104"/>
      <c r="D13" s="2104"/>
      <c r="E13" s="2104"/>
      <c r="F13" s="2104"/>
      <c r="G13" s="2104"/>
      <c r="H13" s="2105"/>
      <c r="I13" s="31"/>
      <c r="J13" s="30"/>
      <c r="K13" s="28"/>
      <c r="L13" s="30"/>
      <c r="M13" s="30"/>
      <c r="N13" s="30"/>
      <c r="O13" s="30"/>
      <c r="P13" s="30"/>
      <c r="Q13" s="30"/>
      <c r="R13" s="30"/>
      <c r="S13" s="30"/>
      <c r="T13" s="2108" t="s">
        <v>2072</v>
      </c>
      <c r="U13" s="2109"/>
      <c r="V13" s="2109"/>
      <c r="W13" s="2109"/>
      <c r="X13" s="2109"/>
      <c r="Y13" s="2110"/>
      <c r="Z13" s="2110"/>
      <c r="AA13" s="21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101" t="s">
        <v>2083</v>
      </c>
      <c r="B15" s="2106"/>
      <c r="C15" s="2106"/>
      <c r="D15" s="2106"/>
      <c r="E15" s="2106"/>
      <c r="F15" s="2106"/>
      <c r="G15" s="2106"/>
      <c r="H15" s="2107"/>
      <c r="T15" s="2069" t="s">
        <v>2087</v>
      </c>
      <c r="U15" s="2070"/>
      <c r="V15" s="2070"/>
      <c r="W15" s="2070"/>
      <c r="X15" s="2070"/>
      <c r="Y15" s="2112"/>
      <c r="Z15" s="2112"/>
      <c r="AA15" s="21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61" t="s">
        <v>2233</v>
      </c>
      <c r="B17" s="2131"/>
      <c r="C17" s="2131"/>
      <c r="D17" s="2131"/>
      <c r="E17" s="2131"/>
      <c r="F17" s="2131"/>
      <c r="G17" s="2131"/>
      <c r="H17" s="2132"/>
      <c r="T17" s="2118" t="s">
        <v>2073</v>
      </c>
      <c r="U17" s="2119"/>
      <c r="V17" s="2119"/>
      <c r="W17" s="2119"/>
      <c r="X17" s="2119"/>
      <c r="Y17" s="2119"/>
      <c r="Z17" s="2119"/>
      <c r="AA17" s="2120"/>
    </row>
    <row r="18" spans="1:27" ht="13.5" customHeight="1" x14ac:dyDescent="0.2">
      <c r="A18" s="85" t="s">
        <v>551</v>
      </c>
      <c r="B18" s="76"/>
      <c r="C18" s="72"/>
      <c r="D18" s="76"/>
      <c r="E18" s="76"/>
      <c r="F18" s="76"/>
      <c r="G18" s="76"/>
      <c r="H18" s="56"/>
      <c r="I18" s="2128" t="s">
        <v>697</v>
      </c>
      <c r="J18" s="2129"/>
      <c r="K18" s="2129"/>
      <c r="L18" s="2129"/>
      <c r="M18" s="2129"/>
      <c r="N18" s="2129"/>
      <c r="O18" s="2129"/>
      <c r="P18" s="2129"/>
      <c r="Q18" s="2129"/>
      <c r="R18" s="2129"/>
      <c r="S18" s="2130"/>
      <c r="T18" s="85" t="s">
        <v>735</v>
      </c>
      <c r="U18" s="51"/>
      <c r="V18" s="72"/>
      <c r="W18" s="50"/>
      <c r="X18" s="85" t="s">
        <v>284</v>
      </c>
      <c r="Y18" s="81"/>
      <c r="Z18" s="159" t="s">
        <v>698</v>
      </c>
      <c r="AA18" s="46"/>
    </row>
    <row r="19" spans="1:27" ht="13.5" customHeight="1" x14ac:dyDescent="0.2">
      <c r="A19" s="2101" t="s">
        <v>2086</v>
      </c>
      <c r="B19" s="2102"/>
      <c r="C19" s="2102"/>
      <c r="D19" s="2102"/>
      <c r="E19" s="2102"/>
      <c r="F19" s="2102"/>
      <c r="G19" s="2102"/>
      <c r="H19" s="2100"/>
      <c r="I19" s="30"/>
      <c r="J19" s="99"/>
      <c r="K19" s="40"/>
      <c r="L19" s="38"/>
      <c r="M19" s="112" t="s">
        <v>333</v>
      </c>
      <c r="P19" s="27"/>
      <c r="Q19" s="27"/>
      <c r="R19" s="27"/>
      <c r="S19" s="31"/>
      <c r="T19" s="2101" t="s">
        <v>2074</v>
      </c>
      <c r="U19" s="2099"/>
      <c r="V19" s="2099"/>
      <c r="W19" s="2100"/>
      <c r="X19" s="2116" t="s">
        <v>2075</v>
      </c>
      <c r="Y19" s="2117"/>
      <c r="Z19" s="2114">
        <v>61614</v>
      </c>
      <c r="AA19" s="21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98" t="s">
        <v>2085</v>
      </c>
      <c r="B21" s="2099"/>
      <c r="C21" s="2099"/>
      <c r="D21" s="2099"/>
      <c r="E21" s="2099"/>
      <c r="F21" s="2099"/>
      <c r="G21" s="2099"/>
      <c r="H21" s="2100"/>
      <c r="I21" s="2124" t="s">
        <v>699</v>
      </c>
      <c r="J21" s="2087"/>
      <c r="K21" s="2087"/>
      <c r="L21" s="2087"/>
      <c r="M21" s="2087"/>
      <c r="N21" s="2087"/>
      <c r="O21" s="2087"/>
      <c r="P21" s="2087"/>
      <c r="Q21" s="2087"/>
      <c r="R21" s="2087"/>
      <c r="S21" s="2088"/>
      <c r="T21" s="2066" t="s">
        <v>2076</v>
      </c>
      <c r="U21" s="2067"/>
      <c r="V21" s="2067"/>
      <c r="W21" s="2067"/>
      <c r="X21" s="2080" t="s">
        <v>2077</v>
      </c>
      <c r="Y21" s="2081"/>
      <c r="Z21" s="2081"/>
      <c r="AA21" s="2082"/>
    </row>
    <row r="22" spans="1:27" ht="13.5" customHeight="1" x14ac:dyDescent="0.2">
      <c r="A22" s="87" t="s">
        <v>552</v>
      </c>
      <c r="B22" s="59"/>
      <c r="C22" s="59"/>
      <c r="D22" s="59"/>
      <c r="E22" s="59"/>
      <c r="F22" s="59"/>
      <c r="G22" s="59"/>
      <c r="H22" s="60"/>
      <c r="I22" s="2125" t="s">
        <v>1504</v>
      </c>
      <c r="J22" s="2126"/>
      <c r="K22" s="2126"/>
      <c r="L22" s="2126"/>
      <c r="M22" s="2126"/>
      <c r="N22" s="2126"/>
      <c r="O22" s="2126"/>
      <c r="P22" s="2126"/>
      <c r="Q22" s="2126"/>
      <c r="R22" s="2126"/>
      <c r="S22" s="2127"/>
      <c r="T22" s="85" t="s">
        <v>1596</v>
      </c>
      <c r="U22" s="51"/>
      <c r="V22" s="72"/>
      <c r="W22" s="51"/>
      <c r="X22" s="160" t="s">
        <v>1385</v>
      </c>
      <c r="Z22" s="45"/>
      <c r="AA22" s="46"/>
    </row>
    <row r="23" spans="1:27" ht="13.5" customHeight="1" x14ac:dyDescent="0.2">
      <c r="A23" s="2121" t="s">
        <v>2080</v>
      </c>
      <c r="B23" s="2122"/>
      <c r="C23" s="2122"/>
      <c r="D23" s="2122"/>
      <c r="E23" s="2122"/>
      <c r="F23" s="2122"/>
      <c r="G23" s="2122"/>
      <c r="H23" s="2123"/>
      <c r="T23" s="2061" t="s">
        <v>2230</v>
      </c>
      <c r="U23" s="2062"/>
      <c r="V23" s="2062"/>
      <c r="W23" s="2062"/>
      <c r="X23" s="2077">
        <v>44530</v>
      </c>
      <c r="Y23" s="2078"/>
      <c r="Z23" s="2078"/>
      <c r="AA23" s="2079"/>
    </row>
    <row r="24" spans="1:27" ht="14.1" customHeight="1" x14ac:dyDescent="0.2">
      <c r="A24" s="88" t="s">
        <v>698</v>
      </c>
      <c r="B24" s="49"/>
      <c r="C24" s="49"/>
      <c r="D24" s="49"/>
      <c r="E24" s="49"/>
      <c r="F24" s="49"/>
      <c r="G24" s="49"/>
      <c r="H24" s="61"/>
      <c r="J24" s="2163">
        <f>IF(B5="x",IF(AUDITCHECK!D29="AFR form Incomplete.","",IF(AUDITCHECK!D29="Deficit reduction plan is required.","School District must complete a deficit reduction plan in the 2018-2019 Budget",)),"")</f>
        <v>0</v>
      </c>
      <c r="K24" s="2163"/>
      <c r="L24" s="2163"/>
      <c r="M24" s="2163"/>
      <c r="N24" s="2163"/>
      <c r="O24" s="2163"/>
      <c r="P24" s="2163"/>
      <c r="Q24" s="2163"/>
      <c r="R24" s="2163"/>
      <c r="S24" s="2164"/>
      <c r="T24" s="105" t="s">
        <v>552</v>
      </c>
      <c r="U24" s="106"/>
      <c r="V24" s="106"/>
      <c r="W24" s="106"/>
      <c r="X24" s="107"/>
      <c r="Y24" s="107"/>
      <c r="Z24" s="107"/>
      <c r="AA24" s="108"/>
    </row>
    <row r="25" spans="1:27" ht="14.1" customHeight="1" x14ac:dyDescent="0.2">
      <c r="A25" s="2098">
        <v>61554</v>
      </c>
      <c r="B25" s="2099"/>
      <c r="C25" s="2099"/>
      <c r="D25" s="2099"/>
      <c r="E25" s="2099"/>
      <c r="F25" s="2099"/>
      <c r="G25" s="2099"/>
      <c r="H25" s="2100"/>
      <c r="I25" s="113"/>
      <c r="J25" s="2165"/>
      <c r="K25" s="2165"/>
      <c r="L25" s="2165"/>
      <c r="M25" s="2165"/>
      <c r="N25" s="2165"/>
      <c r="O25" s="2165"/>
      <c r="P25" s="2165"/>
      <c r="Q25" s="2165"/>
      <c r="R25" s="2165"/>
      <c r="S25" s="2166"/>
      <c r="T25" s="2058" t="s">
        <v>2088</v>
      </c>
      <c r="U25" s="2059"/>
      <c r="V25" s="2059"/>
      <c r="W25" s="2059"/>
      <c r="X25" s="2059"/>
      <c r="Y25" s="2059"/>
      <c r="Z25" s="2059"/>
      <c r="AA25" s="20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156" t="s">
        <v>1591</v>
      </c>
      <c r="J27" s="2129"/>
      <c r="K27" s="2129"/>
      <c r="L27" s="2129"/>
      <c r="M27" s="2129"/>
      <c r="N27" s="2129"/>
      <c r="O27" s="2129"/>
      <c r="P27" s="2129"/>
      <c r="Q27" s="2129"/>
      <c r="R27" s="2129"/>
      <c r="S27" s="21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2089</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2071</v>
      </c>
      <c r="C30" s="124" t="s">
        <v>1226</v>
      </c>
      <c r="D30" s="28"/>
      <c r="E30" s="28"/>
      <c r="F30" s="140"/>
      <c r="G30" s="114"/>
      <c r="H30" s="114"/>
      <c r="I30" s="54"/>
      <c r="J30" s="148" t="s">
        <v>2089</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2089</v>
      </c>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102"/>
      <c r="Q35" s="2099"/>
      <c r="R35" s="20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61" t="s">
        <v>2081</v>
      </c>
      <c r="B38" s="2131"/>
      <c r="C38" s="2131"/>
      <c r="D38" s="2131"/>
      <c r="E38" s="2131"/>
      <c r="F38" s="2099"/>
      <c r="G38" s="2099"/>
      <c r="H38" s="2100"/>
      <c r="I38" s="2150"/>
      <c r="J38" s="2070"/>
      <c r="K38" s="2070"/>
      <c r="L38" s="2070"/>
      <c r="M38" s="2070"/>
      <c r="N38" s="2070"/>
      <c r="O38" s="2070"/>
      <c r="P38" s="2071"/>
      <c r="Q38" s="2071"/>
      <c r="R38" s="2071"/>
      <c r="S38" s="2072"/>
      <c r="T38" s="2069"/>
      <c r="U38" s="2070"/>
      <c r="V38" s="2070"/>
      <c r="W38" s="2070"/>
      <c r="X38" s="2071"/>
      <c r="Y38" s="2071"/>
      <c r="Z38" s="2071"/>
      <c r="AA38" s="2072"/>
    </row>
    <row r="39" spans="1:27" ht="12" customHeight="1" x14ac:dyDescent="0.2">
      <c r="A39" s="2154" t="s">
        <v>552</v>
      </c>
      <c r="B39" s="2155"/>
      <c r="C39" s="72"/>
      <c r="D39" s="69"/>
      <c r="E39" s="69"/>
      <c r="F39" s="79"/>
      <c r="G39" s="69"/>
      <c r="H39" s="56"/>
      <c r="I39" s="2154" t="s">
        <v>552</v>
      </c>
      <c r="J39" s="2155"/>
      <c r="K39" s="2155"/>
      <c r="L39" s="2155"/>
      <c r="M39" s="2155"/>
      <c r="N39" s="67"/>
      <c r="O39" s="72"/>
      <c r="P39" s="72"/>
      <c r="Q39" s="78"/>
      <c r="R39" s="72"/>
      <c r="S39" s="56"/>
      <c r="T39" s="72" t="s">
        <v>552</v>
      </c>
      <c r="U39" s="51"/>
      <c r="V39" s="72"/>
      <c r="W39" s="50"/>
      <c r="X39" s="78"/>
      <c r="Y39" s="45"/>
      <c r="Z39" s="45"/>
      <c r="AA39" s="46"/>
    </row>
    <row r="40" spans="1:27" ht="13.5" customHeight="1" x14ac:dyDescent="0.2">
      <c r="A40" s="2157" t="s">
        <v>2080</v>
      </c>
      <c r="B40" s="2158"/>
      <c r="C40" s="2159"/>
      <c r="D40" s="2159"/>
      <c r="E40" s="2159"/>
      <c r="F40" s="2160"/>
      <c r="G40" s="2160"/>
      <c r="H40" s="2161"/>
      <c r="I40" s="2073"/>
      <c r="J40" s="2075"/>
      <c r="K40" s="2075"/>
      <c r="L40" s="2075"/>
      <c r="M40" s="2075"/>
      <c r="N40" s="2075"/>
      <c r="O40" s="2075"/>
      <c r="P40" s="2075"/>
      <c r="Q40" s="2075"/>
      <c r="R40" s="2075"/>
      <c r="S40" s="2076"/>
      <c r="T40" s="2073"/>
      <c r="U40" s="2074"/>
      <c r="V40" s="2075"/>
      <c r="W40" s="2075"/>
      <c r="X40" s="2075"/>
      <c r="Y40" s="2075"/>
      <c r="Z40" s="2075"/>
      <c r="AA40" s="20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147">
        <v>3094774700</v>
      </c>
      <c r="B42" s="2148"/>
      <c r="C42" s="2149"/>
      <c r="D42" s="2162">
        <v>3094774701</v>
      </c>
      <c r="E42" s="2148"/>
      <c r="F42" s="2148"/>
      <c r="G42" s="2148"/>
      <c r="H42" s="2149"/>
      <c r="I42" s="2068"/>
      <c r="J42" s="2064"/>
      <c r="K42" s="2064"/>
      <c r="L42" s="2064"/>
      <c r="M42" s="2064"/>
      <c r="N42" s="2064"/>
      <c r="O42" s="2065"/>
      <c r="P42" s="2063"/>
      <c r="Q42" s="2064"/>
      <c r="R42" s="2064"/>
      <c r="S42" s="2065"/>
      <c r="T42" s="2068"/>
      <c r="U42" s="2064"/>
      <c r="V42" s="2064"/>
      <c r="W42" s="2065"/>
      <c r="X42" s="2063"/>
      <c r="Y42" s="2064"/>
      <c r="Z42" s="2064"/>
      <c r="AA42" s="20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151"/>
      <c r="B44" s="2152"/>
      <c r="C44" s="2152"/>
      <c r="D44" s="2152"/>
      <c r="E44" s="2152"/>
      <c r="F44" s="2152"/>
      <c r="G44" s="2152"/>
      <c r="H44" s="2153"/>
      <c r="I44" s="2143"/>
      <c r="J44" s="2145"/>
      <c r="K44" s="2145"/>
      <c r="L44" s="2145"/>
      <c r="M44" s="2145"/>
      <c r="N44" s="2145"/>
      <c r="O44" s="2145"/>
      <c r="P44" s="2145"/>
      <c r="Q44" s="2145"/>
      <c r="R44" s="2145"/>
      <c r="S44" s="2146"/>
      <c r="T44" s="2143"/>
      <c r="U44" s="2144"/>
      <c r="V44" s="2144"/>
      <c r="W44" s="2144"/>
      <c r="X44" s="2144"/>
      <c r="Y44" s="2144"/>
      <c r="Z44" s="2145"/>
      <c r="AA44" s="21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1685</v>
      </c>
      <c r="D46" s="41"/>
      <c r="E46" s="41"/>
      <c r="F46" s="41"/>
      <c r="G46" s="41"/>
      <c r="Q46" s="29" t="s">
        <v>1492</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300" t="s">
        <v>1899</v>
      </c>
      <c r="B2" s="1547" t="s">
        <v>2031</v>
      </c>
      <c r="C2" s="713" t="s">
        <v>1904</v>
      </c>
      <c r="D2" s="713" t="s">
        <v>1905</v>
      </c>
      <c r="E2" s="713" t="s">
        <v>1906</v>
      </c>
      <c r="F2" s="713" t="s">
        <v>1907</v>
      </c>
    </row>
    <row r="3" spans="1:6" ht="12" customHeight="1" x14ac:dyDescent="0.2">
      <c r="A3" s="2301"/>
      <c r="B3" s="1544"/>
      <c r="C3" s="1545"/>
      <c r="D3" s="1546" t="s">
        <v>274</v>
      </c>
      <c r="E3" s="1545"/>
      <c r="F3" s="1546" t="s">
        <v>275</v>
      </c>
    </row>
    <row r="4" spans="1:6" ht="13.7" customHeight="1" x14ac:dyDescent="0.2">
      <c r="A4" s="714" t="s">
        <v>1217</v>
      </c>
      <c r="B4" s="1768">
        <f>'Revenues 9-14'!C5</f>
        <v>11236217</v>
      </c>
      <c r="C4" s="1543"/>
      <c r="D4" s="1771">
        <f>B4-C4</f>
        <v>11236217</v>
      </c>
      <c r="E4" s="1543">
        <v>11486036</v>
      </c>
      <c r="F4" s="1771">
        <f>E4-C4</f>
        <v>11486036</v>
      </c>
    </row>
    <row r="5" spans="1:6" ht="13.7" customHeight="1" x14ac:dyDescent="0.2">
      <c r="A5" s="714" t="s">
        <v>925</v>
      </c>
      <c r="B5" s="1769">
        <f>'Revenues 9-14'!D5</f>
        <v>1549869</v>
      </c>
      <c r="C5" s="583"/>
      <c r="D5" s="1772">
        <f t="shared" ref="D5:D18" si="0">B5-C5</f>
        <v>1549869</v>
      </c>
      <c r="E5" s="583">
        <v>1668986</v>
      </c>
      <c r="F5" s="1772">
        <f>E5-C5</f>
        <v>1668986</v>
      </c>
    </row>
    <row r="6" spans="1:6" ht="13.7" customHeight="1" x14ac:dyDescent="0.2">
      <c r="A6" s="714" t="s">
        <v>431</v>
      </c>
      <c r="B6" s="1769">
        <f>'Revenues 9-14'!E5</f>
        <v>418289</v>
      </c>
      <c r="C6" s="583"/>
      <c r="D6" s="1772">
        <f t="shared" si="0"/>
        <v>418289</v>
      </c>
      <c r="E6" s="583">
        <v>416654</v>
      </c>
      <c r="F6" s="1772">
        <f t="shared" ref="F6:F18" si="1">E6-C6</f>
        <v>416654</v>
      </c>
    </row>
    <row r="7" spans="1:6" ht="13.7" customHeight="1" x14ac:dyDescent="0.2">
      <c r="A7" s="714" t="s">
        <v>157</v>
      </c>
      <c r="B7" s="1769">
        <f>'Revenues 9-14'!F5</f>
        <v>968704</v>
      </c>
      <c r="C7" s="583"/>
      <c r="D7" s="1772">
        <f t="shared" si="0"/>
        <v>968704</v>
      </c>
      <c r="E7" s="583">
        <v>1079935</v>
      </c>
      <c r="F7" s="1772">
        <f t="shared" si="1"/>
        <v>1079935</v>
      </c>
    </row>
    <row r="8" spans="1:6" ht="13.7" customHeight="1" x14ac:dyDescent="0.2">
      <c r="A8" s="714" t="s">
        <v>1241</v>
      </c>
      <c r="B8" s="1769">
        <f>'Revenues 9-14'!G5</f>
        <v>241237</v>
      </c>
      <c r="C8" s="583"/>
      <c r="D8" s="1772">
        <f t="shared" si="0"/>
        <v>241237</v>
      </c>
      <c r="E8" s="583">
        <v>245466</v>
      </c>
      <c r="F8" s="1772">
        <f t="shared" si="1"/>
        <v>245466</v>
      </c>
    </row>
    <row r="9" spans="1:6" ht="13.7" customHeight="1" x14ac:dyDescent="0.2">
      <c r="A9" s="714" t="s">
        <v>428</v>
      </c>
      <c r="B9" s="1769">
        <f>'Revenues 9-14'!H5</f>
        <v>0</v>
      </c>
      <c r="C9" s="583"/>
      <c r="D9" s="1772">
        <f t="shared" si="0"/>
        <v>0</v>
      </c>
      <c r="E9" s="583"/>
      <c r="F9" s="1772">
        <f t="shared" si="1"/>
        <v>0</v>
      </c>
    </row>
    <row r="10" spans="1:6" ht="13.7" customHeight="1" x14ac:dyDescent="0.2">
      <c r="A10" s="714" t="s">
        <v>427</v>
      </c>
      <c r="B10" s="1769">
        <f>'Revenues 9-14'!I5</f>
        <v>231158</v>
      </c>
      <c r="C10" s="583"/>
      <c r="D10" s="1772">
        <f t="shared" si="0"/>
        <v>231158</v>
      </c>
      <c r="E10" s="583">
        <v>237390</v>
      </c>
      <c r="F10" s="1772">
        <f t="shared" si="1"/>
        <v>237390</v>
      </c>
    </row>
    <row r="11" spans="1:6" x14ac:dyDescent="0.2">
      <c r="A11" s="714" t="s">
        <v>429</v>
      </c>
      <c r="B11" s="1769">
        <f>'Revenues 9-14'!J5</f>
        <v>0</v>
      </c>
      <c r="C11" s="583"/>
      <c r="D11" s="1772">
        <f t="shared" si="0"/>
        <v>0</v>
      </c>
      <c r="E11" s="583"/>
      <c r="F11" s="1772">
        <f t="shared" si="1"/>
        <v>0</v>
      </c>
    </row>
    <row r="12" spans="1:6" ht="13.7" customHeight="1" x14ac:dyDescent="0.2">
      <c r="A12" s="714" t="s">
        <v>159</v>
      </c>
      <c r="B12" s="1769">
        <f>'Revenues 9-14'!K5</f>
        <v>287691</v>
      </c>
      <c r="C12" s="583"/>
      <c r="D12" s="1772">
        <f t="shared" si="0"/>
        <v>287691</v>
      </c>
      <c r="E12" s="583">
        <v>299482</v>
      </c>
      <c r="F12" s="1772">
        <f t="shared" si="1"/>
        <v>299482</v>
      </c>
    </row>
    <row r="13" spans="1:6" ht="13.7" customHeight="1" x14ac:dyDescent="0.2">
      <c r="A13" s="714" t="s">
        <v>993</v>
      </c>
      <c r="B13" s="1769">
        <f>SUM('Revenues 9-14'!C6:D6)</f>
        <v>0</v>
      </c>
      <c r="C13" s="583"/>
      <c r="D13" s="1772">
        <f t="shared" si="0"/>
        <v>0</v>
      </c>
      <c r="E13" s="583"/>
      <c r="F13" s="1772">
        <f t="shared" si="1"/>
        <v>0</v>
      </c>
    </row>
    <row r="14" spans="1:6" ht="13.7" customHeight="1" x14ac:dyDescent="0.2">
      <c r="A14" s="714" t="s">
        <v>430</v>
      </c>
      <c r="B14" s="1769">
        <f>SUM('Revenues 9-14'!C7:D7,'Revenues 9-14'!F7:H7)</f>
        <v>107544</v>
      </c>
      <c r="C14" s="583"/>
      <c r="D14" s="1772">
        <f t="shared" si="0"/>
        <v>107544</v>
      </c>
      <c r="E14" s="583">
        <v>110015</v>
      </c>
      <c r="F14" s="1772">
        <f t="shared" si="1"/>
        <v>110015</v>
      </c>
    </row>
    <row r="15" spans="1:6" ht="13.7" customHeight="1" x14ac:dyDescent="0.2">
      <c r="A15" s="714" t="s">
        <v>1220</v>
      </c>
      <c r="B15" s="1769">
        <f>'Revenues 9-14'!E9</f>
        <v>0</v>
      </c>
      <c r="C15" s="583"/>
      <c r="D15" s="1772">
        <f t="shared" si="0"/>
        <v>0</v>
      </c>
      <c r="E15" s="583"/>
      <c r="F15" s="1772">
        <f t="shared" si="1"/>
        <v>0</v>
      </c>
    </row>
    <row r="16" spans="1:6" ht="13.7" customHeight="1" x14ac:dyDescent="0.2">
      <c r="A16" s="714" t="s">
        <v>1221</v>
      </c>
      <c r="B16" s="1769">
        <f>'Revenues 9-14'!G8</f>
        <v>166641</v>
      </c>
      <c r="C16" s="583"/>
      <c r="D16" s="1772">
        <f t="shared" si="0"/>
        <v>166641</v>
      </c>
      <c r="E16" s="583">
        <v>169882</v>
      </c>
      <c r="F16" s="1772">
        <f t="shared" si="1"/>
        <v>169882</v>
      </c>
    </row>
    <row r="17" spans="1:6" ht="13.7" customHeight="1" x14ac:dyDescent="0.2">
      <c r="A17" s="714" t="s">
        <v>1222</v>
      </c>
      <c r="B17" s="1769">
        <f>'Revenues 9-14'!C10</f>
        <v>0</v>
      </c>
      <c r="C17" s="583"/>
      <c r="D17" s="1772">
        <f t="shared" si="0"/>
        <v>0</v>
      </c>
      <c r="E17" s="583"/>
      <c r="F17" s="1772">
        <f t="shared" si="1"/>
        <v>0</v>
      </c>
    </row>
    <row r="18" spans="1:6" ht="13.7" customHeight="1" x14ac:dyDescent="0.2">
      <c r="A18" s="714" t="s">
        <v>786</v>
      </c>
      <c r="B18" s="1769">
        <f>SUM('Revenues 9-14'!C11:K11)</f>
        <v>0</v>
      </c>
      <c r="C18" s="583"/>
      <c r="D18" s="1772">
        <f t="shared" si="0"/>
        <v>0</v>
      </c>
      <c r="E18" s="583"/>
      <c r="F18" s="1772">
        <f t="shared" si="1"/>
        <v>0</v>
      </c>
    </row>
    <row r="19" spans="1:6" ht="13.7" customHeight="1" thickBot="1" x14ac:dyDescent="0.25">
      <c r="A19" s="1773" t="s">
        <v>1223</v>
      </c>
      <c r="B19" s="1770">
        <f>SUM(B4:B18)</f>
        <v>15207350</v>
      </c>
      <c r="C19" s="1770">
        <f>SUM(C4:C18)</f>
        <v>0</v>
      </c>
      <c r="D19" s="1770">
        <f>SUM(D4:D18)</f>
        <v>15207350</v>
      </c>
      <c r="E19" s="1770">
        <f>SUM(E4:E18)</f>
        <v>15713846</v>
      </c>
      <c r="F19" s="1770">
        <f>SUM(F4:F18)</f>
        <v>15713846</v>
      </c>
    </row>
    <row r="20" spans="1:6" ht="13.5" thickTop="1" x14ac:dyDescent="0.2">
      <c r="B20" s="712"/>
      <c r="F20" s="715"/>
    </row>
    <row r="21" spans="1:6" x14ac:dyDescent="0.2">
      <c r="A21" s="716" t="s">
        <v>1909</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306" t="s">
        <v>650</v>
      </c>
      <c r="B1" s="2307"/>
      <c r="C1" s="720"/>
    </row>
    <row r="2" spans="1:7" ht="33.75" x14ac:dyDescent="0.2">
      <c r="A2" s="2315" t="s">
        <v>1899</v>
      </c>
      <c r="B2" s="2316"/>
      <c r="C2" s="1906" t="s">
        <v>2032</v>
      </c>
      <c r="D2" s="722" t="s">
        <v>2039</v>
      </c>
      <c r="E2" s="722" t="s">
        <v>2040</v>
      </c>
      <c r="F2" s="1906" t="s">
        <v>2033</v>
      </c>
    </row>
    <row r="3" spans="1:7" ht="15.75" customHeight="1" x14ac:dyDescent="0.2">
      <c r="A3" s="2319" t="s">
        <v>1176</v>
      </c>
      <c r="B3" s="2320"/>
      <c r="C3" s="2308"/>
      <c r="D3" s="2309"/>
      <c r="E3" s="2309"/>
      <c r="F3" s="2310"/>
    </row>
    <row r="4" spans="1:7" ht="12.75" customHeight="1" thickBot="1" x14ac:dyDescent="0.25">
      <c r="A4" s="2317" t="s">
        <v>651</v>
      </c>
      <c r="B4" s="2318"/>
      <c r="C4" s="579"/>
      <c r="D4" s="579"/>
      <c r="E4" s="579"/>
      <c r="F4" s="1774">
        <f>SUM(C4+D4)-E4</f>
        <v>0</v>
      </c>
    </row>
    <row r="5" spans="1:7" ht="15.75" customHeight="1" thickTop="1" x14ac:dyDescent="0.2">
      <c r="A5" s="2302" t="s">
        <v>1172</v>
      </c>
      <c r="B5" s="2303"/>
      <c r="C5" s="2311"/>
      <c r="D5" s="2312"/>
      <c r="E5" s="2312"/>
      <c r="F5" s="2313"/>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304" t="s">
        <v>652</v>
      </c>
      <c r="B15" s="2305"/>
      <c r="C15" s="1774">
        <f>SUM(C6:C14)</f>
        <v>0</v>
      </c>
      <c r="D15" s="1774">
        <f>SUM(D6:D14)</f>
        <v>0</v>
      </c>
      <c r="E15" s="1774">
        <f>SUM(E6:E14)</f>
        <v>0</v>
      </c>
      <c r="F15" s="1774">
        <f>SUM(F6:F14)</f>
        <v>0</v>
      </c>
      <c r="G15" s="550"/>
    </row>
    <row r="16" spans="1:7" s="202" customFormat="1" ht="15.75" customHeight="1" thickTop="1" x14ac:dyDescent="0.2">
      <c r="A16" s="2314" t="s">
        <v>1173</v>
      </c>
      <c r="B16" s="2303"/>
      <c r="C16" s="2311"/>
      <c r="D16" s="2312"/>
      <c r="E16" s="2312"/>
      <c r="F16" s="2313"/>
    </row>
    <row r="17" spans="1:11" ht="12.75" customHeight="1" thickBot="1" x14ac:dyDescent="0.25">
      <c r="A17" s="2327" t="s">
        <v>66</v>
      </c>
      <c r="B17" s="2328"/>
      <c r="C17" s="725"/>
      <c r="D17" s="583"/>
      <c r="E17" s="725"/>
      <c r="F17" s="1774">
        <f>SUM(C17+D17)-E17</f>
        <v>0</v>
      </c>
    </row>
    <row r="18" spans="1:11" ht="12.75" customHeight="1" thickTop="1" thickBot="1" x14ac:dyDescent="0.25">
      <c r="A18" s="2327" t="s">
        <v>6</v>
      </c>
      <c r="B18" s="2328"/>
      <c r="C18" s="725"/>
      <c r="D18" s="583"/>
      <c r="E18" s="725"/>
      <c r="F18" s="1774">
        <f>SUM(C18+D18)-E18</f>
        <v>0</v>
      </c>
    </row>
    <row r="19" spans="1:11" ht="12.75" customHeight="1" thickTop="1" thickBot="1" x14ac:dyDescent="0.25">
      <c r="A19" s="2327" t="s">
        <v>406</v>
      </c>
      <c r="B19" s="2328"/>
      <c r="C19" s="725"/>
      <c r="D19" s="583"/>
      <c r="E19" s="725"/>
      <c r="F19" s="1774">
        <f>SUM(C19+D19)-E19</f>
        <v>0</v>
      </c>
    </row>
    <row r="20" spans="1:11" ht="12.75" customHeight="1" thickTop="1" thickBot="1" x14ac:dyDescent="0.25">
      <c r="A20" s="2327" t="s">
        <v>468</v>
      </c>
      <c r="B20" s="2328"/>
      <c r="C20" s="725"/>
      <c r="D20" s="583"/>
      <c r="E20" s="725"/>
      <c r="F20" s="1774">
        <f>SUM(C20+D20)-E20</f>
        <v>0</v>
      </c>
    </row>
    <row r="21" spans="1:11" ht="14.25" thickTop="1" thickBot="1" x14ac:dyDescent="0.25">
      <c r="A21" s="2304" t="s">
        <v>653</v>
      </c>
      <c r="B21" s="2305"/>
      <c r="C21" s="1774">
        <f>SUM(C17:C20)</f>
        <v>0</v>
      </c>
      <c r="D21" s="1774">
        <f>SUM(D17:D20)</f>
        <v>0</v>
      </c>
      <c r="E21" s="1774">
        <f>SUM(E17:E20)</f>
        <v>0</v>
      </c>
      <c r="F21" s="1774">
        <f>SUM(F17:F20)</f>
        <v>0</v>
      </c>
      <c r="G21" s="550"/>
    </row>
    <row r="22" spans="1:11" ht="15.75" customHeight="1" thickTop="1" x14ac:dyDescent="0.2">
      <c r="A22" s="2329" t="s">
        <v>1174</v>
      </c>
      <c r="B22" s="2303"/>
      <c r="C22" s="2311"/>
      <c r="D22" s="2312"/>
      <c r="E22" s="2312"/>
      <c r="F22" s="2313"/>
    </row>
    <row r="23" spans="1:11" ht="13.5" thickBot="1" x14ac:dyDescent="0.25">
      <c r="A23" s="2317" t="s">
        <v>654</v>
      </c>
      <c r="B23" s="2318"/>
      <c r="C23" s="579"/>
      <c r="D23" s="579"/>
      <c r="E23" s="579"/>
      <c r="F23" s="1774">
        <f>SUM(C23+D23)-E23</f>
        <v>0</v>
      </c>
      <c r="G23" s="550"/>
    </row>
    <row r="24" spans="1:11" ht="15.75" customHeight="1" thickTop="1" x14ac:dyDescent="0.2">
      <c r="A24" s="2329" t="s">
        <v>1175</v>
      </c>
      <c r="B24" s="2303"/>
      <c r="C24" s="2311"/>
      <c r="D24" s="2312"/>
      <c r="E24" s="2312"/>
      <c r="F24" s="2313"/>
    </row>
    <row r="25" spans="1:11" ht="13.5" thickBot="1" x14ac:dyDescent="0.25">
      <c r="A25" s="2317" t="s">
        <v>655</v>
      </c>
      <c r="B25" s="2318"/>
      <c r="C25" s="579"/>
      <c r="D25" s="579"/>
      <c r="E25" s="579"/>
      <c r="F25" s="1774">
        <f>SUM(C25+D25)-E25</f>
        <v>0</v>
      </c>
      <c r="G25" s="550"/>
    </row>
    <row r="26" spans="1:11" ht="15.75" customHeight="1" thickTop="1" x14ac:dyDescent="0.2">
      <c r="A26" s="2302" t="s">
        <v>678</v>
      </c>
      <c r="B26" s="2303"/>
      <c r="C26" s="726"/>
      <c r="D26" s="726"/>
      <c r="E26" s="726"/>
      <c r="F26" s="727"/>
    </row>
    <row r="27" spans="1:11" ht="13.5" thickBot="1" x14ac:dyDescent="0.25">
      <c r="A27" s="2304" t="s">
        <v>1130</v>
      </c>
      <c r="B27" s="2305"/>
      <c r="C27" s="583"/>
      <c r="D27" s="583"/>
      <c r="E27" s="583"/>
      <c r="F27" s="1774">
        <f>SUM(C27+D27)-E27</f>
        <v>0</v>
      </c>
      <c r="G27" s="550"/>
    </row>
    <row r="28" spans="1:11" ht="7.5" customHeight="1" thickTop="1" x14ac:dyDescent="0.2">
      <c r="A28" s="592"/>
    </row>
    <row r="29" spans="1:11" ht="23.25" customHeight="1" x14ac:dyDescent="0.2">
      <c r="A29" s="2330" t="s">
        <v>603</v>
      </c>
      <c r="B29" s="2307"/>
      <c r="C29" s="728"/>
      <c r="D29" s="728"/>
      <c r="E29" s="728"/>
      <c r="F29" s="728"/>
      <c r="G29" s="728"/>
      <c r="H29" s="728"/>
      <c r="I29" s="728"/>
      <c r="J29" s="728"/>
    </row>
    <row r="30" spans="1:11" ht="33.75" x14ac:dyDescent="0.2">
      <c r="A30" s="1548" t="s">
        <v>1131</v>
      </c>
      <c r="B30" s="729" t="s">
        <v>1186</v>
      </c>
      <c r="C30" s="1907" t="s">
        <v>604</v>
      </c>
      <c r="D30" s="1907" t="s">
        <v>1770</v>
      </c>
      <c r="E30" s="1907" t="s">
        <v>2034</v>
      </c>
      <c r="F30" s="1907" t="s">
        <v>2035</v>
      </c>
      <c r="G30" s="1907" t="s">
        <v>2038</v>
      </c>
      <c r="H30" s="1907" t="s">
        <v>2036</v>
      </c>
      <c r="I30" s="1907" t="s">
        <v>2037</v>
      </c>
      <c r="J30" s="1908" t="s">
        <v>2</v>
      </c>
      <c r="K30" s="730"/>
    </row>
    <row r="31" spans="1:11" ht="12" customHeight="1" x14ac:dyDescent="0.2">
      <c r="A31" s="731" t="s">
        <v>2090</v>
      </c>
      <c r="B31" s="732">
        <v>40542</v>
      </c>
      <c r="C31" s="733">
        <v>5000000</v>
      </c>
      <c r="D31" s="734">
        <v>1</v>
      </c>
      <c r="E31" s="733">
        <v>4050000</v>
      </c>
      <c r="F31" s="733"/>
      <c r="G31" s="733"/>
      <c r="H31" s="733">
        <v>255000</v>
      </c>
      <c r="I31" s="1775">
        <f>((E31+F31)-H31)+G31</f>
        <v>3795000</v>
      </c>
      <c r="J31" s="733">
        <f>3795000-166042</f>
        <v>3628958</v>
      </c>
      <c r="K31" s="735"/>
    </row>
    <row r="32" spans="1:11" ht="12" customHeight="1" x14ac:dyDescent="0.2">
      <c r="A32" s="731" t="s">
        <v>2212</v>
      </c>
      <c r="B32" s="732">
        <v>43077</v>
      </c>
      <c r="C32" s="733">
        <v>483650</v>
      </c>
      <c r="D32" s="734">
        <v>7</v>
      </c>
      <c r="E32" s="733"/>
      <c r="F32" s="733"/>
      <c r="G32" s="733">
        <v>483650</v>
      </c>
      <c r="H32" s="733">
        <v>80803</v>
      </c>
      <c r="I32" s="1775">
        <f>((E32+F32)-H32)+G32</f>
        <v>402847</v>
      </c>
      <c r="J32" s="733">
        <f>402847</f>
        <v>402847</v>
      </c>
      <c r="K32" s="735"/>
    </row>
    <row r="33" spans="1:11" ht="12" customHeight="1" x14ac:dyDescent="0.2">
      <c r="A33" s="731"/>
      <c r="B33" s="732"/>
      <c r="C33" s="733"/>
      <c r="D33" s="734"/>
      <c r="E33" s="733"/>
      <c r="F33" s="733"/>
      <c r="G33" s="733"/>
      <c r="H33" s="733"/>
      <c r="I33" s="1775">
        <f t="shared" ref="I33:I48" si="1">((E33+F33)-H33)+G33</f>
        <v>0</v>
      </c>
      <c r="J33" s="733"/>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5483650</v>
      </c>
      <c r="D49" s="744"/>
      <c r="E49" s="1775">
        <f t="shared" ref="E49:J49" si="2">SUM(E31:E48)</f>
        <v>4050000</v>
      </c>
      <c r="F49" s="1775">
        <f t="shared" si="2"/>
        <v>0</v>
      </c>
      <c r="G49" s="1775">
        <f t="shared" si="2"/>
        <v>483650</v>
      </c>
      <c r="H49" s="1775">
        <f t="shared" si="2"/>
        <v>335803</v>
      </c>
      <c r="I49" s="1775">
        <f t="shared" si="2"/>
        <v>4197847</v>
      </c>
      <c r="J49" s="1775">
        <f t="shared" si="2"/>
        <v>4031805</v>
      </c>
      <c r="K49" s="736"/>
    </row>
    <row r="50" spans="1:11" ht="6" customHeight="1" x14ac:dyDescent="0.2">
      <c r="A50" s="745"/>
      <c r="B50" s="735"/>
      <c r="C50" s="735"/>
      <c r="D50" s="735"/>
      <c r="E50" s="735"/>
      <c r="F50" s="735"/>
      <c r="G50" s="735"/>
      <c r="H50" s="735"/>
      <c r="I50" s="735"/>
      <c r="J50" s="745"/>
    </row>
    <row r="51" spans="1:11" x14ac:dyDescent="0.2">
      <c r="A51" s="746" t="s">
        <v>1908</v>
      </c>
      <c r="B51" s="745"/>
      <c r="C51" s="736"/>
      <c r="D51" s="736"/>
      <c r="E51" s="736"/>
      <c r="F51" s="736"/>
      <c r="G51" s="736"/>
      <c r="H51" s="735"/>
      <c r="I51" s="735"/>
      <c r="J51" s="745"/>
    </row>
    <row r="52" spans="1:11" ht="11.25" customHeight="1" x14ac:dyDescent="0.2">
      <c r="A52" s="747" t="s">
        <v>968</v>
      </c>
      <c r="B52" s="2321" t="s">
        <v>605</v>
      </c>
      <c r="C52" s="2322"/>
      <c r="D52" s="2322"/>
      <c r="E52" s="748" t="s">
        <v>900</v>
      </c>
      <c r="F52" s="2323" t="s">
        <v>2212</v>
      </c>
      <c r="G52" s="2324"/>
      <c r="H52" s="735"/>
      <c r="I52" s="735"/>
      <c r="J52" s="745"/>
    </row>
    <row r="53" spans="1:11" ht="11.25" customHeight="1" x14ac:dyDescent="0.2">
      <c r="A53" s="749" t="s">
        <v>969</v>
      </c>
      <c r="B53" s="750" t="s">
        <v>1008</v>
      </c>
      <c r="C53" s="745"/>
      <c r="D53" s="736"/>
      <c r="E53" s="748" t="s">
        <v>518</v>
      </c>
      <c r="F53" s="2325"/>
      <c r="G53" s="2326"/>
      <c r="H53" s="735"/>
      <c r="I53" s="735"/>
      <c r="J53" s="745"/>
    </row>
    <row r="54" spans="1:11" ht="11.25" customHeight="1" x14ac:dyDescent="0.2">
      <c r="A54" s="751" t="s">
        <v>970</v>
      </c>
      <c r="B54" s="746" t="s">
        <v>1009</v>
      </c>
      <c r="C54" s="745"/>
      <c r="D54" s="736"/>
      <c r="E54" s="748" t="s">
        <v>519</v>
      </c>
      <c r="F54" s="2325"/>
      <c r="G54" s="2326"/>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55" t="s">
        <v>911</v>
      </c>
      <c r="B1" s="2356"/>
      <c r="C1" s="2356"/>
      <c r="D1" s="2356"/>
      <c r="E1" s="2356"/>
      <c r="F1" s="2356"/>
      <c r="G1" s="2357"/>
      <c r="H1" s="1549"/>
      <c r="I1" s="759"/>
      <c r="J1" s="433"/>
    </row>
    <row r="2" spans="1:11" ht="26.25" x14ac:dyDescent="0.2">
      <c r="A2" s="2334" t="s">
        <v>1774</v>
      </c>
      <c r="B2" s="2335"/>
      <c r="C2" s="2335"/>
      <c r="D2" s="2335"/>
      <c r="E2" s="2336"/>
      <c r="F2" s="760" t="s">
        <v>960</v>
      </c>
      <c r="G2" s="761" t="s">
        <v>1771</v>
      </c>
      <c r="H2" s="761" t="s">
        <v>430</v>
      </c>
      <c r="I2" s="761" t="s">
        <v>1220</v>
      </c>
      <c r="J2" s="761" t="s">
        <v>1913</v>
      </c>
      <c r="K2" s="761" t="s">
        <v>140</v>
      </c>
    </row>
    <row r="3" spans="1:11" x14ac:dyDescent="0.2">
      <c r="A3" s="2337" t="s">
        <v>1696</v>
      </c>
      <c r="B3" s="2338"/>
      <c r="C3" s="2338"/>
      <c r="D3" s="2338"/>
      <c r="E3" s="2339"/>
      <c r="F3" s="762"/>
      <c r="G3" s="763"/>
      <c r="H3" s="763"/>
      <c r="I3" s="763"/>
      <c r="J3" s="764"/>
      <c r="K3" s="764"/>
    </row>
    <row r="4" spans="1:11" x14ac:dyDescent="0.2">
      <c r="A4" s="2340" t="s">
        <v>387</v>
      </c>
      <c r="B4" s="2341"/>
      <c r="C4" s="2341"/>
      <c r="D4" s="2341"/>
      <c r="E4" s="2322"/>
      <c r="F4" s="765"/>
      <c r="G4" s="766"/>
      <c r="H4" s="767"/>
      <c r="I4" s="766"/>
      <c r="J4" s="768"/>
      <c r="K4" s="768"/>
    </row>
    <row r="5" spans="1:11" x14ac:dyDescent="0.2">
      <c r="A5" s="2358" t="s">
        <v>1129</v>
      </c>
      <c r="B5" s="2331"/>
      <c r="C5" s="2331"/>
      <c r="D5" s="2331"/>
      <c r="E5" s="2359"/>
      <c r="F5" s="769" t="s">
        <v>903</v>
      </c>
      <c r="G5" s="770"/>
      <c r="H5" s="763">
        <v>107544</v>
      </c>
      <c r="I5" s="771"/>
      <c r="J5" s="772"/>
      <c r="K5" s="772"/>
    </row>
    <row r="6" spans="1:11" x14ac:dyDescent="0.2">
      <c r="A6" s="773" t="s">
        <v>744</v>
      </c>
      <c r="B6" s="774"/>
      <c r="C6" s="774"/>
      <c r="D6" s="774"/>
      <c r="E6" s="775"/>
      <c r="F6" s="776" t="s">
        <v>904</v>
      </c>
      <c r="G6" s="763"/>
      <c r="H6" s="763">
        <v>77</v>
      </c>
      <c r="I6" s="763"/>
      <c r="J6" s="764"/>
      <c r="K6" s="764"/>
    </row>
    <row r="7" spans="1:11" x14ac:dyDescent="0.2">
      <c r="A7" s="777" t="s">
        <v>264</v>
      </c>
      <c r="B7" s="778"/>
      <c r="C7" s="778"/>
      <c r="D7" s="778"/>
      <c r="E7" s="779"/>
      <c r="F7" s="769" t="s">
        <v>905</v>
      </c>
      <c r="G7" s="766"/>
      <c r="H7" s="766"/>
      <c r="I7" s="766"/>
      <c r="J7" s="780"/>
      <c r="K7" s="764"/>
    </row>
    <row r="8" spans="1:11" x14ac:dyDescent="0.2">
      <c r="A8" s="777" t="s">
        <v>363</v>
      </c>
      <c r="B8" s="778"/>
      <c r="C8" s="778"/>
      <c r="D8" s="778"/>
      <c r="E8" s="779"/>
      <c r="F8" s="769" t="s">
        <v>906</v>
      </c>
      <c r="G8" s="781"/>
      <c r="H8" s="781"/>
      <c r="I8" s="781"/>
      <c r="J8" s="764"/>
      <c r="K8" s="768"/>
    </row>
    <row r="9" spans="1:11" x14ac:dyDescent="0.2">
      <c r="A9" s="777" t="s">
        <v>140</v>
      </c>
      <c r="B9" s="778"/>
      <c r="C9" s="778"/>
      <c r="D9" s="778"/>
      <c r="E9" s="779"/>
      <c r="F9" s="776" t="s">
        <v>908</v>
      </c>
      <c r="G9" s="781"/>
      <c r="H9" s="770"/>
      <c r="I9" s="770"/>
      <c r="J9" s="780"/>
      <c r="K9" s="764"/>
    </row>
    <row r="10" spans="1:11" x14ac:dyDescent="0.2">
      <c r="A10" s="2358" t="s">
        <v>1914</v>
      </c>
      <c r="B10" s="2331"/>
      <c r="C10" s="2331"/>
      <c r="D10" s="2331"/>
      <c r="E10" s="2360"/>
      <c r="F10" s="782" t="s">
        <v>917</v>
      </c>
      <c r="G10" s="781"/>
      <c r="H10" s="783"/>
      <c r="I10" s="763"/>
      <c r="J10" s="764"/>
      <c r="K10" s="764"/>
    </row>
    <row r="11" spans="1:11" x14ac:dyDescent="0.2">
      <c r="A11" s="2358" t="s">
        <v>162</v>
      </c>
      <c r="B11" s="2331"/>
      <c r="C11" s="2331"/>
      <c r="D11" s="2331"/>
      <c r="E11" s="2359"/>
      <c r="F11" s="769" t="s">
        <v>907</v>
      </c>
      <c r="G11" s="770"/>
      <c r="H11" s="763"/>
      <c r="I11" s="763"/>
      <c r="J11" s="764"/>
      <c r="K11" s="772"/>
    </row>
    <row r="12" spans="1:11" ht="13.5" thickBot="1" x14ac:dyDescent="0.25">
      <c r="A12" s="2348" t="s">
        <v>961</v>
      </c>
      <c r="B12" s="2349"/>
      <c r="C12" s="2349"/>
      <c r="D12" s="2349"/>
      <c r="E12" s="2350"/>
      <c r="F12" s="1776"/>
      <c r="G12" s="1777">
        <f>SUM(G5:G11)</f>
        <v>0</v>
      </c>
      <c r="H12" s="1777">
        <f>SUM(H5:H11)</f>
        <v>107621</v>
      </c>
      <c r="I12" s="1777">
        <f>SUM(I5:I11)</f>
        <v>0</v>
      </c>
      <c r="J12" s="1777">
        <f>SUM(J5:J11)</f>
        <v>0</v>
      </c>
      <c r="K12" s="1777">
        <f>SUM(K5:K11)</f>
        <v>0</v>
      </c>
    </row>
    <row r="13" spans="1:11" ht="13.5" thickTop="1" x14ac:dyDescent="0.2">
      <c r="A13" s="2342" t="s">
        <v>388</v>
      </c>
      <c r="B13" s="2343"/>
      <c r="C13" s="2343"/>
      <c r="D13" s="2343"/>
      <c r="E13" s="2344"/>
      <c r="F13" s="784"/>
      <c r="G13" s="785"/>
      <c r="H13" s="786"/>
      <c r="I13" s="787"/>
      <c r="J13" s="787"/>
      <c r="K13" s="787"/>
    </row>
    <row r="14" spans="1:11" x14ac:dyDescent="0.2">
      <c r="A14" s="2364" t="s">
        <v>476</v>
      </c>
      <c r="B14" s="2364"/>
      <c r="C14" s="2364"/>
      <c r="D14" s="2364"/>
      <c r="E14" s="2365"/>
      <c r="F14" s="788" t="s">
        <v>909</v>
      </c>
      <c r="G14" s="781"/>
      <c r="H14" s="763">
        <v>107621</v>
      </c>
      <c r="I14" s="770"/>
      <c r="J14" s="772"/>
      <c r="K14" s="764"/>
    </row>
    <row r="15" spans="1:11" x14ac:dyDescent="0.2">
      <c r="A15" s="2331" t="s">
        <v>4</v>
      </c>
      <c r="B15" s="2331"/>
      <c r="C15" s="2331"/>
      <c r="D15" s="2331"/>
      <c r="E15" s="2359"/>
      <c r="F15" s="788" t="s">
        <v>910</v>
      </c>
      <c r="G15" s="770"/>
      <c r="H15" s="763"/>
      <c r="I15" s="763"/>
      <c r="J15" s="764"/>
      <c r="K15" s="764"/>
    </row>
    <row r="16" spans="1:11" x14ac:dyDescent="0.2">
      <c r="A16" s="2331" t="s">
        <v>316</v>
      </c>
      <c r="B16" s="2331"/>
      <c r="C16" s="2331"/>
      <c r="D16" s="2331"/>
      <c r="E16" s="2359"/>
      <c r="F16" s="788" t="s">
        <v>980</v>
      </c>
      <c r="G16" s="771"/>
      <c r="H16" s="766"/>
      <c r="I16" s="766"/>
      <c r="J16" s="768"/>
      <c r="K16" s="768"/>
    </row>
    <row r="17" spans="1:11" x14ac:dyDescent="0.2">
      <c r="A17" s="2353" t="s">
        <v>992</v>
      </c>
      <c r="B17" s="2353"/>
      <c r="C17" s="2353"/>
      <c r="D17" s="2353"/>
      <c r="E17" s="2354"/>
      <c r="F17" s="789"/>
      <c r="G17" s="790"/>
      <c r="H17" s="791"/>
      <c r="I17" s="791"/>
      <c r="J17" s="792"/>
      <c r="K17" s="793"/>
    </row>
    <row r="18" spans="1:11" x14ac:dyDescent="0.2">
      <c r="A18" s="2345" t="s">
        <v>386</v>
      </c>
      <c r="B18" s="2346"/>
      <c r="C18" s="2346"/>
      <c r="D18" s="2346"/>
      <c r="E18" s="2347"/>
      <c r="F18" s="788" t="s">
        <v>989</v>
      </c>
      <c r="G18" s="781"/>
      <c r="H18" s="781"/>
      <c r="I18" s="781"/>
      <c r="J18" s="764"/>
      <c r="K18" s="794"/>
    </row>
    <row r="19" spans="1:11" ht="21.75" customHeight="1" x14ac:dyDescent="0.2">
      <c r="A19" s="2366" t="s">
        <v>1910</v>
      </c>
      <c r="B19" s="2366"/>
      <c r="C19" s="2366"/>
      <c r="D19" s="2366"/>
      <c r="E19" s="2367"/>
      <c r="F19" s="788" t="s">
        <v>990</v>
      </c>
      <c r="G19" s="781"/>
      <c r="H19" s="781"/>
      <c r="I19" s="781"/>
      <c r="J19" s="764"/>
      <c r="K19" s="794"/>
    </row>
    <row r="20" spans="1:11" x14ac:dyDescent="0.2">
      <c r="A20" s="2345" t="s">
        <v>1915</v>
      </c>
      <c r="B20" s="2346"/>
      <c r="C20" s="2346"/>
      <c r="D20" s="2346"/>
      <c r="E20" s="2347"/>
      <c r="F20" s="788" t="s">
        <v>991</v>
      </c>
      <c r="G20" s="781"/>
      <c r="H20" s="781"/>
      <c r="I20" s="781"/>
      <c r="J20" s="764"/>
      <c r="K20" s="794"/>
    </row>
    <row r="21" spans="1:11" ht="13.5" thickBot="1" x14ac:dyDescent="0.25">
      <c r="A21" s="2351" t="s">
        <v>659</v>
      </c>
      <c r="B21" s="2351"/>
      <c r="C21" s="2351"/>
      <c r="D21" s="2351"/>
      <c r="E21" s="2351"/>
      <c r="F21" s="1778"/>
      <c r="G21" s="791"/>
      <c r="H21" s="795"/>
      <c r="I21" s="795"/>
      <c r="J21" s="1779">
        <f>SUM(J18:J20)</f>
        <v>0</v>
      </c>
      <c r="K21" s="792"/>
    </row>
    <row r="22" spans="1:11" ht="13.5" thickTop="1" x14ac:dyDescent="0.2">
      <c r="A22" s="2331" t="s">
        <v>1916</v>
      </c>
      <c r="B22" s="2331"/>
      <c r="C22" s="2331"/>
      <c r="D22" s="2331"/>
      <c r="E22" s="2359"/>
      <c r="F22" s="788" t="s">
        <v>917</v>
      </c>
      <c r="G22" s="781"/>
      <c r="H22" s="763"/>
      <c r="I22" s="763"/>
      <c r="J22" s="796"/>
      <c r="K22" s="764"/>
    </row>
    <row r="23" spans="1:11" ht="13.5" thickBot="1" x14ac:dyDescent="0.25">
      <c r="A23" s="2352" t="s">
        <v>962</v>
      </c>
      <c r="B23" s="2351"/>
      <c r="C23" s="2351"/>
      <c r="D23" s="2351"/>
      <c r="E23" s="2351"/>
      <c r="F23" s="1780"/>
      <c r="G23" s="1777">
        <f>SUM(G14:G16,G21,G22)</f>
        <v>0</v>
      </c>
      <c r="H23" s="1777">
        <f>SUM(H14:H16,H21,H22)</f>
        <v>107621</v>
      </c>
      <c r="I23" s="1777">
        <f>SUM(I14:I16,I21,I22)</f>
        <v>0</v>
      </c>
      <c r="J23" s="1777">
        <f>SUM(J14:J16,J21,J22)</f>
        <v>0</v>
      </c>
      <c r="K23" s="1777">
        <f>SUM(K14:K16,K21,K22)</f>
        <v>0</v>
      </c>
    </row>
    <row r="24" spans="1:11" ht="14.25" thickTop="1" thickBot="1" x14ac:dyDescent="0.25">
      <c r="A24" s="2352" t="s">
        <v>2020</v>
      </c>
      <c r="B24" s="2351"/>
      <c r="C24" s="2351"/>
      <c r="D24" s="2351"/>
      <c r="E24" s="2351"/>
      <c r="F24" s="1781"/>
      <c r="G24" s="1782">
        <f>SUM(G3,G12)-G23</f>
        <v>0</v>
      </c>
      <c r="H24" s="1782">
        <f>SUM(H3,H12)-H23</f>
        <v>0</v>
      </c>
      <c r="I24" s="1782">
        <f>SUM(I3,I12)-I23</f>
        <v>0</v>
      </c>
      <c r="J24" s="1782">
        <f>SUM(J3,J12)-J23</f>
        <v>0</v>
      </c>
      <c r="K24" s="1782">
        <f>SUM(K3,K12)-K23</f>
        <v>0</v>
      </c>
    </row>
    <row r="25" spans="1:11" ht="13.5" thickTop="1" x14ac:dyDescent="0.2">
      <c r="A25" s="797" t="s">
        <v>440</v>
      </c>
      <c r="B25" s="798"/>
      <c r="C25" s="798"/>
      <c r="D25" s="798"/>
      <c r="E25" s="799"/>
      <c r="F25" s="800">
        <v>714</v>
      </c>
      <c r="G25" s="801"/>
      <c r="H25" s="801"/>
      <c r="I25" s="801"/>
      <c r="J25" s="796"/>
      <c r="K25" s="796"/>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2030</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361"/>
      <c r="I31" s="2362"/>
      <c r="J31" s="2362"/>
      <c r="K31" s="2362"/>
    </row>
    <row r="32" spans="1:11" x14ac:dyDescent="0.2">
      <c r="A32" s="808"/>
      <c r="B32" s="237"/>
      <c r="C32" s="237"/>
      <c r="D32" s="237"/>
      <c r="E32" s="804"/>
      <c r="F32" s="810" t="s">
        <v>561</v>
      </c>
      <c r="G32" s="763"/>
      <c r="H32" s="2363"/>
      <c r="I32" s="2362"/>
      <c r="J32" s="2362"/>
      <c r="K32" s="2362"/>
    </row>
    <row r="33" spans="1:11" ht="1.5" customHeight="1" x14ac:dyDescent="0.2">
      <c r="A33" s="811" t="s">
        <v>1231</v>
      </c>
      <c r="B33" s="364"/>
      <c r="C33" s="364"/>
      <c r="D33" s="364"/>
      <c r="E33" s="364"/>
      <c r="F33" s="364"/>
      <c r="G33" s="812"/>
      <c r="H33" s="2363"/>
      <c r="I33" s="2362"/>
      <c r="J33" s="2362"/>
      <c r="K33" s="2362"/>
    </row>
    <row r="34" spans="1:11" x14ac:dyDescent="0.2">
      <c r="A34" s="813" t="s">
        <v>1917</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331" t="s">
        <v>562</v>
      </c>
      <c r="B41" s="2332"/>
      <c r="C41" s="2332"/>
      <c r="D41" s="2332"/>
      <c r="E41" s="2332"/>
      <c r="F41" s="2333"/>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0" t="s">
        <v>1911</v>
      </c>
      <c r="B46" s="408" t="s">
        <v>1772</v>
      </c>
    </row>
    <row r="47" spans="1:11" s="822" customFormat="1" ht="12.75" customHeight="1" x14ac:dyDescent="0.2">
      <c r="A47" s="820"/>
      <c r="B47" s="821" t="s">
        <v>1773</v>
      </c>
      <c r="E47" s="821"/>
      <c r="K47" s="823"/>
    </row>
    <row r="48" spans="1:11" ht="12.75" customHeight="1" x14ac:dyDescent="0.2">
      <c r="A48" s="1551" t="s">
        <v>1912</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70" t="s">
        <v>2029</v>
      </c>
      <c r="B1" s="2371"/>
      <c r="C1" s="2372"/>
      <c r="D1" s="825"/>
      <c r="E1" s="826"/>
      <c r="F1" s="826"/>
      <c r="G1" s="827"/>
      <c r="H1" s="828"/>
      <c r="I1" s="829"/>
      <c r="J1" s="2368"/>
      <c r="K1" s="2369"/>
      <c r="L1" s="2369"/>
    </row>
    <row r="2" spans="1:14" ht="69.75" customHeight="1" x14ac:dyDescent="0.2">
      <c r="A2" s="830" t="s">
        <v>1775</v>
      </c>
      <c r="B2" s="831" t="s">
        <v>396</v>
      </c>
      <c r="C2" s="832" t="s">
        <v>2024</v>
      </c>
      <c r="D2" s="832" t="s">
        <v>2021</v>
      </c>
      <c r="E2" s="832" t="s">
        <v>2022</v>
      </c>
      <c r="F2" s="832" t="s">
        <v>2023</v>
      </c>
      <c r="G2" s="832" t="s">
        <v>626</v>
      </c>
      <c r="H2" s="832" t="s">
        <v>2025</v>
      </c>
      <c r="I2" s="832" t="s">
        <v>2026</v>
      </c>
      <c r="J2" s="832" t="s">
        <v>2041</v>
      </c>
      <c r="K2" s="832" t="s">
        <v>2027</v>
      </c>
      <c r="L2" s="832" t="s">
        <v>2028</v>
      </c>
      <c r="M2" s="833"/>
      <c r="N2" s="833"/>
    </row>
    <row r="3" spans="1:14" ht="13.5" thickBot="1" x14ac:dyDescent="0.25">
      <c r="A3" s="1648" t="s">
        <v>948</v>
      </c>
      <c r="B3" s="1649">
        <v>210</v>
      </c>
      <c r="C3" s="834">
        <v>0</v>
      </c>
      <c r="D3" s="834">
        <v>0</v>
      </c>
      <c r="E3" s="834">
        <v>0</v>
      </c>
      <c r="F3" s="1779">
        <f>(C3+D3)-E3</f>
        <v>0</v>
      </c>
      <c r="G3" s="835"/>
      <c r="H3" s="834">
        <v>0</v>
      </c>
      <c r="I3" s="834">
        <v>0</v>
      </c>
      <c r="J3" s="834">
        <v>0</v>
      </c>
      <c r="K3" s="1788">
        <f>(H3+I3)-J3</f>
        <v>0</v>
      </c>
      <c r="L3" s="1788">
        <f>F3-K3</f>
        <v>0</v>
      </c>
      <c r="M3" s="833"/>
      <c r="N3" s="833"/>
    </row>
    <row r="4" spans="1:14" ht="15" customHeight="1" thickTop="1" x14ac:dyDescent="0.2">
      <c r="A4" s="1650" t="s">
        <v>160</v>
      </c>
      <c r="B4" s="1649">
        <v>220</v>
      </c>
      <c r="C4" s="780"/>
      <c r="D4" s="780"/>
      <c r="E4" s="780"/>
      <c r="F4" s="772"/>
      <c r="G4" s="836"/>
      <c r="H4" s="837"/>
      <c r="I4" s="837"/>
      <c r="J4" s="837"/>
      <c r="K4" s="838"/>
      <c r="L4" s="772"/>
    </row>
    <row r="5" spans="1:14" ht="13.5" thickBot="1" x14ac:dyDescent="0.25">
      <c r="A5" s="777" t="s">
        <v>949</v>
      </c>
      <c r="B5" s="839">
        <v>221</v>
      </c>
      <c r="C5" s="840">
        <v>378038</v>
      </c>
      <c r="D5" s="840">
        <v>0</v>
      </c>
      <c r="E5" s="840">
        <v>0</v>
      </c>
      <c r="F5" s="1779">
        <f>(C5+D5)-E5</f>
        <v>378038</v>
      </c>
      <c r="G5" s="836"/>
      <c r="H5" s="841"/>
      <c r="I5" s="841"/>
      <c r="J5" s="841"/>
      <c r="K5" s="792"/>
      <c r="L5" s="1788">
        <f>F5-K5</f>
        <v>378038</v>
      </c>
    </row>
    <row r="6" spans="1:14" ht="14.25" thickTop="1" thickBot="1" x14ac:dyDescent="0.25">
      <c r="A6" s="777" t="s">
        <v>1179</v>
      </c>
      <c r="B6" s="839">
        <v>222</v>
      </c>
      <c r="C6" s="764">
        <v>0</v>
      </c>
      <c r="D6" s="764">
        <v>0</v>
      </c>
      <c r="E6" s="764">
        <v>0</v>
      </c>
      <c r="F6" s="1779">
        <f>(C6+D6)-E6</f>
        <v>0</v>
      </c>
      <c r="G6" s="836">
        <v>50</v>
      </c>
      <c r="H6" s="764">
        <v>0</v>
      </c>
      <c r="I6" s="764">
        <v>0</v>
      </c>
      <c r="J6" s="764">
        <v>0</v>
      </c>
      <c r="K6" s="1788">
        <f>(H6+I6)-J6</f>
        <v>0</v>
      </c>
      <c r="L6" s="1788">
        <f>F6-K6</f>
        <v>0</v>
      </c>
    </row>
    <row r="7" spans="1:14" ht="15" customHeight="1" thickTop="1" x14ac:dyDescent="0.2">
      <c r="A7" s="1650" t="s">
        <v>161</v>
      </c>
      <c r="B7" s="1649">
        <v>230</v>
      </c>
      <c r="C7" s="780"/>
      <c r="D7" s="780"/>
      <c r="E7" s="780"/>
      <c r="F7" s="772"/>
      <c r="G7" s="842"/>
      <c r="H7" s="780"/>
      <c r="I7" s="780"/>
      <c r="J7" s="780"/>
      <c r="K7" s="772"/>
      <c r="L7" s="772"/>
    </row>
    <row r="8" spans="1:14" ht="13.5" thickBot="1" x14ac:dyDescent="0.25">
      <c r="A8" s="777" t="s">
        <v>1180</v>
      </c>
      <c r="B8" s="839">
        <v>231</v>
      </c>
      <c r="C8" s="843">
        <v>60470912</v>
      </c>
      <c r="D8" s="843">
        <v>245206</v>
      </c>
      <c r="E8" s="843">
        <v>0</v>
      </c>
      <c r="F8" s="1779">
        <f>(C8+D8)-E8</f>
        <v>60716118</v>
      </c>
      <c r="G8" s="842">
        <v>50</v>
      </c>
      <c r="H8" s="764">
        <v>25292297</v>
      </c>
      <c r="I8" s="764">
        <v>1130806</v>
      </c>
      <c r="J8" s="764">
        <v>0</v>
      </c>
      <c r="K8" s="1788">
        <f>(H8+I8)-J8</f>
        <v>26423103</v>
      </c>
      <c r="L8" s="1788">
        <f>F8-K8</f>
        <v>34293015</v>
      </c>
    </row>
    <row r="9" spans="1:14" ht="14.25" thickTop="1" thickBot="1" x14ac:dyDescent="0.25">
      <c r="A9" s="777" t="s">
        <v>1181</v>
      </c>
      <c r="B9" s="839">
        <v>232</v>
      </c>
      <c r="C9" s="764">
        <v>0</v>
      </c>
      <c r="D9" s="764">
        <v>0</v>
      </c>
      <c r="E9" s="764">
        <v>0</v>
      </c>
      <c r="F9" s="1779">
        <f>(C9+D9)-E9</f>
        <v>0</v>
      </c>
      <c r="G9" s="842">
        <v>20</v>
      </c>
      <c r="H9" s="764">
        <v>0</v>
      </c>
      <c r="I9" s="764">
        <v>0</v>
      </c>
      <c r="J9" s="764">
        <v>0</v>
      </c>
      <c r="K9" s="1788">
        <f>(H9+I9)-J9</f>
        <v>0</v>
      </c>
      <c r="L9" s="1788">
        <f>F9-K9</f>
        <v>0</v>
      </c>
    </row>
    <row r="10" spans="1:14" ht="24" thickTop="1" thickBot="1" x14ac:dyDescent="0.25">
      <c r="A10" s="844" t="s">
        <v>1182</v>
      </c>
      <c r="B10" s="839">
        <v>240</v>
      </c>
      <c r="C10" s="845">
        <v>237795</v>
      </c>
      <c r="D10" s="845">
        <v>10592</v>
      </c>
      <c r="E10" s="845">
        <v>0</v>
      </c>
      <c r="F10" s="1783">
        <f>(C10+D10)-E10</f>
        <v>248387</v>
      </c>
      <c r="G10" s="842">
        <v>20</v>
      </c>
      <c r="H10" s="846">
        <v>210213</v>
      </c>
      <c r="I10" s="846">
        <v>2112</v>
      </c>
      <c r="J10" s="846">
        <v>0</v>
      </c>
      <c r="K10" s="1788">
        <f>(H10+I10)-J10</f>
        <v>212325</v>
      </c>
      <c r="L10" s="1788">
        <f>F10-K10</f>
        <v>36062</v>
      </c>
    </row>
    <row r="11" spans="1:14" ht="13.5" thickTop="1" x14ac:dyDescent="0.2">
      <c r="A11" s="1651" t="s">
        <v>1198</v>
      </c>
      <c r="B11" s="1649">
        <v>250</v>
      </c>
      <c r="C11" s="780"/>
      <c r="D11" s="780"/>
      <c r="E11" s="780"/>
      <c r="F11" s="772"/>
      <c r="G11" s="842"/>
      <c r="H11" s="780"/>
      <c r="I11" s="780"/>
      <c r="J11" s="780"/>
      <c r="K11" s="772"/>
      <c r="L11" s="772"/>
    </row>
    <row r="12" spans="1:14" ht="13.5" thickBot="1" x14ac:dyDescent="0.25">
      <c r="A12" s="847" t="s">
        <v>1183</v>
      </c>
      <c r="B12" s="839">
        <v>251</v>
      </c>
      <c r="C12" s="843">
        <v>4357946</v>
      </c>
      <c r="D12" s="843">
        <v>120046</v>
      </c>
      <c r="E12" s="843">
        <v>629955</v>
      </c>
      <c r="F12" s="1779">
        <f>(C12+D12)-E12</f>
        <v>3848037</v>
      </c>
      <c r="G12" s="842">
        <v>10</v>
      </c>
      <c r="H12" s="764">
        <v>2903377</v>
      </c>
      <c r="I12" s="764">
        <v>386178</v>
      </c>
      <c r="J12" s="764">
        <v>629955</v>
      </c>
      <c r="K12" s="1788">
        <f>(H12+I12)-J12</f>
        <v>2659600</v>
      </c>
      <c r="L12" s="1788">
        <f>F12-K12</f>
        <v>1188437</v>
      </c>
    </row>
    <row r="13" spans="1:14" ht="14.25" thickTop="1" thickBot="1" x14ac:dyDescent="0.25">
      <c r="A13" s="847" t="s">
        <v>1184</v>
      </c>
      <c r="B13" s="839">
        <v>252</v>
      </c>
      <c r="C13" s="843">
        <v>0</v>
      </c>
      <c r="D13" s="843">
        <v>0</v>
      </c>
      <c r="E13" s="843">
        <v>0</v>
      </c>
      <c r="F13" s="1779">
        <f>(C13+D13)-E13</f>
        <v>0</v>
      </c>
      <c r="G13" s="842">
        <v>5</v>
      </c>
      <c r="H13" s="764">
        <v>0</v>
      </c>
      <c r="I13" s="764">
        <v>0</v>
      </c>
      <c r="J13" s="764">
        <v>0</v>
      </c>
      <c r="K13" s="1788">
        <f>(H13+I13)-J13</f>
        <v>0</v>
      </c>
      <c r="L13" s="1788">
        <f>F13-K13</f>
        <v>0</v>
      </c>
    </row>
    <row r="14" spans="1:14" ht="14.25" thickTop="1" thickBot="1" x14ac:dyDescent="0.25">
      <c r="A14" s="847" t="s">
        <v>1185</v>
      </c>
      <c r="B14" s="839">
        <v>253</v>
      </c>
      <c r="C14" s="764">
        <v>0</v>
      </c>
      <c r="D14" s="764">
        <v>0</v>
      </c>
      <c r="E14" s="764">
        <v>0</v>
      </c>
      <c r="F14" s="1779">
        <f>(C14+D14)-E14</f>
        <v>0</v>
      </c>
      <c r="G14" s="842">
        <v>3</v>
      </c>
      <c r="H14" s="764">
        <v>0</v>
      </c>
      <c r="I14" s="764">
        <v>0</v>
      </c>
      <c r="J14" s="764">
        <v>0</v>
      </c>
      <c r="K14" s="1788">
        <f>(H14+I14)-J14</f>
        <v>0</v>
      </c>
      <c r="L14" s="1788">
        <f>F14-K14</f>
        <v>0</v>
      </c>
    </row>
    <row r="15" spans="1:14" ht="15" customHeight="1" thickTop="1" thickBot="1" x14ac:dyDescent="0.25">
      <c r="A15" s="1650" t="s">
        <v>549</v>
      </c>
      <c r="B15" s="1649">
        <v>260</v>
      </c>
      <c r="C15" s="843">
        <v>0</v>
      </c>
      <c r="D15" s="843">
        <v>0</v>
      </c>
      <c r="E15" s="843">
        <v>0</v>
      </c>
      <c r="F15" s="1779">
        <f>(C15+D15)-E15</f>
        <v>0</v>
      </c>
      <c r="G15" s="848" t="s">
        <v>917</v>
      </c>
      <c r="H15" s="780"/>
      <c r="I15" s="780"/>
      <c r="J15" s="780"/>
      <c r="K15" s="780"/>
      <c r="L15" s="1788">
        <f>F15-K15</f>
        <v>0</v>
      </c>
    </row>
    <row r="16" spans="1:14" ht="15" customHeight="1" thickTop="1" thickBot="1" x14ac:dyDescent="0.25">
      <c r="A16" s="1784" t="s">
        <v>664</v>
      </c>
      <c r="B16" s="1785">
        <v>200</v>
      </c>
      <c r="C16" s="1779">
        <f>SUM(C3,C5:C6,C8:C10,C12:C15)</f>
        <v>65444691</v>
      </c>
      <c r="D16" s="1779">
        <f>SUM(D3,D5:D6,D8:D10,D12:D15)</f>
        <v>375844</v>
      </c>
      <c r="E16" s="1779">
        <f>SUM(E3,E5:E6,E8:E10,E12:E15)</f>
        <v>629955</v>
      </c>
      <c r="F16" s="1779">
        <f>SUM(F3,F5:F6,F8:F10,F12:F15)</f>
        <v>65190580</v>
      </c>
      <c r="G16" s="842"/>
      <c r="H16" s="1779">
        <f>SUM(H3,H6,H8:H10,H12:H14,)</f>
        <v>28405887</v>
      </c>
      <c r="I16" s="1779">
        <f>SUM(I3,I6,I8:I10,I12:I14,)</f>
        <v>1519096</v>
      </c>
      <c r="J16" s="1779">
        <f>SUM(J3,J6,J8:J10,J12:J14,)</f>
        <v>629955</v>
      </c>
      <c r="K16" s="1779">
        <f>(H16+I16)-J16</f>
        <v>29295028</v>
      </c>
      <c r="L16" s="1779">
        <f>F16-K16</f>
        <v>35895552</v>
      </c>
    </row>
    <row r="17" spans="1:12" ht="15" customHeight="1" thickTop="1" thickBot="1" x14ac:dyDescent="0.25">
      <c r="A17" s="1652" t="s">
        <v>309</v>
      </c>
      <c r="B17" s="1649">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1519096</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376" t="s">
        <v>1697</v>
      </c>
      <c r="B1" s="2377"/>
      <c r="C1" s="2377"/>
      <c r="D1" s="2377"/>
      <c r="E1" s="2377"/>
      <c r="F1" s="2378"/>
      <c r="G1" s="854"/>
    </row>
    <row r="2" spans="1:7" ht="15" customHeight="1" thickBot="1" x14ac:dyDescent="0.25">
      <c r="A2" s="2379" t="s">
        <v>498</v>
      </c>
      <c r="B2" s="2380"/>
      <c r="C2" s="2380"/>
      <c r="D2" s="2380"/>
      <c r="E2" s="2380"/>
      <c r="F2" s="2381"/>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382"/>
      <c r="B5" s="2383"/>
      <c r="C5" s="2383"/>
      <c r="D5" s="2383"/>
      <c r="E5" s="2383"/>
      <c r="F5" s="2383"/>
    </row>
    <row r="6" spans="1:7" ht="13.5" customHeight="1" thickBot="1" x14ac:dyDescent="0.25">
      <c r="A6" s="2373" t="s">
        <v>1166</v>
      </c>
      <c r="B6" s="2374"/>
      <c r="C6" s="2374"/>
      <c r="D6" s="2374"/>
      <c r="E6" s="2374"/>
      <c r="F6" s="2375"/>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30749794</v>
      </c>
      <c r="G8" s="864"/>
    </row>
    <row r="9" spans="1:7" x14ac:dyDescent="0.2">
      <c r="A9" s="868" t="s">
        <v>480</v>
      </c>
      <c r="B9" s="869" t="s">
        <v>1983</v>
      </c>
      <c r="C9" s="870"/>
      <c r="D9" s="868" t="s">
        <v>522</v>
      </c>
      <c r="E9" s="867"/>
      <c r="F9" s="1932">
        <f>'Expenditures 15-22'!K151</f>
        <v>2370406</v>
      </c>
      <c r="G9" s="871"/>
    </row>
    <row r="10" spans="1:7" x14ac:dyDescent="0.2">
      <c r="A10" s="868" t="s">
        <v>520</v>
      </c>
      <c r="B10" s="869" t="s">
        <v>1984</v>
      </c>
      <c r="C10" s="870"/>
      <c r="D10" s="868" t="s">
        <v>522</v>
      </c>
      <c r="E10" s="867"/>
      <c r="F10" s="1932">
        <f>'Expenditures 15-22'!K174</f>
        <v>585698</v>
      </c>
      <c r="G10" s="871"/>
    </row>
    <row r="11" spans="1:7" x14ac:dyDescent="0.2">
      <c r="A11" s="868" t="s">
        <v>481</v>
      </c>
      <c r="B11" s="869" t="s">
        <v>1985</v>
      </c>
      <c r="C11" s="870"/>
      <c r="D11" s="868" t="s">
        <v>522</v>
      </c>
      <c r="E11" s="867"/>
      <c r="F11" s="1932">
        <f>'Expenditures 15-22'!K210</f>
        <v>2857758</v>
      </c>
      <c r="G11" s="871"/>
    </row>
    <row r="12" spans="1:7" x14ac:dyDescent="0.2">
      <c r="A12" s="868" t="s">
        <v>482</v>
      </c>
      <c r="B12" s="869" t="s">
        <v>1986</v>
      </c>
      <c r="C12" s="870"/>
      <c r="D12" s="868" t="s">
        <v>522</v>
      </c>
      <c r="E12" s="867"/>
      <c r="F12" s="1932">
        <f>'Expenditures 15-22'!K295</f>
        <v>835095</v>
      </c>
      <c r="G12" s="871"/>
    </row>
    <row r="13" spans="1:7" x14ac:dyDescent="0.2">
      <c r="A13" s="868" t="s">
        <v>108</v>
      </c>
      <c r="B13" s="869" t="s">
        <v>1987</v>
      </c>
      <c r="C13" s="870"/>
      <c r="D13" s="868" t="s">
        <v>522</v>
      </c>
      <c r="E13" s="867"/>
      <c r="F13" s="1932">
        <f>'Expenditures 15-22'!K342</f>
        <v>0</v>
      </c>
      <c r="G13" s="872"/>
    </row>
    <row r="14" spans="1:7" ht="12" customHeight="1" thickBot="1" x14ac:dyDescent="0.25">
      <c r="A14" s="1789"/>
      <c r="B14" s="1790"/>
      <c r="C14" s="1791"/>
      <c r="D14" s="1792" t="s">
        <v>522</v>
      </c>
      <c r="E14" s="1793" t="s">
        <v>1015</v>
      </c>
      <c r="F14" s="1794">
        <f>SUM(F8:F13)</f>
        <v>37398751</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0</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1681</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484424</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430126</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811579</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147965</v>
      </c>
      <c r="G52" s="864"/>
    </row>
    <row r="53" spans="1:7" x14ac:dyDescent="0.2">
      <c r="A53" s="868" t="s">
        <v>479</v>
      </c>
      <c r="B53" s="868" t="s">
        <v>1551</v>
      </c>
      <c r="C53" s="888">
        <f>'Expenditures 15-22'!B102</f>
        <v>4000</v>
      </c>
      <c r="D53" s="887" t="str">
        <f>'Expenditures 15-22'!A102</f>
        <v>Total Payments to Other Govt Units</v>
      </c>
      <c r="E53" s="867"/>
      <c r="F53" s="1936">
        <f>'Expenditures 15-22'!K102</f>
        <v>486474</v>
      </c>
      <c r="G53" s="864"/>
    </row>
    <row r="54" spans="1:7" x14ac:dyDescent="0.2">
      <c r="A54" s="868" t="s">
        <v>479</v>
      </c>
      <c r="B54" s="868" t="s">
        <v>1552</v>
      </c>
      <c r="C54" s="888" t="s">
        <v>1039</v>
      </c>
      <c r="D54" s="884" t="s">
        <v>1157</v>
      </c>
      <c r="E54" s="867"/>
      <c r="F54" s="1936">
        <f>'Expenditures 15-22'!G114</f>
        <v>12058</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1988</v>
      </c>
      <c r="C57" s="888">
        <f>'Expenditures 15-22'!B139</f>
        <v>4000</v>
      </c>
      <c r="D57" s="886" t="str">
        <f>'Expenditures 15-22'!A139</f>
        <v>Total Payments to Other Govt Units</v>
      </c>
      <c r="E57" s="867"/>
      <c r="F57" s="1936">
        <f>'Expenditures 15-22'!K139</f>
        <v>0</v>
      </c>
      <c r="G57" s="864"/>
    </row>
    <row r="58" spans="1:7" x14ac:dyDescent="0.2">
      <c r="A58" s="868" t="s">
        <v>480</v>
      </c>
      <c r="B58" s="868" t="s">
        <v>1989</v>
      </c>
      <c r="C58" s="885" t="s">
        <v>1039</v>
      </c>
      <c r="D58" s="884" t="s">
        <v>1157</v>
      </c>
      <c r="E58" s="867"/>
      <c r="F58" s="1938">
        <f>'Expenditures 15-22'!G151</f>
        <v>181276</v>
      </c>
      <c r="G58" s="864"/>
    </row>
    <row r="59" spans="1:7" x14ac:dyDescent="0.2">
      <c r="A59" s="892" t="s">
        <v>480</v>
      </c>
      <c r="B59" s="855" t="s">
        <v>1990</v>
      </c>
      <c r="C59" s="893" t="s">
        <v>1039</v>
      </c>
      <c r="D59" s="855" t="s">
        <v>309</v>
      </c>
      <c r="F59" s="1939">
        <f>'Expenditures 15-22'!I151</f>
        <v>0</v>
      </c>
      <c r="G59" s="864"/>
    </row>
    <row r="60" spans="1:7" x14ac:dyDescent="0.2">
      <c r="A60" s="892" t="s">
        <v>520</v>
      </c>
      <c r="B60" s="855" t="s">
        <v>1991</v>
      </c>
      <c r="C60" s="893">
        <v>4000</v>
      </c>
      <c r="D60" s="855" t="s">
        <v>330</v>
      </c>
      <c r="F60" s="1937">
        <f>'Expenditures 15-22'!K160</f>
        <v>0</v>
      </c>
      <c r="G60" s="864"/>
    </row>
    <row r="61" spans="1:7" x14ac:dyDescent="0.2">
      <c r="A61" s="894" t="s">
        <v>520</v>
      </c>
      <c r="B61" s="894" t="s">
        <v>1992</v>
      </c>
      <c r="C61" s="895" t="str">
        <f>'Expenditures 15-22'!B170</f>
        <v>5300</v>
      </c>
      <c r="D61" s="896" t="s">
        <v>329</v>
      </c>
      <c r="E61" s="878"/>
      <c r="F61" s="1936">
        <f>'Expenditures 15-22'!K170</f>
        <v>335803</v>
      </c>
      <c r="G61" s="864"/>
    </row>
    <row r="62" spans="1:7" x14ac:dyDescent="0.2">
      <c r="A62" s="868" t="s">
        <v>481</v>
      </c>
      <c r="B62" s="868" t="s">
        <v>1993</v>
      </c>
      <c r="C62" s="885">
        <f>'Expenditures 15-22'!B185</f>
        <v>3000</v>
      </c>
      <c r="D62" s="875" t="s">
        <v>469</v>
      </c>
      <c r="E62" s="867"/>
      <c r="F62" s="1936">
        <f>'Expenditures 15-22'!K185-SUM('Expenditures 15-22'!G185,'Expenditures 15-22'!I185)</f>
        <v>0</v>
      </c>
      <c r="G62" s="864"/>
    </row>
    <row r="63" spans="1:7" x14ac:dyDescent="0.2">
      <c r="A63" s="868" t="s">
        <v>481</v>
      </c>
      <c r="B63" s="868" t="s">
        <v>1994</v>
      </c>
      <c r="C63" s="885" t="str">
        <f>'Expenditures 15-22'!B196</f>
        <v>4000</v>
      </c>
      <c r="D63" s="886" t="str">
        <f>'Expenditures 15-22'!A196</f>
        <v>Total Payments to Other Govt Units</v>
      </c>
      <c r="E63" s="867"/>
      <c r="F63" s="1936">
        <f>'Expenditures 15-22'!K196</f>
        <v>0</v>
      </c>
      <c r="G63" s="864"/>
    </row>
    <row r="64" spans="1:7" x14ac:dyDescent="0.2">
      <c r="A64" s="894" t="s">
        <v>481</v>
      </c>
      <c r="B64" s="894" t="s">
        <v>1995</v>
      </c>
      <c r="C64" s="895" t="str">
        <f>'Expenditures 15-22'!B206</f>
        <v>5300</v>
      </c>
      <c r="D64" s="891" t="s">
        <v>329</v>
      </c>
      <c r="E64" s="867"/>
      <c r="F64" s="1936">
        <f>'Expenditures 15-22'!K206</f>
        <v>0</v>
      </c>
      <c r="G64" s="864"/>
    </row>
    <row r="65" spans="1:8" x14ac:dyDescent="0.2">
      <c r="A65" s="868" t="s">
        <v>481</v>
      </c>
      <c r="B65" s="868" t="s">
        <v>1996</v>
      </c>
      <c r="C65" s="885" t="s">
        <v>1039</v>
      </c>
      <c r="D65" s="884" t="s">
        <v>1157</v>
      </c>
      <c r="E65" s="867"/>
      <c r="F65" s="1936">
        <f>'Expenditures 15-22'!G210</f>
        <v>0</v>
      </c>
      <c r="G65" s="864"/>
    </row>
    <row r="66" spans="1:8" x14ac:dyDescent="0.2">
      <c r="A66" s="868" t="s">
        <v>481</v>
      </c>
      <c r="B66" s="868" t="s">
        <v>1997</v>
      </c>
      <c r="C66" s="885" t="s">
        <v>1039</v>
      </c>
      <c r="D66" s="884" t="s">
        <v>309</v>
      </c>
      <c r="E66" s="867"/>
      <c r="F66" s="1936">
        <f>'Expenditures 15-22'!I210</f>
        <v>0</v>
      </c>
      <c r="G66" s="864"/>
    </row>
    <row r="67" spans="1:8" x14ac:dyDescent="0.2">
      <c r="A67" s="868" t="s">
        <v>482</v>
      </c>
      <c r="B67" s="868" t="s">
        <v>1998</v>
      </c>
      <c r="C67" s="885" t="str">
        <f>'Expenditures 15-22'!B216</f>
        <v>1125</v>
      </c>
      <c r="D67" s="891" t="str">
        <f>'Expenditures 15-22'!A216</f>
        <v>Pre-K Programs</v>
      </c>
      <c r="E67" s="867"/>
      <c r="F67" s="1936">
        <f>'Expenditures 15-22'!K216</f>
        <v>20498</v>
      </c>
      <c r="G67" s="864"/>
    </row>
    <row r="68" spans="1:8" x14ac:dyDescent="0.2">
      <c r="A68" s="868" t="s">
        <v>482</v>
      </c>
      <c r="B68" s="868" t="s">
        <v>1555</v>
      </c>
      <c r="C68" s="885" t="str">
        <f>'Expenditures 15-22'!B218</f>
        <v>1225</v>
      </c>
      <c r="D68" s="891" t="str">
        <f>'Expenditures 15-22'!A218</f>
        <v>Special Education Programs - Pre-K</v>
      </c>
      <c r="E68" s="867"/>
      <c r="F68" s="1936">
        <f>'Expenditures 15-22'!K218</f>
        <v>7549</v>
      </c>
      <c r="G68" s="864"/>
    </row>
    <row r="69" spans="1:8" x14ac:dyDescent="0.2">
      <c r="A69" s="868" t="s">
        <v>482</v>
      </c>
      <c r="B69" s="868" t="s">
        <v>1999</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2000</v>
      </c>
      <c r="C70" s="885">
        <f>'Expenditures 15-22'!B221</f>
        <v>1300</v>
      </c>
      <c r="D70" s="886" t="str">
        <f>'Expenditures 15-22'!A221</f>
        <v>Adult/Continuing Education Programs</v>
      </c>
      <c r="E70" s="867"/>
      <c r="F70" s="1936">
        <f>'Expenditures 15-22'!K221</f>
        <v>0</v>
      </c>
      <c r="G70" s="864"/>
    </row>
    <row r="71" spans="1:8" x14ac:dyDescent="0.2">
      <c r="A71" s="868" t="s">
        <v>482</v>
      </c>
      <c r="B71" s="868" t="s">
        <v>2001</v>
      </c>
      <c r="C71" s="885">
        <f>'Expenditures 15-22'!B224</f>
        <v>1600</v>
      </c>
      <c r="D71" s="886" t="str">
        <f>'Expenditures 15-22'!A224</f>
        <v>Summer School Programs</v>
      </c>
      <c r="E71" s="867"/>
      <c r="F71" s="1936">
        <f>'Expenditures 15-22'!K224</f>
        <v>0</v>
      </c>
      <c r="G71" s="864"/>
    </row>
    <row r="72" spans="1:8" x14ac:dyDescent="0.2">
      <c r="A72" s="868" t="s">
        <v>482</v>
      </c>
      <c r="B72" s="868" t="s">
        <v>2002</v>
      </c>
      <c r="C72" s="885">
        <f>'Expenditures 15-22'!B280</f>
        <v>3000</v>
      </c>
      <c r="D72" s="875" t="s">
        <v>469</v>
      </c>
      <c r="E72" s="867"/>
      <c r="F72" s="1936">
        <f>'Expenditures 15-22'!K280</f>
        <v>21400</v>
      </c>
      <c r="G72" s="864"/>
    </row>
    <row r="73" spans="1:8" x14ac:dyDescent="0.2">
      <c r="A73" s="868" t="s">
        <v>482</v>
      </c>
      <c r="B73" s="868" t="s">
        <v>2003</v>
      </c>
      <c r="C73" s="885" t="str">
        <f>'Expenditures 15-22'!B285</f>
        <v>4000</v>
      </c>
      <c r="D73" s="886" t="str">
        <f>'Expenditures 15-22'!A285</f>
        <v>Total Payments to Other Govt Units</v>
      </c>
      <c r="E73" s="867"/>
      <c r="F73" s="1936">
        <f>'Expenditures 15-22'!K285</f>
        <v>0</v>
      </c>
      <c r="G73" s="864"/>
    </row>
    <row r="74" spans="1:8" x14ac:dyDescent="0.2">
      <c r="A74" s="868" t="s">
        <v>456</v>
      </c>
      <c r="B74" s="868" t="s">
        <v>2004</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2005</v>
      </c>
      <c r="E76" s="1793" t="s">
        <v>1015</v>
      </c>
      <c r="F76" s="1797">
        <f>SUM(F18:F74)</f>
        <v>2939152</v>
      </c>
      <c r="G76" s="864"/>
    </row>
    <row r="77" spans="1:8" s="892" customFormat="1" ht="12" customHeight="1" thickTop="1" thickBot="1" x14ac:dyDescent="0.25">
      <c r="A77" s="1798"/>
      <c r="B77" s="1795"/>
      <c r="C77" s="1791"/>
      <c r="D77" s="1796" t="s">
        <v>2006</v>
      </c>
      <c r="E77" s="1793"/>
      <c r="F77" s="1799">
        <f>(F14-F76)</f>
        <v>34459599</v>
      </c>
      <c r="G77" s="868"/>
    </row>
    <row r="78" spans="1:8" s="892" customFormat="1" ht="12" customHeight="1" thickTop="1" x14ac:dyDescent="0.2">
      <c r="A78" s="1800"/>
      <c r="B78" s="1795"/>
      <c r="C78" s="1791"/>
      <c r="D78" s="1796" t="s">
        <v>2053</v>
      </c>
      <c r="E78" s="1793"/>
      <c r="F78" s="897">
        <v>3262.08</v>
      </c>
      <c r="G78" s="898"/>
      <c r="H78" s="868"/>
    </row>
    <row r="79" spans="1:8" s="892" customFormat="1" ht="12" customHeight="1" thickBot="1" x14ac:dyDescent="0.25">
      <c r="A79" s="1801"/>
      <c r="B79" s="1795"/>
      <c r="C79" s="1791"/>
      <c r="D79" s="1796" t="s">
        <v>2007</v>
      </c>
      <c r="E79" s="1793" t="s">
        <v>1015</v>
      </c>
      <c r="F79" s="1802">
        <f>IF(F78&gt;0,F77/F78," Complete Line 78")</f>
        <v>10563.689118599175</v>
      </c>
      <c r="G79" s="868"/>
    </row>
    <row r="80" spans="1:8" s="892" customFormat="1" ht="8.25" customHeight="1" thickTop="1" x14ac:dyDescent="0.2">
      <c r="A80" s="899"/>
      <c r="B80" s="868"/>
      <c r="C80" s="870"/>
      <c r="D80" s="900"/>
      <c r="E80" s="867"/>
      <c r="F80" s="901"/>
      <c r="G80" s="868"/>
    </row>
    <row r="81" spans="1:7" s="892" customFormat="1" ht="12" thickBot="1" x14ac:dyDescent="0.25">
      <c r="A81" s="2373" t="s">
        <v>1167</v>
      </c>
      <c r="B81" s="2374"/>
      <c r="C81" s="2374"/>
      <c r="D81" s="2374"/>
      <c r="E81" s="2374"/>
      <c r="F81" s="2375"/>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49147</v>
      </c>
      <c r="G94" s="911"/>
    </row>
    <row r="95" spans="1:7" x14ac:dyDescent="0.2">
      <c r="A95" s="907" t="s">
        <v>142</v>
      </c>
      <c r="B95" s="907" t="s">
        <v>177</v>
      </c>
      <c r="C95" s="909">
        <v>1700</v>
      </c>
      <c r="D95" s="917" t="str">
        <f>'Revenues 9-14'!A82</f>
        <v>Total District/School Activity Income</v>
      </c>
      <c r="E95" s="905"/>
      <c r="F95" s="1808">
        <f>SUM('Revenues 9-14'!C82,'Revenues 9-14'!D82)</f>
        <v>377230</v>
      </c>
      <c r="G95" s="911"/>
    </row>
    <row r="96" spans="1:7" x14ac:dyDescent="0.2">
      <c r="A96" s="907" t="s">
        <v>479</v>
      </c>
      <c r="B96" s="907" t="s">
        <v>178</v>
      </c>
      <c r="C96" s="909">
        <f>'Revenues 9-14'!B84</f>
        <v>1811</v>
      </c>
      <c r="D96" s="910" t="str">
        <f>'Revenues 9-14'!A84</f>
        <v>Rentals - Regular Textbooks</v>
      </c>
      <c r="E96" s="905"/>
      <c r="F96" s="1808">
        <f>'Revenues 9-14'!C84</f>
        <v>102400</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52686</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36173</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25000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1003552</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0</v>
      </c>
      <c r="G106" s="911"/>
    </row>
    <row r="107" spans="1:7" x14ac:dyDescent="0.2">
      <c r="A107" s="920" t="s">
        <v>685</v>
      </c>
      <c r="B107" s="907" t="s">
        <v>843</v>
      </c>
      <c r="C107" s="919">
        <v>3300</v>
      </c>
      <c r="D107" s="910" t="str">
        <f>'Revenues 9-14'!A144</f>
        <v>Total Bilingual Ed</v>
      </c>
      <c r="E107" s="905"/>
      <c r="F107" s="1808">
        <f>SUM('Revenues 9-14'!C144,'Revenues 9-14'!G144)</f>
        <v>0</v>
      </c>
      <c r="G107" s="911"/>
    </row>
    <row r="108" spans="1:7" x14ac:dyDescent="0.2">
      <c r="A108" s="907" t="s">
        <v>479</v>
      </c>
      <c r="B108" s="907" t="s">
        <v>844</v>
      </c>
      <c r="C108" s="919">
        <f>'Revenues 9-14'!B145</f>
        <v>3360</v>
      </c>
      <c r="D108" s="910" t="str">
        <f>'Revenues 9-14'!A145</f>
        <v>State Free Lunch &amp; Breakfast</v>
      </c>
      <c r="E108" s="905"/>
      <c r="F108" s="1808">
        <f>'Revenues 9-14'!C145</f>
        <v>22941</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0</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1880958</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0</v>
      </c>
      <c r="G128" s="929"/>
    </row>
    <row r="129" spans="1:7" x14ac:dyDescent="0.2">
      <c r="A129" s="926" t="s">
        <v>685</v>
      </c>
      <c r="B129" s="926" t="s">
        <v>803</v>
      </c>
      <c r="C129" s="931">
        <v>4200</v>
      </c>
      <c r="D129" s="928" t="str">
        <f>'Revenues 9-14'!A201</f>
        <v>Total Food Service</v>
      </c>
      <c r="E129" s="905"/>
      <c r="F129" s="1808">
        <f>SUM('Revenues 9-14'!C201,'Revenues 9-14'!G201)</f>
        <v>1757585</v>
      </c>
      <c r="G129" s="929"/>
    </row>
    <row r="130" spans="1:7" x14ac:dyDescent="0.2">
      <c r="A130" s="926" t="s">
        <v>689</v>
      </c>
      <c r="B130" s="926" t="s">
        <v>804</v>
      </c>
      <c r="C130" s="931">
        <v>4300</v>
      </c>
      <c r="D130" s="932" t="str">
        <f>'Revenues 9-14'!A211</f>
        <v>Total Title I</v>
      </c>
      <c r="E130" s="905"/>
      <c r="F130" s="1808">
        <f>SUM('Revenues 9-14'!C211,'Revenues 9-14'!D211,'Revenues 9-14'!F211,'Revenues 9-14'!G211)</f>
        <v>746888</v>
      </c>
      <c r="G130" s="929"/>
    </row>
    <row r="131" spans="1:7" x14ac:dyDescent="0.2">
      <c r="A131" s="926" t="s">
        <v>689</v>
      </c>
      <c r="B131" s="926" t="s">
        <v>805</v>
      </c>
      <c r="C131" s="931">
        <v>4400</v>
      </c>
      <c r="D131" s="932" t="str">
        <f>'Revenues 9-14'!A216</f>
        <v>Total Title IV</v>
      </c>
      <c r="E131" s="905"/>
      <c r="F131" s="1808">
        <f>SUM('Revenues 9-14'!C216,'Revenues 9-14'!D216,'Revenues 9-14'!F216,'Revenues 9-14'!G216)</f>
        <v>0</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512662</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5357</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80824</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80824</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211555</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166369</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365900</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2052</v>
      </c>
      <c r="C175" s="1943">
        <v>3100</v>
      </c>
      <c r="D175" s="1944" t="s">
        <v>2055</v>
      </c>
      <c r="E175" s="905"/>
      <c r="F175" s="1928">
        <v>1289884.3500000001</v>
      </c>
      <c r="G175" s="926"/>
    </row>
    <row r="176" spans="1:7" x14ac:dyDescent="0.2">
      <c r="A176" s="1941" t="s">
        <v>685</v>
      </c>
      <c r="B176" s="1942" t="s">
        <v>2052</v>
      </c>
      <c r="C176" s="1943">
        <v>3300</v>
      </c>
      <c r="D176" s="1944" t="s">
        <v>2056</v>
      </c>
      <c r="E176" s="905"/>
      <c r="F176" s="1928">
        <v>677.08</v>
      </c>
      <c r="G176" s="926"/>
    </row>
    <row r="177" spans="1:7" ht="6" customHeight="1" x14ac:dyDescent="0.2">
      <c r="A177" s="926"/>
      <c r="B177" s="926"/>
      <c r="C177" s="948"/>
      <c r="D177" s="926"/>
      <c r="E177" s="905"/>
      <c r="F177" s="949"/>
      <c r="G177" s="946"/>
    </row>
    <row r="178" spans="1:7" x14ac:dyDescent="0.2">
      <c r="A178" s="1789"/>
      <c r="B178" s="1803"/>
      <c r="C178" s="1804"/>
      <c r="D178" s="1805" t="s">
        <v>2008</v>
      </c>
      <c r="E178" s="1806" t="s">
        <v>1015</v>
      </c>
      <c r="F178" s="1807">
        <f>SUM(F84:F136,F161:F176)</f>
        <v>8687788.4299999997</v>
      </c>
    </row>
    <row r="179" spans="1:7" ht="12" customHeight="1" x14ac:dyDescent="0.2">
      <c r="A179" s="1789"/>
      <c r="B179" s="1803"/>
      <c r="C179" s="1804"/>
      <c r="D179" s="1805" t="s">
        <v>2009</v>
      </c>
      <c r="E179" s="1806"/>
      <c r="F179" s="1808">
        <f>'PCTC-OEPP 27-28'!F77-F178</f>
        <v>25771810.57</v>
      </c>
    </row>
    <row r="180" spans="1:7" ht="12" customHeight="1" x14ac:dyDescent="0.2">
      <c r="A180" s="1789"/>
      <c r="B180" s="1803"/>
      <c r="C180" s="1804"/>
      <c r="D180" s="1805" t="s">
        <v>1918</v>
      </c>
      <c r="E180" s="1806"/>
      <c r="F180" s="1808">
        <f>'Cap Outlay Deprec 26'!I18</f>
        <v>1519096</v>
      </c>
    </row>
    <row r="181" spans="1:7" ht="12" customHeight="1" x14ac:dyDescent="0.2">
      <c r="A181" s="1789"/>
      <c r="B181" s="1803"/>
      <c r="C181" s="1804"/>
      <c r="D181" s="1805" t="s">
        <v>2010</v>
      </c>
      <c r="E181" s="1806"/>
      <c r="F181" s="1808">
        <f>F179+F180</f>
        <v>27290906.57</v>
      </c>
    </row>
    <row r="182" spans="1:7" ht="12" customHeight="1" x14ac:dyDescent="0.2">
      <c r="A182" s="1789"/>
      <c r="B182" s="1809"/>
      <c r="C182" s="1804"/>
      <c r="D182" s="1805" t="str">
        <f>D78</f>
        <v>9 Month ADA from District Average Daily Attendance/Prior General State Aid Inquiry 2017-2018</v>
      </c>
      <c r="E182" s="1806"/>
      <c r="F182" s="1810">
        <f>'PCTC-OEPP 27-28'!F78</f>
        <v>3262.08</v>
      </c>
      <c r="G182" s="929"/>
    </row>
    <row r="183" spans="1:7" ht="12" customHeight="1" thickBot="1" x14ac:dyDescent="0.25">
      <c r="A183" s="1789"/>
      <c r="B183" s="1809"/>
      <c r="C183" s="1804"/>
      <c r="D183" s="1805" t="s">
        <v>2011</v>
      </c>
      <c r="E183" s="1806" t="s">
        <v>1626</v>
      </c>
      <c r="F183" s="1811">
        <f>F181/F182</f>
        <v>8366.1058496419464</v>
      </c>
      <c r="G183" s="855">
        <v>6323</v>
      </c>
    </row>
    <row r="184" spans="1:7" ht="12" thickTop="1" x14ac:dyDescent="0.2">
      <c r="B184" s="929"/>
      <c r="C184" s="948"/>
      <c r="D184" s="929"/>
      <c r="E184" s="948"/>
      <c r="F184" s="929"/>
      <c r="G184" s="950">
        <v>6326</v>
      </c>
    </row>
    <row r="185" spans="1:7" ht="12.2" customHeight="1" x14ac:dyDescent="0.2">
      <c r="A185" s="929" t="s">
        <v>2054</v>
      </c>
      <c r="B185" s="929"/>
      <c r="C185" s="948"/>
      <c r="D185" s="929"/>
      <c r="E185" s="948"/>
      <c r="F185" s="929"/>
      <c r="G185" s="929"/>
    </row>
    <row r="186" spans="1:7" s="1945" customFormat="1" ht="12.2" customHeight="1" x14ac:dyDescent="0.2">
      <c r="A186" s="1945" t="s">
        <v>2059</v>
      </c>
      <c r="B186" s="1946"/>
      <c r="C186" s="1947"/>
      <c r="D186" s="1946"/>
      <c r="E186" s="1947"/>
      <c r="F186" s="1946"/>
      <c r="G186" s="1946"/>
    </row>
    <row r="187" spans="1:7" s="1945" customFormat="1" ht="12.2" customHeight="1" x14ac:dyDescent="0.2">
      <c r="A187" s="1948" t="s">
        <v>2060</v>
      </c>
      <c r="C187" s="1947"/>
      <c r="D187" s="1946"/>
      <c r="E187" s="1947"/>
      <c r="F187" s="1946"/>
      <c r="G187" s="1946"/>
    </row>
    <row r="188" spans="1:7" ht="12" customHeight="1" x14ac:dyDescent="0.2">
      <c r="C188" s="948"/>
      <c r="D188" s="929"/>
      <c r="E188" s="948"/>
      <c r="F188" s="929"/>
      <c r="G188" s="929"/>
    </row>
    <row r="189" spans="1:7" x14ac:dyDescent="0.2">
      <c r="A189" s="1949" t="s">
        <v>2058</v>
      </c>
      <c r="B189" s="1950" t="s">
        <v>2057</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8" sqref="A18"/>
    </sheetView>
  </sheetViews>
  <sheetFormatPr defaultColWidth="9.140625"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1934</v>
      </c>
      <c r="B1" s="1679"/>
      <c r="C1" s="1679"/>
      <c r="D1" s="1679"/>
      <c r="E1" s="1679"/>
      <c r="F1" s="1679"/>
      <c r="G1" s="1679"/>
    </row>
    <row r="2" spans="1:7" x14ac:dyDescent="0.25">
      <c r="A2" s="1676"/>
      <c r="B2" s="1676"/>
      <c r="C2" s="1677" t="s">
        <v>1036</v>
      </c>
      <c r="D2" s="1676"/>
      <c r="E2" s="1676"/>
      <c r="F2" s="1676"/>
      <c r="G2" s="1676"/>
    </row>
    <row r="3" spans="1:7" ht="5.25" customHeight="1" x14ac:dyDescent="0.25">
      <c r="A3" s="1564"/>
      <c r="B3" s="1564"/>
      <c r="C3" s="1564"/>
      <c r="D3" s="1564"/>
      <c r="E3" s="1564"/>
      <c r="F3" s="1564"/>
      <c r="G3" s="1564"/>
    </row>
    <row r="4" spans="1:7" ht="18.75" customHeight="1" x14ac:dyDescent="0.25">
      <c r="A4" s="2387" t="s">
        <v>1919</v>
      </c>
      <c r="B4" s="2388"/>
      <c r="C4" s="2388"/>
      <c r="D4" s="2388"/>
      <c r="E4" s="2388"/>
      <c r="F4" s="2388"/>
      <c r="G4" s="2389"/>
    </row>
    <row r="5" spans="1:7" x14ac:dyDescent="0.25">
      <c r="A5" s="2390"/>
      <c r="B5" s="2391"/>
      <c r="C5" s="2391"/>
      <c r="D5" s="2391"/>
      <c r="E5" s="2391"/>
      <c r="F5" s="2391"/>
      <c r="G5" s="2392"/>
    </row>
    <row r="6" spans="1:7" ht="18.75" x14ac:dyDescent="0.25">
      <c r="A6" s="1553" t="s">
        <v>1920</v>
      </c>
      <c r="B6" s="1554"/>
      <c r="C6" s="1554"/>
      <c r="D6" s="1554"/>
      <c r="E6" s="1554"/>
      <c r="F6" s="1554"/>
      <c r="G6" s="1555"/>
    </row>
    <row r="7" spans="1:7" ht="30.75" customHeight="1" x14ac:dyDescent="0.25">
      <c r="A7" s="2393" t="s">
        <v>2069</v>
      </c>
      <c r="B7" s="2394"/>
      <c r="C7" s="2394"/>
      <c r="D7" s="2394"/>
      <c r="E7" s="2394"/>
      <c r="F7" s="2394"/>
      <c r="G7" s="2395"/>
    </row>
    <row r="8" spans="1:7" ht="15.75" customHeight="1" x14ac:dyDescent="0.25">
      <c r="A8" s="2396" t="s">
        <v>2018</v>
      </c>
      <c r="B8" s="2397"/>
      <c r="C8" s="2397"/>
      <c r="D8" s="2397"/>
      <c r="E8" s="2397"/>
      <c r="F8" s="2397"/>
      <c r="G8" s="2398"/>
    </row>
    <row r="9" spans="1:7" ht="35.25" customHeight="1" x14ac:dyDescent="0.25">
      <c r="A9" s="2393" t="s">
        <v>2017</v>
      </c>
      <c r="B9" s="2394"/>
      <c r="C9" s="2394"/>
      <c r="D9" s="2394"/>
      <c r="E9" s="2394"/>
      <c r="F9" s="2394"/>
      <c r="G9" s="2395"/>
    </row>
    <row r="10" spans="1:7" ht="15" customHeight="1" x14ac:dyDescent="0.25">
      <c r="A10" s="1556" t="s">
        <v>1921</v>
      </c>
      <c r="B10" s="1557"/>
      <c r="C10" s="1557"/>
      <c r="D10" s="1557"/>
      <c r="E10" s="1557"/>
      <c r="F10" s="1557"/>
      <c r="G10" s="1558"/>
    </row>
    <row r="11" spans="1:7" ht="17.25" customHeight="1" x14ac:dyDescent="0.25">
      <c r="A11" s="2393" t="s">
        <v>1935</v>
      </c>
      <c r="B11" s="2394"/>
      <c r="C11" s="2394"/>
      <c r="D11" s="2394"/>
      <c r="E11" s="2394"/>
      <c r="F11" s="2394"/>
      <c r="G11" s="2395"/>
    </row>
    <row r="12" spans="1:7" ht="15" customHeight="1" x14ac:dyDescent="0.25">
      <c r="A12" s="1556" t="s">
        <v>1926</v>
      </c>
      <c r="B12" s="1557"/>
      <c r="C12" s="1557"/>
      <c r="D12" s="1557"/>
      <c r="E12" s="1557"/>
      <c r="F12" s="1557"/>
      <c r="G12" s="1558"/>
    </row>
    <row r="13" spans="1:7" ht="32.25" customHeight="1" x14ac:dyDescent="0.25">
      <c r="A13" s="2384" t="s">
        <v>1927</v>
      </c>
      <c r="B13" s="2385"/>
      <c r="C13" s="2385"/>
      <c r="D13" s="2385"/>
      <c r="E13" s="2385"/>
      <c r="F13" s="2385"/>
      <c r="G13" s="2386"/>
    </row>
    <row r="14" spans="1:7" x14ac:dyDescent="0.25">
      <c r="A14" s="1680" t="s">
        <v>1936</v>
      </c>
      <c r="B14" s="1681"/>
      <c r="C14" s="1681"/>
      <c r="D14" s="1681"/>
      <c r="E14" s="1681"/>
      <c r="F14" s="1681"/>
      <c r="G14" s="1682"/>
    </row>
    <row r="15" spans="1:7" ht="61.5" customHeight="1" x14ac:dyDescent="0.25">
      <c r="A15" s="1565" t="s">
        <v>1928</v>
      </c>
      <c r="B15" s="1565" t="s">
        <v>1929</v>
      </c>
      <c r="C15" s="1565" t="s">
        <v>1930</v>
      </c>
      <c r="D15" s="1566" t="s">
        <v>1931</v>
      </c>
      <c r="E15" s="1566" t="s">
        <v>1922</v>
      </c>
      <c r="F15" s="1566" t="s">
        <v>1932</v>
      </c>
      <c r="G15" s="1566" t="s">
        <v>1933</v>
      </c>
    </row>
    <row r="16" spans="1:7" x14ac:dyDescent="0.25">
      <c r="A16" s="1667" t="s">
        <v>1937</v>
      </c>
      <c r="B16" s="1668" t="s">
        <v>1925</v>
      </c>
      <c r="C16" s="1669" t="s">
        <v>1923</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hidden="1" x14ac:dyDescent="0.25">
      <c r="A17" s="1674"/>
      <c r="B17" s="1865"/>
      <c r="C17" s="1675"/>
      <c r="D17" s="1864"/>
      <c r="E17" s="1559">
        <f t="shared" ref="E17:E141" si="1">IF(D17&lt;=25000,D17,IF(D17&gt;25000,25000,0))</f>
        <v>0</v>
      </c>
      <c r="F17" s="1812">
        <f t="shared" si="0"/>
        <v>0</v>
      </c>
      <c r="G17" s="1813">
        <f>IF(F17=0,0,D17-F17)</f>
        <v>0</v>
      </c>
      <c r="H17" s="1666"/>
    </row>
    <row r="18" spans="1:8" x14ac:dyDescent="0.25">
      <c r="A18" s="2057" t="s">
        <v>2226</v>
      </c>
      <c r="B18" s="2056" t="s">
        <v>2225</v>
      </c>
      <c r="C18" s="2055" t="s">
        <v>2224</v>
      </c>
      <c r="D18" s="1864">
        <v>2674650</v>
      </c>
      <c r="E18" s="1559">
        <f t="shared" ref="E18:E140" si="2">IF(D18&lt;=25000,D18,IF(D18&gt;25000,25000,0))</f>
        <v>25000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3">
        <f t="shared" ref="G18:G140" si="4">IF(F18=0,0,D18-F18)</f>
        <v>2649650</v>
      </c>
    </row>
    <row r="19" spans="1:8" hidden="1" x14ac:dyDescent="0.25">
      <c r="A19" s="2054"/>
      <c r="B19" s="1955"/>
      <c r="C19" s="1956"/>
      <c r="D19" s="1864"/>
      <c r="E19" s="1559">
        <f t="shared" si="2"/>
        <v>0</v>
      </c>
      <c r="F19" s="1812">
        <f t="shared" si="3"/>
        <v>0</v>
      </c>
      <c r="G19" s="1813">
        <f t="shared" si="4"/>
        <v>0</v>
      </c>
    </row>
    <row r="20" spans="1:8" hidden="1" x14ac:dyDescent="0.25">
      <c r="A20" s="2054"/>
      <c r="B20" s="1955"/>
      <c r="C20" s="1956"/>
      <c r="D20" s="1864"/>
      <c r="E20" s="1559">
        <f t="shared" si="2"/>
        <v>0</v>
      </c>
      <c r="F20" s="1812">
        <f t="shared" si="3"/>
        <v>0</v>
      </c>
      <c r="G20" s="1813">
        <f t="shared" si="4"/>
        <v>0</v>
      </c>
    </row>
    <row r="21" spans="1:8" hidden="1" x14ac:dyDescent="0.25">
      <c r="A21" s="1672"/>
      <c r="B21" s="1865"/>
      <c r="C21" s="1675"/>
      <c r="D21" s="1864"/>
      <c r="E21" s="1559">
        <f t="shared" si="2"/>
        <v>0</v>
      </c>
      <c r="F21" s="1812">
        <f t="shared" si="3"/>
        <v>0</v>
      </c>
      <c r="G21" s="1813">
        <f t="shared" si="4"/>
        <v>0</v>
      </c>
    </row>
    <row r="22" spans="1:8" hidden="1" x14ac:dyDescent="0.25">
      <c r="A22" s="1672"/>
      <c r="B22" s="1865"/>
      <c r="C22" s="1675"/>
      <c r="D22" s="1864"/>
      <c r="E22" s="1559">
        <f t="shared" si="2"/>
        <v>0</v>
      </c>
      <c r="F22" s="1812">
        <f t="shared" si="3"/>
        <v>0</v>
      </c>
      <c r="G22" s="1813">
        <f t="shared" si="4"/>
        <v>0</v>
      </c>
    </row>
    <row r="23" spans="1:8" hidden="1" x14ac:dyDescent="0.25">
      <c r="A23" s="1672"/>
      <c r="B23" s="1865"/>
      <c r="C23" s="1675"/>
      <c r="D23" s="1864"/>
      <c r="E23" s="1559">
        <f t="shared" si="2"/>
        <v>0</v>
      </c>
      <c r="F23" s="1812">
        <f t="shared" si="3"/>
        <v>0</v>
      </c>
      <c r="G23" s="1813">
        <f t="shared" si="4"/>
        <v>0</v>
      </c>
    </row>
    <row r="24" spans="1:8" hidden="1" x14ac:dyDescent="0.25">
      <c r="A24" s="1672"/>
      <c r="B24" s="1866"/>
      <c r="C24" s="1675"/>
      <c r="D24" s="1864"/>
      <c r="E24" s="1559">
        <f t="shared" si="2"/>
        <v>0</v>
      </c>
      <c r="F24" s="1812">
        <f t="shared" si="3"/>
        <v>0</v>
      </c>
      <c r="G24" s="1813">
        <f t="shared" si="4"/>
        <v>0</v>
      </c>
    </row>
    <row r="25" spans="1:8" hidden="1" x14ac:dyDescent="0.25">
      <c r="A25" s="1672"/>
      <c r="B25" s="1865"/>
      <c r="C25" s="1675"/>
      <c r="D25" s="1864"/>
      <c r="E25" s="1559">
        <f t="shared" si="2"/>
        <v>0</v>
      </c>
      <c r="F25" s="1812">
        <f t="shared" si="3"/>
        <v>0</v>
      </c>
      <c r="G25" s="1813">
        <f t="shared" si="4"/>
        <v>0</v>
      </c>
    </row>
    <row r="26" spans="1:8" hidden="1" x14ac:dyDescent="0.25">
      <c r="A26" s="1672"/>
      <c r="B26" s="1866"/>
      <c r="C26" s="1673"/>
      <c r="D26" s="1864"/>
      <c r="E26" s="1559">
        <f t="shared" si="2"/>
        <v>0</v>
      </c>
      <c r="F26" s="1812">
        <f t="shared" si="3"/>
        <v>0</v>
      </c>
      <c r="G26" s="1813">
        <f t="shared" si="4"/>
        <v>0</v>
      </c>
    </row>
    <row r="27" spans="1:8" hidden="1" x14ac:dyDescent="0.25">
      <c r="A27" s="1672"/>
      <c r="B27" s="1866"/>
      <c r="C27" s="1673"/>
      <c r="D27" s="1864"/>
      <c r="E27" s="1559">
        <f t="shared" si="2"/>
        <v>0</v>
      </c>
      <c r="F27" s="1812">
        <f t="shared" si="3"/>
        <v>0</v>
      </c>
      <c r="G27" s="1813">
        <f t="shared" si="4"/>
        <v>0</v>
      </c>
    </row>
    <row r="28" spans="1:8" hidden="1" x14ac:dyDescent="0.25">
      <c r="A28" s="1672"/>
      <c r="B28" s="1866"/>
      <c r="C28" s="1673"/>
      <c r="D28" s="1864"/>
      <c r="E28" s="1559">
        <f t="shared" si="2"/>
        <v>0</v>
      </c>
      <c r="F28" s="1812">
        <f t="shared" si="3"/>
        <v>0</v>
      </c>
      <c r="G28" s="1813">
        <f t="shared" si="4"/>
        <v>0</v>
      </c>
    </row>
    <row r="29" spans="1:8" hidden="1" x14ac:dyDescent="0.25">
      <c r="A29" s="1672"/>
      <c r="B29" s="1866"/>
      <c r="C29" s="1673"/>
      <c r="D29" s="1864"/>
      <c r="E29" s="1559">
        <f t="shared" si="2"/>
        <v>0</v>
      </c>
      <c r="F29" s="1812">
        <f t="shared" si="3"/>
        <v>0</v>
      </c>
      <c r="G29" s="1813">
        <f t="shared" si="4"/>
        <v>0</v>
      </c>
    </row>
    <row r="30" spans="1:8" hidden="1" x14ac:dyDescent="0.25">
      <c r="A30" s="1672"/>
      <c r="B30" s="1866"/>
      <c r="C30" s="1673"/>
      <c r="D30" s="1864"/>
      <c r="E30" s="1559">
        <f t="shared" si="2"/>
        <v>0</v>
      </c>
      <c r="F30" s="1812">
        <f t="shared" si="3"/>
        <v>0</v>
      </c>
      <c r="G30" s="1813">
        <f t="shared" si="4"/>
        <v>0</v>
      </c>
    </row>
    <row r="31" spans="1:8" hidden="1" x14ac:dyDescent="0.25">
      <c r="A31" s="1672"/>
      <c r="B31" s="1866"/>
      <c r="C31" s="1673"/>
      <c r="D31" s="1864"/>
      <c r="E31" s="1559">
        <f t="shared" si="2"/>
        <v>0</v>
      </c>
      <c r="F31" s="1812">
        <f t="shared" si="3"/>
        <v>0</v>
      </c>
      <c r="G31" s="1813">
        <f t="shared" si="4"/>
        <v>0</v>
      </c>
    </row>
    <row r="32" spans="1:8" hidden="1" x14ac:dyDescent="0.25">
      <c r="A32" s="1672"/>
      <c r="B32" s="1866"/>
      <c r="C32" s="1673"/>
      <c r="D32" s="1864"/>
      <c r="E32" s="1559">
        <f t="shared" si="2"/>
        <v>0</v>
      </c>
      <c r="F32" s="1812">
        <f t="shared" si="3"/>
        <v>0</v>
      </c>
      <c r="G32" s="1813">
        <f t="shared" si="4"/>
        <v>0</v>
      </c>
    </row>
    <row r="33" spans="1:7" hidden="1" x14ac:dyDescent="0.25">
      <c r="A33" s="1672"/>
      <c r="B33" s="1866"/>
      <c r="C33" s="1673"/>
      <c r="D33" s="1864"/>
      <c r="E33" s="1559">
        <f t="shared" si="2"/>
        <v>0</v>
      </c>
      <c r="F33" s="1812">
        <f t="shared" si="3"/>
        <v>0</v>
      </c>
      <c r="G33" s="1813">
        <f t="shared" si="4"/>
        <v>0</v>
      </c>
    </row>
    <row r="34" spans="1:7" hidden="1" x14ac:dyDescent="0.25">
      <c r="A34" s="1672"/>
      <c r="B34" s="1866"/>
      <c r="C34" s="1673"/>
      <c r="D34" s="1864"/>
      <c r="E34" s="1559">
        <f t="shared" si="2"/>
        <v>0</v>
      </c>
      <c r="F34" s="1812">
        <f t="shared" si="3"/>
        <v>0</v>
      </c>
      <c r="G34" s="1813">
        <f t="shared" si="4"/>
        <v>0</v>
      </c>
    </row>
    <row r="35" spans="1:7" hidden="1" x14ac:dyDescent="0.25">
      <c r="A35" s="1672"/>
      <c r="B35" s="1866"/>
      <c r="C35" s="1673"/>
      <c r="D35" s="1864"/>
      <c r="E35" s="1559">
        <f t="shared" si="2"/>
        <v>0</v>
      </c>
      <c r="F35" s="1812">
        <f t="shared" si="3"/>
        <v>0</v>
      </c>
      <c r="G35" s="1813">
        <f t="shared" si="4"/>
        <v>0</v>
      </c>
    </row>
    <row r="36" spans="1:7" hidden="1" x14ac:dyDescent="0.25">
      <c r="A36" s="1672"/>
      <c r="B36" s="1866"/>
      <c r="C36" s="1673"/>
      <c r="D36" s="1864"/>
      <c r="E36" s="1559">
        <f t="shared" si="2"/>
        <v>0</v>
      </c>
      <c r="F36" s="1812">
        <f t="shared" si="3"/>
        <v>0</v>
      </c>
      <c r="G36" s="1813">
        <f t="shared" si="4"/>
        <v>0</v>
      </c>
    </row>
    <row r="37" spans="1:7" hidden="1" x14ac:dyDescent="0.25">
      <c r="A37" s="1672"/>
      <c r="B37" s="1866"/>
      <c r="C37" s="1673"/>
      <c r="D37" s="1864"/>
      <c r="E37" s="1559">
        <f t="shared" si="2"/>
        <v>0</v>
      </c>
      <c r="F37" s="1812">
        <f t="shared" si="3"/>
        <v>0</v>
      </c>
      <c r="G37" s="1813">
        <f t="shared" si="4"/>
        <v>0</v>
      </c>
    </row>
    <row r="38" spans="1:7" hidden="1" x14ac:dyDescent="0.25">
      <c r="A38" s="1672"/>
      <c r="B38" s="1686"/>
      <c r="C38" s="1673"/>
      <c r="D38" s="1864"/>
      <c r="E38" s="1559">
        <f t="shared" si="2"/>
        <v>0</v>
      </c>
      <c r="F38" s="1812">
        <f t="shared" si="3"/>
        <v>0</v>
      </c>
      <c r="G38" s="1813">
        <f t="shared" si="4"/>
        <v>0</v>
      </c>
    </row>
    <row r="39" spans="1:7" hidden="1" x14ac:dyDescent="0.25">
      <c r="A39" s="1672"/>
      <c r="B39" s="1686"/>
      <c r="C39" s="1673"/>
      <c r="D39" s="1864"/>
      <c r="E39" s="1559">
        <f t="shared" si="2"/>
        <v>0</v>
      </c>
      <c r="F39" s="1812">
        <f t="shared" si="3"/>
        <v>0</v>
      </c>
      <c r="G39" s="1813">
        <f t="shared" si="4"/>
        <v>0</v>
      </c>
    </row>
    <row r="40" spans="1:7" hidden="1" x14ac:dyDescent="0.25">
      <c r="A40" s="1672"/>
      <c r="B40" s="1686"/>
      <c r="C40" s="1673"/>
      <c r="D40" s="1864"/>
      <c r="E40" s="1559">
        <f t="shared" si="2"/>
        <v>0</v>
      </c>
      <c r="F40" s="1812">
        <f t="shared" si="3"/>
        <v>0</v>
      </c>
      <c r="G40" s="1813">
        <f t="shared" si="4"/>
        <v>0</v>
      </c>
    </row>
    <row r="41" spans="1:7" hidden="1" x14ac:dyDescent="0.25">
      <c r="A41" s="1672"/>
      <c r="B41" s="1686"/>
      <c r="C41" s="1673"/>
      <c r="D41" s="1864"/>
      <c r="E41" s="1559">
        <f t="shared" si="2"/>
        <v>0</v>
      </c>
      <c r="F41" s="1812">
        <f t="shared" si="3"/>
        <v>0</v>
      </c>
      <c r="G41" s="1813">
        <f t="shared" si="4"/>
        <v>0</v>
      </c>
    </row>
    <row r="42" spans="1:7" hidden="1" x14ac:dyDescent="0.25">
      <c r="A42" s="1672"/>
      <c r="B42" s="1686"/>
      <c r="C42" s="1673"/>
      <c r="D42" s="1864"/>
      <c r="E42" s="1559">
        <f t="shared" si="2"/>
        <v>0</v>
      </c>
      <c r="F42" s="1812">
        <f t="shared" si="3"/>
        <v>0</v>
      </c>
      <c r="G42" s="1813">
        <f t="shared" si="4"/>
        <v>0</v>
      </c>
    </row>
    <row r="43" spans="1:7" hidden="1" x14ac:dyDescent="0.25">
      <c r="A43" s="1672"/>
      <c r="B43" s="1686"/>
      <c r="C43" s="1673"/>
      <c r="D43" s="1864"/>
      <c r="E43" s="1559">
        <f t="shared" si="2"/>
        <v>0</v>
      </c>
      <c r="F43" s="1812">
        <f t="shared" si="3"/>
        <v>0</v>
      </c>
      <c r="G43" s="1813">
        <f t="shared" si="4"/>
        <v>0</v>
      </c>
    </row>
    <row r="44" spans="1:7" hidden="1" x14ac:dyDescent="0.25">
      <c r="A44" s="1672"/>
      <c r="B44" s="1686"/>
      <c r="C44" s="1673"/>
      <c r="D44" s="1864"/>
      <c r="E44" s="1559">
        <f t="shared" si="2"/>
        <v>0</v>
      </c>
      <c r="F44" s="1812">
        <f t="shared" si="3"/>
        <v>0</v>
      </c>
      <c r="G44" s="1813">
        <f t="shared" si="4"/>
        <v>0</v>
      </c>
    </row>
    <row r="45" spans="1:7" hidden="1" x14ac:dyDescent="0.25">
      <c r="A45" s="1672"/>
      <c r="B45" s="1686"/>
      <c r="C45" s="1673"/>
      <c r="D45" s="1864"/>
      <c r="E45" s="1559">
        <f t="shared" si="2"/>
        <v>0</v>
      </c>
      <c r="F45" s="1812">
        <f t="shared" si="3"/>
        <v>0</v>
      </c>
      <c r="G45" s="1813">
        <f t="shared" si="4"/>
        <v>0</v>
      </c>
    </row>
    <row r="46" spans="1:7" hidden="1" x14ac:dyDescent="0.25">
      <c r="A46" s="1672"/>
      <c r="B46" s="1686"/>
      <c r="C46" s="1673"/>
      <c r="D46" s="1864"/>
      <c r="E46" s="1559">
        <f t="shared" si="2"/>
        <v>0</v>
      </c>
      <c r="F46" s="1812">
        <f t="shared" si="3"/>
        <v>0</v>
      </c>
      <c r="G46" s="1813">
        <f t="shared" si="4"/>
        <v>0</v>
      </c>
    </row>
    <row r="47" spans="1:7" hidden="1" x14ac:dyDescent="0.25">
      <c r="A47" s="1672"/>
      <c r="B47" s="1686"/>
      <c r="C47" s="1673"/>
      <c r="D47" s="1864"/>
      <c r="E47" s="1559">
        <f t="shared" si="2"/>
        <v>0</v>
      </c>
      <c r="F47" s="1812">
        <f t="shared" si="3"/>
        <v>0</v>
      </c>
      <c r="G47" s="1813">
        <f t="shared" si="4"/>
        <v>0</v>
      </c>
    </row>
    <row r="48" spans="1:7" hidden="1" x14ac:dyDescent="0.25">
      <c r="A48" s="1672"/>
      <c r="B48" s="1686"/>
      <c r="C48" s="1673"/>
      <c r="D48" s="1864"/>
      <c r="E48" s="1559">
        <f t="shared" si="2"/>
        <v>0</v>
      </c>
      <c r="F48" s="1812">
        <f t="shared" si="3"/>
        <v>0</v>
      </c>
      <c r="G48" s="1813">
        <f t="shared" si="4"/>
        <v>0</v>
      </c>
    </row>
    <row r="49" spans="1:7" hidden="1" x14ac:dyDescent="0.25">
      <c r="A49" s="1672"/>
      <c r="B49" s="1686"/>
      <c r="C49" s="1673"/>
      <c r="D49" s="1864"/>
      <c r="E49" s="1559">
        <f t="shared" si="2"/>
        <v>0</v>
      </c>
      <c r="F49" s="1812">
        <f t="shared" si="3"/>
        <v>0</v>
      </c>
      <c r="G49" s="1813">
        <f t="shared" si="4"/>
        <v>0</v>
      </c>
    </row>
    <row r="50" spans="1:7" hidden="1" x14ac:dyDescent="0.25">
      <c r="A50" s="1672"/>
      <c r="B50" s="1686"/>
      <c r="C50" s="1673"/>
      <c r="D50" s="1864"/>
      <c r="E50" s="1559">
        <f t="shared" si="2"/>
        <v>0</v>
      </c>
      <c r="F50" s="1812">
        <f t="shared" si="3"/>
        <v>0</v>
      </c>
      <c r="G50" s="1813">
        <f t="shared" si="4"/>
        <v>0</v>
      </c>
    </row>
    <row r="51" spans="1:7" hidden="1" x14ac:dyDescent="0.25">
      <c r="A51" s="1672"/>
      <c r="B51" s="1686"/>
      <c r="C51" s="1673"/>
      <c r="D51" s="1864"/>
      <c r="E51" s="1559">
        <f t="shared" si="2"/>
        <v>0</v>
      </c>
      <c r="F51" s="1812">
        <f t="shared" si="3"/>
        <v>0</v>
      </c>
      <c r="G51" s="1813">
        <f t="shared" si="4"/>
        <v>0</v>
      </c>
    </row>
    <row r="52" spans="1:7" hidden="1" x14ac:dyDescent="0.25">
      <c r="A52" s="1672"/>
      <c r="B52" s="1686"/>
      <c r="C52" s="1673"/>
      <c r="D52" s="1864"/>
      <c r="E52" s="1559">
        <f t="shared" si="2"/>
        <v>0</v>
      </c>
      <c r="F52" s="1812">
        <f t="shared" si="3"/>
        <v>0</v>
      </c>
      <c r="G52" s="1813">
        <f t="shared" si="4"/>
        <v>0</v>
      </c>
    </row>
    <row r="53" spans="1:7" hidden="1" x14ac:dyDescent="0.25">
      <c r="A53" s="1672"/>
      <c r="B53" s="1686"/>
      <c r="C53" s="1673"/>
      <c r="D53" s="1864"/>
      <c r="E53" s="1559">
        <f t="shared" si="2"/>
        <v>0</v>
      </c>
      <c r="F53" s="1812">
        <f t="shared" si="3"/>
        <v>0</v>
      </c>
      <c r="G53" s="1813">
        <f t="shared" si="4"/>
        <v>0</v>
      </c>
    </row>
    <row r="54" spans="1:7" hidden="1" x14ac:dyDescent="0.25">
      <c r="A54" s="1672"/>
      <c r="B54" s="1686"/>
      <c r="C54" s="1673"/>
      <c r="D54" s="1864"/>
      <c r="E54" s="1559">
        <f t="shared" si="2"/>
        <v>0</v>
      </c>
      <c r="F54" s="1812">
        <f t="shared" si="3"/>
        <v>0</v>
      </c>
      <c r="G54" s="1813">
        <f t="shared" si="4"/>
        <v>0</v>
      </c>
    </row>
    <row r="55" spans="1:7" hidden="1" x14ac:dyDescent="0.25">
      <c r="A55" s="1672"/>
      <c r="B55" s="1686"/>
      <c r="C55" s="1673"/>
      <c r="D55" s="1864"/>
      <c r="E55" s="1559">
        <f t="shared" si="2"/>
        <v>0</v>
      </c>
      <c r="F55" s="1812">
        <f t="shared" si="3"/>
        <v>0</v>
      </c>
      <c r="G55" s="1813">
        <f t="shared" si="4"/>
        <v>0</v>
      </c>
    </row>
    <row r="56" spans="1:7" hidden="1" x14ac:dyDescent="0.25">
      <c r="A56" s="1672"/>
      <c r="B56" s="1686"/>
      <c r="C56" s="1673"/>
      <c r="D56" s="1864"/>
      <c r="E56" s="1559">
        <f t="shared" si="2"/>
        <v>0</v>
      </c>
      <c r="F56" s="1812">
        <f t="shared" si="3"/>
        <v>0</v>
      </c>
      <c r="G56" s="1813">
        <f t="shared" si="4"/>
        <v>0</v>
      </c>
    </row>
    <row r="57" spans="1:7" hidden="1" x14ac:dyDescent="0.25">
      <c r="A57" s="1672"/>
      <c r="B57" s="1686"/>
      <c r="C57" s="1673"/>
      <c r="D57" s="1864"/>
      <c r="E57" s="1559">
        <f t="shared" si="2"/>
        <v>0</v>
      </c>
      <c r="F57" s="1812">
        <f t="shared" si="3"/>
        <v>0</v>
      </c>
      <c r="G57" s="1813">
        <f t="shared" si="4"/>
        <v>0</v>
      </c>
    </row>
    <row r="58" spans="1:7" hidden="1" x14ac:dyDescent="0.25">
      <c r="A58" s="1672"/>
      <c r="B58" s="1686"/>
      <c r="C58" s="1673"/>
      <c r="D58" s="1864"/>
      <c r="E58" s="1559">
        <f t="shared" si="2"/>
        <v>0</v>
      </c>
      <c r="F58" s="1812">
        <f t="shared" si="3"/>
        <v>0</v>
      </c>
      <c r="G58" s="1813">
        <f t="shared" si="4"/>
        <v>0</v>
      </c>
    </row>
    <row r="59" spans="1:7" hidden="1" x14ac:dyDescent="0.25">
      <c r="A59" s="1672"/>
      <c r="B59" s="1686"/>
      <c r="C59" s="1673"/>
      <c r="D59" s="1864"/>
      <c r="E59" s="1559">
        <f t="shared" si="2"/>
        <v>0</v>
      </c>
      <c r="F59" s="1812">
        <f t="shared" si="3"/>
        <v>0</v>
      </c>
      <c r="G59" s="1813">
        <f t="shared" si="4"/>
        <v>0</v>
      </c>
    </row>
    <row r="60" spans="1:7" hidden="1" x14ac:dyDescent="0.25">
      <c r="A60" s="1672"/>
      <c r="B60" s="1686"/>
      <c r="C60" s="1673"/>
      <c r="D60" s="1864"/>
      <c r="E60" s="1559">
        <f t="shared" si="2"/>
        <v>0</v>
      </c>
      <c r="F60" s="1812">
        <f t="shared" si="3"/>
        <v>0</v>
      </c>
      <c r="G60" s="1813">
        <f t="shared" si="4"/>
        <v>0</v>
      </c>
    </row>
    <row r="61" spans="1:7" hidden="1" x14ac:dyDescent="0.25">
      <c r="A61" s="1672"/>
      <c r="B61" s="1686"/>
      <c r="C61" s="1673"/>
      <c r="D61" s="1864"/>
      <c r="E61" s="1559">
        <f t="shared" si="2"/>
        <v>0</v>
      </c>
      <c r="F61" s="1812">
        <f t="shared" si="3"/>
        <v>0</v>
      </c>
      <c r="G61" s="1813">
        <f t="shared" si="4"/>
        <v>0</v>
      </c>
    </row>
    <row r="62" spans="1:7" hidden="1" x14ac:dyDescent="0.25">
      <c r="A62" s="1672"/>
      <c r="B62" s="1686"/>
      <c r="C62" s="1673"/>
      <c r="D62" s="1864"/>
      <c r="E62" s="1559">
        <f t="shared" si="2"/>
        <v>0</v>
      </c>
      <c r="F62" s="1812">
        <f t="shared" si="3"/>
        <v>0</v>
      </c>
      <c r="G62" s="1813">
        <f t="shared" si="4"/>
        <v>0</v>
      </c>
    </row>
    <row r="63" spans="1:7" hidden="1" x14ac:dyDescent="0.25">
      <c r="A63" s="1672"/>
      <c r="B63" s="1686"/>
      <c r="C63" s="1673"/>
      <c r="D63" s="1864"/>
      <c r="E63" s="1559">
        <f t="shared" si="2"/>
        <v>0</v>
      </c>
      <c r="F63" s="1812">
        <f t="shared" si="3"/>
        <v>0</v>
      </c>
      <c r="G63" s="1813">
        <f t="shared" si="4"/>
        <v>0</v>
      </c>
    </row>
    <row r="64" spans="1:7" hidden="1" x14ac:dyDescent="0.25">
      <c r="A64" s="1674"/>
      <c r="B64" s="1686"/>
      <c r="C64" s="1675"/>
      <c r="D64" s="1864"/>
      <c r="E64" s="1559">
        <f t="shared" si="2"/>
        <v>0</v>
      </c>
      <c r="F64" s="1812">
        <f t="shared" si="3"/>
        <v>0</v>
      </c>
      <c r="G64" s="1813">
        <f t="shared" si="4"/>
        <v>0</v>
      </c>
    </row>
    <row r="65" spans="1:7" hidden="1" x14ac:dyDescent="0.25">
      <c r="A65" s="1672"/>
      <c r="B65" s="1686"/>
      <c r="C65" s="1673"/>
      <c r="D65" s="1864"/>
      <c r="E65" s="1559">
        <f t="shared" si="2"/>
        <v>0</v>
      </c>
      <c r="F65" s="1812">
        <f t="shared" si="3"/>
        <v>0</v>
      </c>
      <c r="G65" s="1813">
        <f t="shared" si="4"/>
        <v>0</v>
      </c>
    </row>
    <row r="66" spans="1:7" hidden="1" x14ac:dyDescent="0.25">
      <c r="A66" s="1672"/>
      <c r="B66" s="1686"/>
      <c r="C66" s="1673"/>
      <c r="D66" s="1864"/>
      <c r="E66" s="1559">
        <f t="shared" si="2"/>
        <v>0</v>
      </c>
      <c r="F66" s="1812">
        <f t="shared" si="3"/>
        <v>0</v>
      </c>
      <c r="G66" s="1813">
        <f t="shared" si="4"/>
        <v>0</v>
      </c>
    </row>
    <row r="67" spans="1:7" hidden="1" x14ac:dyDescent="0.25">
      <c r="A67" s="1672"/>
      <c r="B67" s="1686"/>
      <c r="C67" s="1673"/>
      <c r="D67" s="1864"/>
      <c r="E67" s="1559">
        <f t="shared" si="2"/>
        <v>0</v>
      </c>
      <c r="F67" s="1812">
        <f t="shared" si="3"/>
        <v>0</v>
      </c>
      <c r="G67" s="1813">
        <f t="shared" si="4"/>
        <v>0</v>
      </c>
    </row>
    <row r="68" spans="1:7" hidden="1" x14ac:dyDescent="0.25">
      <c r="A68" s="1672"/>
      <c r="B68" s="1686"/>
      <c r="C68" s="1673"/>
      <c r="D68" s="1864"/>
      <c r="E68" s="1559">
        <f t="shared" si="2"/>
        <v>0</v>
      </c>
      <c r="F68" s="1812">
        <f t="shared" si="3"/>
        <v>0</v>
      </c>
      <c r="G68" s="1813">
        <f t="shared" si="4"/>
        <v>0</v>
      </c>
    </row>
    <row r="69" spans="1:7" hidden="1" x14ac:dyDescent="0.25">
      <c r="A69" s="1672"/>
      <c r="B69" s="1686"/>
      <c r="C69" s="1673"/>
      <c r="D69" s="1864"/>
      <c r="E69" s="1559">
        <f t="shared" si="2"/>
        <v>0</v>
      </c>
      <c r="F69" s="1812">
        <f t="shared" si="3"/>
        <v>0</v>
      </c>
      <c r="G69" s="1813">
        <f t="shared" si="4"/>
        <v>0</v>
      </c>
    </row>
    <row r="70" spans="1:7" hidden="1" x14ac:dyDescent="0.25">
      <c r="A70" s="1672"/>
      <c r="B70" s="1686"/>
      <c r="C70" s="1673"/>
      <c r="D70" s="1864"/>
      <c r="E70" s="1559">
        <f t="shared" si="2"/>
        <v>0</v>
      </c>
      <c r="F70" s="1812">
        <f t="shared" si="3"/>
        <v>0</v>
      </c>
      <c r="G70" s="1813">
        <f t="shared" si="4"/>
        <v>0</v>
      </c>
    </row>
    <row r="71" spans="1:7" hidden="1" x14ac:dyDescent="0.25">
      <c r="A71" s="1672"/>
      <c r="B71" s="1686"/>
      <c r="C71" s="1673"/>
      <c r="D71" s="1864"/>
      <c r="E71" s="1559">
        <f t="shared" si="2"/>
        <v>0</v>
      </c>
      <c r="F71" s="1812">
        <f t="shared" si="3"/>
        <v>0</v>
      </c>
      <c r="G71" s="1813">
        <f t="shared" si="4"/>
        <v>0</v>
      </c>
    </row>
    <row r="72" spans="1:7" hidden="1" x14ac:dyDescent="0.25">
      <c r="A72" s="1672"/>
      <c r="B72" s="1686"/>
      <c r="C72" s="1673"/>
      <c r="D72" s="1864"/>
      <c r="E72" s="1559">
        <f t="shared" si="2"/>
        <v>0</v>
      </c>
      <c r="F72" s="1812">
        <f t="shared" si="3"/>
        <v>0</v>
      </c>
      <c r="G72" s="1813">
        <f t="shared" si="4"/>
        <v>0</v>
      </c>
    </row>
    <row r="73" spans="1:7" hidden="1"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hidden="1" x14ac:dyDescent="0.25">
      <c r="A74" s="1672"/>
      <c r="B74" s="1686"/>
      <c r="C74" s="1673"/>
      <c r="D74" s="1864"/>
      <c r="E74" s="1559">
        <f t="shared" si="5"/>
        <v>0</v>
      </c>
      <c r="F74" s="1812">
        <f t="shared" si="6"/>
        <v>0</v>
      </c>
      <c r="G74" s="1813">
        <f t="shared" si="7"/>
        <v>0</v>
      </c>
    </row>
    <row r="75" spans="1:7" hidden="1" x14ac:dyDescent="0.25">
      <c r="A75" s="1672"/>
      <c r="B75" s="1686"/>
      <c r="C75" s="1673"/>
      <c r="D75" s="1864"/>
      <c r="E75" s="1559">
        <f t="shared" si="5"/>
        <v>0</v>
      </c>
      <c r="F75" s="1812">
        <f t="shared" si="6"/>
        <v>0</v>
      </c>
      <c r="G75" s="1813">
        <f t="shared" si="7"/>
        <v>0</v>
      </c>
    </row>
    <row r="76" spans="1:7" hidden="1" x14ac:dyDescent="0.25">
      <c r="A76" s="1672"/>
      <c r="B76" s="1686"/>
      <c r="C76" s="1673"/>
      <c r="D76" s="1864"/>
      <c r="E76" s="1559">
        <f t="shared" si="5"/>
        <v>0</v>
      </c>
      <c r="F76" s="1812">
        <f t="shared" si="6"/>
        <v>0</v>
      </c>
      <c r="G76" s="1813">
        <f t="shared" si="7"/>
        <v>0</v>
      </c>
    </row>
    <row r="77" spans="1:7" hidden="1" x14ac:dyDescent="0.25">
      <c r="A77" s="1672"/>
      <c r="B77" s="1686"/>
      <c r="C77" s="1673"/>
      <c r="D77" s="1864"/>
      <c r="E77" s="1559">
        <f t="shared" si="5"/>
        <v>0</v>
      </c>
      <c r="F77" s="1812">
        <f t="shared" si="6"/>
        <v>0</v>
      </c>
      <c r="G77" s="1813">
        <f t="shared" si="7"/>
        <v>0</v>
      </c>
    </row>
    <row r="78" spans="1:7" hidden="1" x14ac:dyDescent="0.25">
      <c r="A78" s="1672"/>
      <c r="B78" s="1686"/>
      <c r="C78" s="1673"/>
      <c r="D78" s="1864"/>
      <c r="E78" s="1559">
        <f t="shared" si="5"/>
        <v>0</v>
      </c>
      <c r="F78" s="1812">
        <f t="shared" si="6"/>
        <v>0</v>
      </c>
      <c r="G78" s="1813">
        <f t="shared" si="7"/>
        <v>0</v>
      </c>
    </row>
    <row r="79" spans="1:7" hidden="1" x14ac:dyDescent="0.25">
      <c r="A79" s="1672"/>
      <c r="B79" s="1686"/>
      <c r="C79" s="1673"/>
      <c r="D79" s="1864"/>
      <c r="E79" s="1559">
        <f t="shared" si="5"/>
        <v>0</v>
      </c>
      <c r="F79" s="1812">
        <f t="shared" si="6"/>
        <v>0</v>
      </c>
      <c r="G79" s="1813">
        <f t="shared" si="7"/>
        <v>0</v>
      </c>
    </row>
    <row r="80" spans="1:7" hidden="1" x14ac:dyDescent="0.25">
      <c r="A80" s="1672"/>
      <c r="B80" s="1686"/>
      <c r="C80" s="1673"/>
      <c r="D80" s="1864"/>
      <c r="E80" s="1559">
        <f t="shared" si="5"/>
        <v>0</v>
      </c>
      <c r="F80" s="1812">
        <f t="shared" si="6"/>
        <v>0</v>
      </c>
      <c r="G80" s="1813">
        <f t="shared" si="7"/>
        <v>0</v>
      </c>
    </row>
    <row r="81" spans="1:7" hidden="1" x14ac:dyDescent="0.25">
      <c r="A81" s="1672"/>
      <c r="B81" s="1686"/>
      <c r="C81" s="1673"/>
      <c r="D81" s="1864"/>
      <c r="E81" s="1559">
        <f t="shared" si="5"/>
        <v>0</v>
      </c>
      <c r="F81" s="1812">
        <f t="shared" si="6"/>
        <v>0</v>
      </c>
      <c r="G81" s="1813">
        <f t="shared" si="7"/>
        <v>0</v>
      </c>
    </row>
    <row r="82" spans="1:7" hidden="1" x14ac:dyDescent="0.25">
      <c r="A82" s="1672"/>
      <c r="B82" s="1686"/>
      <c r="C82" s="1673"/>
      <c r="D82" s="1864"/>
      <c r="E82" s="1559">
        <f t="shared" si="5"/>
        <v>0</v>
      </c>
      <c r="F82" s="1812">
        <f t="shared" si="6"/>
        <v>0</v>
      </c>
      <c r="G82" s="1813">
        <f t="shared" si="7"/>
        <v>0</v>
      </c>
    </row>
    <row r="83" spans="1:7" hidden="1" x14ac:dyDescent="0.25">
      <c r="A83" s="1672"/>
      <c r="B83" s="1686"/>
      <c r="C83" s="1673"/>
      <c r="D83" s="1864"/>
      <c r="E83" s="1559">
        <f t="shared" si="5"/>
        <v>0</v>
      </c>
      <c r="F83" s="1812">
        <f t="shared" si="6"/>
        <v>0</v>
      </c>
      <c r="G83" s="1813">
        <f t="shared" si="7"/>
        <v>0</v>
      </c>
    </row>
    <row r="84" spans="1:7" hidden="1" x14ac:dyDescent="0.25">
      <c r="A84" s="1672"/>
      <c r="B84" s="1686"/>
      <c r="C84" s="1673"/>
      <c r="D84" s="1864"/>
      <c r="E84" s="1559">
        <f t="shared" si="5"/>
        <v>0</v>
      </c>
      <c r="F84" s="1812">
        <f t="shared" si="6"/>
        <v>0</v>
      </c>
      <c r="G84" s="1813">
        <f t="shared" si="7"/>
        <v>0</v>
      </c>
    </row>
    <row r="85" spans="1:7" hidden="1" x14ac:dyDescent="0.25">
      <c r="A85" s="1672"/>
      <c r="B85" s="1686"/>
      <c r="C85" s="1673"/>
      <c r="D85" s="1864"/>
      <c r="E85" s="1559">
        <f t="shared" si="2"/>
        <v>0</v>
      </c>
      <c r="F85" s="1812">
        <f t="shared" si="3"/>
        <v>0</v>
      </c>
      <c r="G85" s="1813">
        <f t="shared" si="4"/>
        <v>0</v>
      </c>
    </row>
    <row r="86" spans="1:7" hidden="1" x14ac:dyDescent="0.25">
      <c r="A86" s="1672"/>
      <c r="B86" s="1686"/>
      <c r="C86" s="1673"/>
      <c r="D86" s="1864"/>
      <c r="E86" s="1559">
        <f t="shared" si="2"/>
        <v>0</v>
      </c>
      <c r="F86" s="1812">
        <f t="shared" si="3"/>
        <v>0</v>
      </c>
      <c r="G86" s="1813">
        <f t="shared" si="4"/>
        <v>0</v>
      </c>
    </row>
    <row r="87" spans="1:7" hidden="1" x14ac:dyDescent="0.25">
      <c r="A87" s="1672"/>
      <c r="B87" s="1686"/>
      <c r="C87" s="1673"/>
      <c r="D87" s="1864"/>
      <c r="E87" s="1559">
        <f t="shared" si="2"/>
        <v>0</v>
      </c>
      <c r="F87" s="1812">
        <f t="shared" si="3"/>
        <v>0</v>
      </c>
      <c r="G87" s="1813">
        <f t="shared" si="4"/>
        <v>0</v>
      </c>
    </row>
    <row r="88" spans="1:7" hidden="1" x14ac:dyDescent="0.25">
      <c r="A88" s="1672"/>
      <c r="B88" s="1686"/>
      <c r="C88" s="1673"/>
      <c r="D88" s="1864"/>
      <c r="E88" s="1559">
        <f t="shared" si="2"/>
        <v>0</v>
      </c>
      <c r="F88" s="1812">
        <f t="shared" si="3"/>
        <v>0</v>
      </c>
      <c r="G88" s="1813">
        <f t="shared" si="4"/>
        <v>0</v>
      </c>
    </row>
    <row r="89" spans="1:7" hidden="1" x14ac:dyDescent="0.25">
      <c r="A89" s="1672"/>
      <c r="B89" s="1686"/>
      <c r="C89" s="1673"/>
      <c r="D89" s="1864"/>
      <c r="E89" s="1559">
        <f t="shared" si="2"/>
        <v>0</v>
      </c>
      <c r="F89" s="1812">
        <f t="shared" si="3"/>
        <v>0</v>
      </c>
      <c r="G89" s="1813">
        <f t="shared" si="4"/>
        <v>0</v>
      </c>
    </row>
    <row r="90" spans="1:7" hidden="1" x14ac:dyDescent="0.25">
      <c r="A90" s="1672"/>
      <c r="B90" s="1686"/>
      <c r="C90" s="1673"/>
      <c r="D90" s="1864"/>
      <c r="E90" s="1559">
        <f t="shared" si="2"/>
        <v>0</v>
      </c>
      <c r="F90" s="1812">
        <f t="shared" si="3"/>
        <v>0</v>
      </c>
      <c r="G90" s="1813">
        <f t="shared" si="4"/>
        <v>0</v>
      </c>
    </row>
    <row r="91" spans="1:7" hidden="1" x14ac:dyDescent="0.25">
      <c r="A91" s="1672"/>
      <c r="B91" s="1686"/>
      <c r="C91" s="1673"/>
      <c r="D91" s="1864"/>
      <c r="E91" s="1559">
        <f t="shared" si="2"/>
        <v>0</v>
      </c>
      <c r="F91" s="1812">
        <f t="shared" si="3"/>
        <v>0</v>
      </c>
      <c r="G91" s="1813">
        <f t="shared" si="4"/>
        <v>0</v>
      </c>
    </row>
    <row r="92" spans="1:7" hidden="1" x14ac:dyDescent="0.25">
      <c r="A92" s="1672"/>
      <c r="B92" s="1686"/>
      <c r="C92" s="1673"/>
      <c r="D92" s="1864"/>
      <c r="E92" s="1559">
        <f t="shared" si="2"/>
        <v>0</v>
      </c>
      <c r="F92" s="1812">
        <f t="shared" si="3"/>
        <v>0</v>
      </c>
      <c r="G92" s="1813">
        <f t="shared" si="4"/>
        <v>0</v>
      </c>
    </row>
    <row r="93" spans="1:7" hidden="1"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hidden="1" x14ac:dyDescent="0.25">
      <c r="A94" s="1672"/>
      <c r="B94" s="1686"/>
      <c r="C94" s="1673"/>
      <c r="D94" s="1864"/>
      <c r="E94" s="1559">
        <f t="shared" si="2"/>
        <v>0</v>
      </c>
      <c r="F94" s="1812">
        <f t="shared" si="3"/>
        <v>0</v>
      </c>
      <c r="G94" s="1813">
        <f t="shared" si="4"/>
        <v>0</v>
      </c>
    </row>
    <row r="95" spans="1:7" hidden="1"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hidden="1" x14ac:dyDescent="0.25">
      <c r="A96" s="1672"/>
      <c r="B96" s="1686"/>
      <c r="C96" s="1673"/>
      <c r="D96" s="1864"/>
      <c r="E96" s="1559">
        <f t="shared" si="11"/>
        <v>0</v>
      </c>
      <c r="F96" s="1812">
        <f t="shared" si="12"/>
        <v>0</v>
      </c>
      <c r="G96" s="1813">
        <f t="shared" si="13"/>
        <v>0</v>
      </c>
    </row>
    <row r="97" spans="1:7" hidden="1" x14ac:dyDescent="0.25">
      <c r="A97" s="1672"/>
      <c r="B97" s="1686"/>
      <c r="C97" s="1673"/>
      <c r="D97" s="1864"/>
      <c r="E97" s="1559">
        <f t="shared" si="11"/>
        <v>0</v>
      </c>
      <c r="F97" s="1812">
        <f t="shared" si="12"/>
        <v>0</v>
      </c>
      <c r="G97" s="1813">
        <f t="shared" si="13"/>
        <v>0</v>
      </c>
    </row>
    <row r="98" spans="1:7" hidden="1" x14ac:dyDescent="0.25">
      <c r="A98" s="1672"/>
      <c r="B98" s="1686"/>
      <c r="C98" s="1673"/>
      <c r="D98" s="1864"/>
      <c r="E98" s="1559">
        <f t="shared" si="11"/>
        <v>0</v>
      </c>
      <c r="F98" s="1812">
        <f t="shared" si="12"/>
        <v>0</v>
      </c>
      <c r="G98" s="1813">
        <f t="shared" si="13"/>
        <v>0</v>
      </c>
    </row>
    <row r="99" spans="1:7" hidden="1"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hidden="1"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hidden="1" x14ac:dyDescent="0.25">
      <c r="A101" s="1672"/>
      <c r="B101" s="1686"/>
      <c r="C101" s="1673"/>
      <c r="D101" s="1864"/>
      <c r="E101" s="1559">
        <f t="shared" si="17"/>
        <v>0</v>
      </c>
      <c r="F101" s="1812">
        <f t="shared" si="18"/>
        <v>0</v>
      </c>
      <c r="G101" s="1813">
        <f t="shared" si="19"/>
        <v>0</v>
      </c>
    </row>
    <row r="102" spans="1:7" hidden="1" x14ac:dyDescent="0.25">
      <c r="A102" s="1672"/>
      <c r="B102" s="1686"/>
      <c r="C102" s="1673"/>
      <c r="D102" s="1864"/>
      <c r="E102" s="1559">
        <f t="shared" si="17"/>
        <v>0</v>
      </c>
      <c r="F102" s="1812">
        <f t="shared" si="18"/>
        <v>0</v>
      </c>
      <c r="G102" s="1813">
        <f t="shared" si="19"/>
        <v>0</v>
      </c>
    </row>
    <row r="103" spans="1:7" hidden="1" x14ac:dyDescent="0.25">
      <c r="A103" s="1672"/>
      <c r="B103" s="1686"/>
      <c r="C103" s="1673"/>
      <c r="D103" s="1864"/>
      <c r="E103" s="1559">
        <f t="shared" si="17"/>
        <v>0</v>
      </c>
      <c r="F103" s="1812">
        <f t="shared" si="18"/>
        <v>0</v>
      </c>
      <c r="G103" s="1813">
        <f t="shared" si="19"/>
        <v>0</v>
      </c>
    </row>
    <row r="104" spans="1:7" hidden="1" x14ac:dyDescent="0.25">
      <c r="A104" s="1672"/>
      <c r="B104" s="1686"/>
      <c r="C104" s="1673"/>
      <c r="D104" s="1864"/>
      <c r="E104" s="1559">
        <f t="shared" si="17"/>
        <v>0</v>
      </c>
      <c r="F104" s="1812">
        <f t="shared" si="18"/>
        <v>0</v>
      </c>
      <c r="G104" s="1813">
        <f t="shared" si="19"/>
        <v>0</v>
      </c>
    </row>
    <row r="105" spans="1:7" hidden="1" x14ac:dyDescent="0.25">
      <c r="A105" s="1672"/>
      <c r="B105" s="1686"/>
      <c r="C105" s="1673"/>
      <c r="D105" s="1864"/>
      <c r="E105" s="1559">
        <f t="shared" si="17"/>
        <v>0</v>
      </c>
      <c r="F105" s="1812">
        <f t="shared" si="18"/>
        <v>0</v>
      </c>
      <c r="G105" s="1813">
        <f t="shared" si="19"/>
        <v>0</v>
      </c>
    </row>
    <row r="106" spans="1:7" hidden="1" x14ac:dyDescent="0.25">
      <c r="A106" s="1672"/>
      <c r="B106" s="1686"/>
      <c r="C106" s="1673"/>
      <c r="D106" s="1864"/>
      <c r="E106" s="1559">
        <f t="shared" si="17"/>
        <v>0</v>
      </c>
      <c r="F106" s="1812">
        <f t="shared" si="18"/>
        <v>0</v>
      </c>
      <c r="G106" s="1813">
        <f t="shared" si="19"/>
        <v>0</v>
      </c>
    </row>
    <row r="107" spans="1:7" hidden="1" x14ac:dyDescent="0.25">
      <c r="A107" s="1672"/>
      <c r="B107" s="1686"/>
      <c r="C107" s="1673"/>
      <c r="D107" s="1864"/>
      <c r="E107" s="1559">
        <f t="shared" si="17"/>
        <v>0</v>
      </c>
      <c r="F107" s="1812">
        <f t="shared" si="18"/>
        <v>0</v>
      </c>
      <c r="G107" s="1813">
        <f t="shared" si="19"/>
        <v>0</v>
      </c>
    </row>
    <row r="108" spans="1:7" hidden="1" x14ac:dyDescent="0.25">
      <c r="A108" s="1672"/>
      <c r="B108" s="1686"/>
      <c r="C108" s="1673"/>
      <c r="D108" s="1864"/>
      <c r="E108" s="1559">
        <f t="shared" si="17"/>
        <v>0</v>
      </c>
      <c r="F108" s="1812">
        <f t="shared" si="18"/>
        <v>0</v>
      </c>
      <c r="G108" s="1813">
        <f t="shared" si="19"/>
        <v>0</v>
      </c>
    </row>
    <row r="109" spans="1:7" hidden="1" x14ac:dyDescent="0.25">
      <c r="A109" s="1672"/>
      <c r="B109" s="1686"/>
      <c r="C109" s="1673"/>
      <c r="D109" s="1864"/>
      <c r="E109" s="1559">
        <f t="shared" si="17"/>
        <v>0</v>
      </c>
      <c r="F109" s="1812">
        <f t="shared" si="18"/>
        <v>0</v>
      </c>
      <c r="G109" s="1813">
        <f t="shared" si="19"/>
        <v>0</v>
      </c>
    </row>
    <row r="110" spans="1:7" hidden="1" x14ac:dyDescent="0.25">
      <c r="A110" s="1672"/>
      <c r="B110" s="1686"/>
      <c r="C110" s="1673"/>
      <c r="D110" s="1864"/>
      <c r="E110" s="1559">
        <f t="shared" si="17"/>
        <v>0</v>
      </c>
      <c r="F110" s="1812">
        <f t="shared" si="18"/>
        <v>0</v>
      </c>
      <c r="G110" s="1813">
        <f t="shared" si="19"/>
        <v>0</v>
      </c>
    </row>
    <row r="111" spans="1:7" hidden="1" x14ac:dyDescent="0.25">
      <c r="A111" s="1672"/>
      <c r="B111" s="1686"/>
      <c r="C111" s="1673"/>
      <c r="D111" s="1864"/>
      <c r="E111" s="1559">
        <f t="shared" si="17"/>
        <v>0</v>
      </c>
      <c r="F111" s="1812">
        <f t="shared" si="18"/>
        <v>0</v>
      </c>
      <c r="G111" s="1813">
        <f t="shared" si="19"/>
        <v>0</v>
      </c>
    </row>
    <row r="112" spans="1:7" hidden="1" x14ac:dyDescent="0.25">
      <c r="A112" s="1672"/>
      <c r="B112" s="1686"/>
      <c r="C112" s="1673"/>
      <c r="D112" s="1864"/>
      <c r="E112" s="1559">
        <f t="shared" si="17"/>
        <v>0</v>
      </c>
      <c r="F112" s="1812">
        <f t="shared" si="18"/>
        <v>0</v>
      </c>
      <c r="G112" s="1813">
        <f t="shared" si="19"/>
        <v>0</v>
      </c>
    </row>
    <row r="113" spans="1:7" hidden="1"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hidden="1" x14ac:dyDescent="0.25">
      <c r="A114" s="1672"/>
      <c r="B114" s="1686"/>
      <c r="C114" s="1673"/>
      <c r="D114" s="1864"/>
      <c r="E114" s="1559">
        <f t="shared" si="20"/>
        <v>0</v>
      </c>
      <c r="F114" s="1812">
        <f t="shared" si="21"/>
        <v>0</v>
      </c>
      <c r="G114" s="1813">
        <f t="shared" si="22"/>
        <v>0</v>
      </c>
    </row>
    <row r="115" spans="1:7" hidden="1" x14ac:dyDescent="0.25">
      <c r="A115" s="1672"/>
      <c r="B115" s="1686"/>
      <c r="C115" s="1673"/>
      <c r="D115" s="1864"/>
      <c r="E115" s="1559">
        <f t="shared" si="20"/>
        <v>0</v>
      </c>
      <c r="F115" s="1812">
        <f t="shared" si="21"/>
        <v>0</v>
      </c>
      <c r="G115" s="1813">
        <f t="shared" si="22"/>
        <v>0</v>
      </c>
    </row>
    <row r="116" spans="1:7" hidden="1" x14ac:dyDescent="0.25">
      <c r="A116" s="1672"/>
      <c r="B116" s="1686"/>
      <c r="C116" s="1673"/>
      <c r="D116" s="1864"/>
      <c r="E116" s="1559">
        <f t="shared" si="20"/>
        <v>0</v>
      </c>
      <c r="F116" s="1812">
        <f t="shared" si="21"/>
        <v>0</v>
      </c>
      <c r="G116" s="1813">
        <f t="shared" si="22"/>
        <v>0</v>
      </c>
    </row>
    <row r="117" spans="1:7" hidden="1" x14ac:dyDescent="0.25">
      <c r="A117" s="1672"/>
      <c r="B117" s="1686"/>
      <c r="C117" s="1673"/>
      <c r="D117" s="1864"/>
      <c r="E117" s="1559">
        <f t="shared" si="20"/>
        <v>0</v>
      </c>
      <c r="F117" s="1812">
        <f t="shared" si="21"/>
        <v>0</v>
      </c>
      <c r="G117" s="1813">
        <f t="shared" si="22"/>
        <v>0</v>
      </c>
    </row>
    <row r="118" spans="1:7" hidden="1" x14ac:dyDescent="0.25">
      <c r="A118" s="1672"/>
      <c r="B118" s="1686"/>
      <c r="C118" s="1673"/>
      <c r="D118" s="1864"/>
      <c r="E118" s="1559">
        <f t="shared" si="20"/>
        <v>0</v>
      </c>
      <c r="F118" s="1812">
        <f t="shared" si="21"/>
        <v>0</v>
      </c>
      <c r="G118" s="1813">
        <f t="shared" si="22"/>
        <v>0</v>
      </c>
    </row>
    <row r="119" spans="1:7" hidden="1" x14ac:dyDescent="0.25">
      <c r="A119" s="1672"/>
      <c r="B119" s="1686"/>
      <c r="C119" s="1673"/>
      <c r="D119" s="1864"/>
      <c r="E119" s="1559">
        <f t="shared" si="20"/>
        <v>0</v>
      </c>
      <c r="F119" s="1812">
        <f t="shared" si="21"/>
        <v>0</v>
      </c>
      <c r="G119" s="1813">
        <f t="shared" si="22"/>
        <v>0</v>
      </c>
    </row>
    <row r="120" spans="1:7" hidden="1" x14ac:dyDescent="0.25">
      <c r="A120" s="1672"/>
      <c r="B120" s="1686"/>
      <c r="C120" s="1673"/>
      <c r="D120" s="1864"/>
      <c r="E120" s="1559">
        <f t="shared" si="20"/>
        <v>0</v>
      </c>
      <c r="F120" s="1812">
        <f t="shared" si="21"/>
        <v>0</v>
      </c>
      <c r="G120" s="1813">
        <f t="shared" si="22"/>
        <v>0</v>
      </c>
    </row>
    <row r="121" spans="1:7" hidden="1" x14ac:dyDescent="0.25">
      <c r="A121" s="1672"/>
      <c r="B121" s="1686"/>
      <c r="C121" s="1673"/>
      <c r="D121" s="1864"/>
      <c r="E121" s="1559">
        <f t="shared" si="20"/>
        <v>0</v>
      </c>
      <c r="F121" s="1812">
        <f t="shared" si="21"/>
        <v>0</v>
      </c>
      <c r="G121" s="1813">
        <f t="shared" si="22"/>
        <v>0</v>
      </c>
    </row>
    <row r="122" spans="1:7" hidden="1" x14ac:dyDescent="0.25">
      <c r="A122" s="1672"/>
      <c r="B122" s="1686"/>
      <c r="C122" s="1673"/>
      <c r="D122" s="1864"/>
      <c r="E122" s="1559">
        <f t="shared" si="20"/>
        <v>0</v>
      </c>
      <c r="F122" s="1812">
        <f t="shared" si="21"/>
        <v>0</v>
      </c>
      <c r="G122" s="1813">
        <f t="shared" si="22"/>
        <v>0</v>
      </c>
    </row>
    <row r="123" spans="1:7" hidden="1" x14ac:dyDescent="0.25">
      <c r="A123" s="1672"/>
      <c r="B123" s="1686"/>
      <c r="C123" s="1673"/>
      <c r="D123" s="1864"/>
      <c r="E123" s="1559">
        <f t="shared" si="20"/>
        <v>0</v>
      </c>
      <c r="F123" s="1812">
        <f t="shared" si="21"/>
        <v>0</v>
      </c>
      <c r="G123" s="1813">
        <f t="shared" si="22"/>
        <v>0</v>
      </c>
    </row>
    <row r="124" spans="1:7" hidden="1" x14ac:dyDescent="0.25">
      <c r="A124" s="1672"/>
      <c r="B124" s="1686"/>
      <c r="C124" s="1673"/>
      <c r="D124" s="1864"/>
      <c r="E124" s="1559">
        <f t="shared" si="20"/>
        <v>0</v>
      </c>
      <c r="F124" s="1812">
        <f t="shared" si="21"/>
        <v>0</v>
      </c>
      <c r="G124" s="1813">
        <f t="shared" si="22"/>
        <v>0</v>
      </c>
    </row>
    <row r="125" spans="1:7" hidden="1" x14ac:dyDescent="0.25">
      <c r="A125" s="1672"/>
      <c r="B125" s="1686"/>
      <c r="C125" s="1673"/>
      <c r="D125" s="1864"/>
      <c r="E125" s="1559">
        <f t="shared" si="20"/>
        <v>0</v>
      </c>
      <c r="F125" s="1812">
        <f t="shared" si="21"/>
        <v>0</v>
      </c>
      <c r="G125" s="1813">
        <f t="shared" si="22"/>
        <v>0</v>
      </c>
    </row>
    <row r="126" spans="1:7" hidden="1"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hidden="1" x14ac:dyDescent="0.25">
      <c r="A127" s="1672"/>
      <c r="B127" s="1686"/>
      <c r="C127" s="1673"/>
      <c r="D127" s="1864"/>
      <c r="E127" s="1559">
        <f t="shared" si="23"/>
        <v>0</v>
      </c>
      <c r="F127" s="1812">
        <f t="shared" si="24"/>
        <v>0</v>
      </c>
      <c r="G127" s="1813">
        <f t="shared" si="25"/>
        <v>0</v>
      </c>
    </row>
    <row r="128" spans="1:7" hidden="1" x14ac:dyDescent="0.25">
      <c r="A128" s="1672"/>
      <c r="B128" s="1686"/>
      <c r="C128" s="1673"/>
      <c r="D128" s="1864"/>
      <c r="E128" s="1559">
        <f t="shared" si="23"/>
        <v>0</v>
      </c>
      <c r="F128" s="1812">
        <f t="shared" si="24"/>
        <v>0</v>
      </c>
      <c r="G128" s="1813">
        <f t="shared" si="25"/>
        <v>0</v>
      </c>
    </row>
    <row r="129" spans="1:7" hidden="1" x14ac:dyDescent="0.25">
      <c r="A129" s="1672"/>
      <c r="B129" s="1686"/>
      <c r="C129" s="1673"/>
      <c r="D129" s="1864"/>
      <c r="E129" s="1559">
        <f t="shared" si="23"/>
        <v>0</v>
      </c>
      <c r="F129" s="1812">
        <f t="shared" si="24"/>
        <v>0</v>
      </c>
      <c r="G129" s="1813">
        <f t="shared" si="25"/>
        <v>0</v>
      </c>
    </row>
    <row r="130" spans="1:7" hidden="1" x14ac:dyDescent="0.25">
      <c r="A130" s="1672"/>
      <c r="B130" s="1686"/>
      <c r="C130" s="1673"/>
      <c r="D130" s="1864"/>
      <c r="E130" s="1559">
        <f t="shared" si="23"/>
        <v>0</v>
      </c>
      <c r="F130" s="1812">
        <f t="shared" si="24"/>
        <v>0</v>
      </c>
      <c r="G130" s="1813">
        <f t="shared" si="25"/>
        <v>0</v>
      </c>
    </row>
    <row r="131" spans="1:7" hidden="1" x14ac:dyDescent="0.25">
      <c r="A131" s="1672"/>
      <c r="B131" s="1857"/>
      <c r="C131" s="1673"/>
      <c r="D131" s="1864"/>
      <c r="E131" s="1559">
        <f t="shared" si="23"/>
        <v>0</v>
      </c>
      <c r="F131" s="1812">
        <f t="shared" si="24"/>
        <v>0</v>
      </c>
      <c r="G131" s="1813">
        <f t="shared" si="25"/>
        <v>0</v>
      </c>
    </row>
    <row r="132" spans="1:7" hidden="1" x14ac:dyDescent="0.25">
      <c r="A132" s="1672"/>
      <c r="B132" s="1857"/>
      <c r="C132" s="1673"/>
      <c r="D132" s="1864"/>
      <c r="E132" s="1559">
        <f t="shared" si="23"/>
        <v>0</v>
      </c>
      <c r="F132" s="1812">
        <f t="shared" si="24"/>
        <v>0</v>
      </c>
      <c r="G132" s="1813">
        <f t="shared" si="25"/>
        <v>0</v>
      </c>
    </row>
    <row r="133" spans="1:7" hidden="1" x14ac:dyDescent="0.25">
      <c r="A133" s="1672"/>
      <c r="B133" s="1686"/>
      <c r="C133" s="1673"/>
      <c r="D133" s="1864"/>
      <c r="E133" s="1559">
        <f t="shared" si="23"/>
        <v>0</v>
      </c>
      <c r="F133" s="1812">
        <f t="shared" si="24"/>
        <v>0</v>
      </c>
      <c r="G133" s="1813">
        <f t="shared" si="25"/>
        <v>0</v>
      </c>
    </row>
    <row r="134" spans="1:7" hidden="1" x14ac:dyDescent="0.25">
      <c r="A134" s="1672"/>
      <c r="B134" s="1686"/>
      <c r="C134" s="1673"/>
      <c r="D134" s="1864"/>
      <c r="E134" s="1559">
        <f t="shared" si="23"/>
        <v>0</v>
      </c>
      <c r="F134" s="1812">
        <f t="shared" si="24"/>
        <v>0</v>
      </c>
      <c r="G134" s="1813">
        <f t="shared" si="25"/>
        <v>0</v>
      </c>
    </row>
    <row r="135" spans="1:7" hidden="1"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hidden="1" x14ac:dyDescent="0.25">
      <c r="A136" s="1672"/>
      <c r="B136" s="1686"/>
      <c r="C136" s="1673"/>
      <c r="D136" s="1864"/>
      <c r="E136" s="1559">
        <f t="shared" si="26"/>
        <v>0</v>
      </c>
      <c r="F136" s="1812">
        <f t="shared" si="27"/>
        <v>0</v>
      </c>
      <c r="G136" s="1813">
        <f t="shared" si="28"/>
        <v>0</v>
      </c>
    </row>
    <row r="137" spans="1:7" hidden="1" x14ac:dyDescent="0.25">
      <c r="A137" s="1672"/>
      <c r="B137" s="1686"/>
      <c r="C137" s="1673"/>
      <c r="D137" s="1864"/>
      <c r="E137" s="1559">
        <f t="shared" si="26"/>
        <v>0</v>
      </c>
      <c r="F137" s="1812">
        <f t="shared" si="27"/>
        <v>0</v>
      </c>
      <c r="G137" s="1813">
        <f t="shared" si="28"/>
        <v>0</v>
      </c>
    </row>
    <row r="138" spans="1:7" hidden="1" x14ac:dyDescent="0.25">
      <c r="A138" s="1672"/>
      <c r="B138" s="1686"/>
      <c r="C138" s="1673"/>
      <c r="D138" s="1864"/>
      <c r="E138" s="1559">
        <f t="shared" si="26"/>
        <v>0</v>
      </c>
      <c r="F138" s="1812">
        <f t="shared" si="27"/>
        <v>0</v>
      </c>
      <c r="G138" s="1813">
        <f t="shared" si="28"/>
        <v>0</v>
      </c>
    </row>
    <row r="139" spans="1:7" hidden="1" x14ac:dyDescent="0.25">
      <c r="A139" s="1672"/>
      <c r="B139" s="1686"/>
      <c r="C139" s="1673"/>
      <c r="D139" s="1864"/>
      <c r="E139" s="1559">
        <f t="shared" si="26"/>
        <v>0</v>
      </c>
      <c r="F139" s="1812">
        <f t="shared" si="27"/>
        <v>0</v>
      </c>
      <c r="G139" s="1813">
        <f t="shared" si="28"/>
        <v>0</v>
      </c>
    </row>
    <row r="140" spans="1:7" hidden="1"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2674650</v>
      </c>
      <c r="E141" s="1560">
        <f t="shared" si="1"/>
        <v>25000</v>
      </c>
      <c r="F141" s="1814">
        <f>SUM(F17:F140)</f>
        <v>25000</v>
      </c>
      <c r="G141" s="1815">
        <f>SUM(G17:G140)</f>
        <v>2649650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1177</v>
      </c>
      <c r="B1" s="1654"/>
      <c r="C1" s="1655"/>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399" t="s">
        <v>1776</v>
      </c>
      <c r="B5" s="2400"/>
      <c r="C5" s="2400"/>
      <c r="D5" s="2400"/>
      <c r="E5" s="2400"/>
      <c r="F5" s="2400"/>
      <c r="G5" s="2401"/>
      <c r="H5" s="252"/>
      <c r="I5" s="608"/>
    </row>
    <row r="6" spans="1:9" s="667" customFormat="1" x14ac:dyDescent="0.2">
      <c r="A6" s="1656"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2070</v>
      </c>
      <c r="B10" s="970"/>
      <c r="C10" s="975"/>
      <c r="D10" s="971"/>
      <c r="E10" s="972"/>
      <c r="F10" s="973"/>
      <c r="G10" s="974"/>
      <c r="H10" s="162"/>
      <c r="I10" s="162"/>
    </row>
    <row r="11" spans="1:9" s="667" customFormat="1" ht="22.5" customHeight="1" x14ac:dyDescent="0.2">
      <c r="A11" s="2404" t="s">
        <v>1939</v>
      </c>
      <c r="B11" s="2405"/>
      <c r="C11" s="2405"/>
      <c r="D11" s="2406"/>
      <c r="E11" s="976">
        <v>128748</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7" t="s">
        <v>553</v>
      </c>
      <c r="E17" s="1658"/>
      <c r="F17" s="1657" t="s">
        <v>453</v>
      </c>
      <c r="G17" s="1659"/>
      <c r="H17" s="162"/>
      <c r="I17" s="162"/>
    </row>
    <row r="18" spans="1:9" s="259" customFormat="1" ht="11.25" x14ac:dyDescent="0.2">
      <c r="A18" s="987"/>
      <c r="C18" s="988" t="s">
        <v>454</v>
      </c>
      <c r="D18" s="1660" t="s">
        <v>455</v>
      </c>
      <c r="E18" s="1660" t="s">
        <v>55</v>
      </c>
      <c r="F18" s="1660" t="s">
        <v>455</v>
      </c>
      <c r="G18" s="1660"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19764772</v>
      </c>
      <c r="F19" s="1819"/>
      <c r="G19" s="1821">
        <f>'Expenditures 15-22'!K33-SUM('Expenditures 15-22'!G33,'Expenditures 15-22'!I33)+'Expenditures 15-22'!D229</f>
        <v>19764772</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2128981</v>
      </c>
      <c r="F21" s="1822"/>
      <c r="G21" s="1825">
        <f>'Expenditures 15-22'!K42-SUM('Expenditures 15-22'!G42,'Expenditures 15-22'!I42)+'Expenditures 15-22'!K120-SUM('Expenditures 15-22'!G120,'Expenditures 15-22'!I120)+'Expenditures 15-22'!K180-SUM('Expenditures 15-22'!G180,'Expenditures 15-22'!I180)+'Expenditures 15-22'!D238</f>
        <v>2128981</v>
      </c>
      <c r="H21" s="986"/>
      <c r="I21" s="162"/>
    </row>
    <row r="22" spans="1:9" s="667" customFormat="1" ht="12" customHeight="1" x14ac:dyDescent="0.2">
      <c r="A22" s="993" t="s">
        <v>585</v>
      </c>
      <c r="B22" s="994"/>
      <c r="C22" s="992">
        <v>2200</v>
      </c>
      <c r="D22" s="1822"/>
      <c r="E22" s="1824">
        <f>'Expenditures 15-22'!K47-SUM('Expenditures 15-22'!G47,'Expenditures 15-22'!I47)+'Expenditures 15-22'!D243</f>
        <v>1639494</v>
      </c>
      <c r="F22" s="1822"/>
      <c r="G22" s="1825">
        <f>'Expenditures 15-22'!K47-SUM('Expenditures 15-22'!G47,'Expenditures 15-22'!I47)+'Expenditures 15-22'!D243</f>
        <v>1639494</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1138428</v>
      </c>
      <c r="F23" s="1822"/>
      <c r="G23" s="1824">
        <f>'Expenditures 15-22'!K53-SUM('Expenditures 15-22'!G53,'Expenditures 15-22'!I53)+'Expenditures 15-22'!D257+'Expenditures 15-22'!K330-SUM('Expenditures 15-22'!G330,'Expenditures 15-22'!I330)</f>
        <v>1138428</v>
      </c>
      <c r="H23" s="986"/>
      <c r="I23" s="162"/>
    </row>
    <row r="24" spans="1:9" s="667" customFormat="1" ht="12" customHeight="1" x14ac:dyDescent="0.2">
      <c r="A24" s="993" t="s">
        <v>587</v>
      </c>
      <c r="B24" s="994"/>
      <c r="C24" s="992">
        <v>2400</v>
      </c>
      <c r="D24" s="1822"/>
      <c r="E24" s="1824">
        <f>'Expenditures 15-22'!K57-SUM('Expenditures 15-22'!G57,'Expenditures 15-22'!I57)+'Expenditures 15-22'!D261</f>
        <v>2863835</v>
      </c>
      <c r="F24" s="1822"/>
      <c r="G24" s="1825">
        <f>'Expenditures 15-22'!K57-SUM('Expenditures 15-22'!G57,'Expenditures 15-22'!I57)+'Expenditures 15-22'!D261</f>
        <v>2863835</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144470</v>
      </c>
      <c r="E26" s="1824">
        <f>'Expenditures 15-22'!K122-SUM('Expenditures 15-22'!G122,'Expenditures 15-22'!I122)+E7</f>
        <v>0</v>
      </c>
      <c r="F26" s="1824">
        <f>'Expenditures 15-22'!K59-SUM('Expenditures 15-22'!G59,'Expenditures 15-22'!I59)+'Expenditures 15-22'!D263-E7</f>
        <v>144470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302101</v>
      </c>
      <c r="E27" s="1824">
        <f>E8</f>
        <v>0</v>
      </c>
      <c r="F27" s="1824">
        <f>'Expenditures 15-22'!K60-SUM('Expenditures 15-22'!G60,'Expenditures 15-22'!I60)+'Expenditures 15-22'!D264-E8</f>
        <v>302101</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2331457</v>
      </c>
      <c r="F28" s="1826">
        <f>'Expenditures 15-22'!K61-SUM('Expenditures 15-22'!G61,'Expenditures 15-22'!I61)+'Expenditures 15-22'!K124-SUM('Expenditures 15-22'!G124,'Expenditures 15-22'!I124)+'Expenditures 15-22'!D266-E9</f>
        <v>2331457</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2858229</v>
      </c>
      <c r="F29" s="1822"/>
      <c r="G29" s="1825">
        <f>'Expenditures 15-22'!K62-SUM('Expenditures 15-22'!G62,'Expenditures 15-22'!I62)+'Expenditures 15-22'!K125-SUM('Expenditures 15-22'!G125,'Expenditures 15-22'!I125)+'Expenditures 15-22'!K182-SUM('Expenditures 15-22'!G182,'Expenditures 15-22'!I182)+'Expenditures 15-22'!D267</f>
        <v>2858229</v>
      </c>
      <c r="H29" s="984"/>
    </row>
    <row r="30" spans="1:9" ht="12" customHeight="1" x14ac:dyDescent="0.2">
      <c r="A30" s="993" t="s">
        <v>102</v>
      </c>
      <c r="B30" s="996"/>
      <c r="C30" s="992">
        <v>2560</v>
      </c>
      <c r="D30" s="1822"/>
      <c r="E30" s="1824">
        <f>'Expenditures 15-22'!K63-SUM('Expenditures 15-22'!G63,'Expenditures 15-22'!I63)+'Expenditures 15-22'!D268-E10</f>
        <v>1412985</v>
      </c>
      <c r="F30" s="1822"/>
      <c r="G30" s="1824">
        <f>'Expenditures 15-22'!K63-SUM('Expenditures 15-22'!G63,'Expenditures 15-22'!I63)+'Expenditures 15-22'!D268-E10</f>
        <v>1412985</v>
      </c>
    </row>
    <row r="31" spans="1:9" ht="12" customHeight="1" x14ac:dyDescent="0.2">
      <c r="A31" s="993" t="s">
        <v>103</v>
      </c>
      <c r="B31" s="996"/>
      <c r="C31" s="992">
        <v>2570</v>
      </c>
      <c r="D31" s="1824">
        <f>'Expenditures 15-22'!K64-SUM('Expenditures 15-22'!G64,'Expenditures 15-22'!I64)+'Expenditures 15-22'!D269-E12</f>
        <v>55440</v>
      </c>
      <c r="E31" s="1824">
        <f>E12</f>
        <v>0</v>
      </c>
      <c r="F31" s="1824">
        <f>'Expenditures 15-22'!K64-SUM('Expenditures 15-22'!G64,'Expenditures 15-22'!I64)+'Expenditures 15-22'!D269-E12</f>
        <v>55440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244871</v>
      </c>
      <c r="E36" s="1824">
        <f>E13</f>
        <v>0</v>
      </c>
      <c r="F36" s="1824">
        <f>'Expenditures 15-22'!K70-SUM('Expenditures 15-22'!G70,'Expenditures 15-22'!I70)+'Expenditures 15-22'!D275-E13</f>
        <v>244871</v>
      </c>
      <c r="G36" s="1824">
        <f>E13</f>
        <v>0</v>
      </c>
    </row>
    <row r="37" spans="1:7" ht="12" customHeight="1" x14ac:dyDescent="0.2">
      <c r="A37" s="993" t="s">
        <v>424</v>
      </c>
      <c r="B37" s="996"/>
      <c r="C37" s="992">
        <v>2660</v>
      </c>
      <c r="D37" s="1824">
        <f>'Expenditures 15-22'!K71-SUM('Expenditures 15-22'!G71,'Expenditures 15-22'!I71)+'Expenditures 15-22'!D276-E14</f>
        <v>1023300</v>
      </c>
      <c r="E37" s="1824">
        <f>E14</f>
        <v>0</v>
      </c>
      <c r="F37" s="1824">
        <f>'Expenditures 15-22'!K71-SUM('Expenditures 15-22'!G71,'Expenditures 15-22'!I71)+'Expenditures 15-22'!D276-E14</f>
        <v>1023300</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55517</v>
      </c>
      <c r="F38" s="1822"/>
      <c r="G38" s="1824">
        <f>'Expenditures 15-22'!K73-SUM('Expenditures 15-22'!G73,'Expenditures 15-22'!I73)+'Expenditures 15-22'!K128-SUM('Expenditures 15-22'!G128,'Expenditures 15-22'!I128)+'Expenditures 15-22'!K183-SUM('Expenditures 15-22'!G183,'Expenditures 15-22'!I183)+'Expenditures 15-22'!D278</f>
        <v>55517</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169365</v>
      </c>
      <c r="F39" s="1822"/>
      <c r="G39" s="1824">
        <f>'Expenditures 15-22'!K75-SUM('Expenditures 15-22'!G75,'Expenditures 15-22'!I75)+'Expenditures 15-22'!K130-SUM('Expenditures 15-22'!G130,'Expenditures 15-22'!I130)+'Expenditures 15-22'!K185-SUM('Expenditures 15-22'!G185,'Expenditures 15-22'!I185)+'Expenditures 15-22'!D280</f>
        <v>169365</v>
      </c>
    </row>
    <row r="40" spans="1:7" ht="12" customHeight="1" x14ac:dyDescent="0.2">
      <c r="A40" s="989" t="s">
        <v>1924</v>
      </c>
      <c r="B40" s="990"/>
      <c r="C40" s="992"/>
      <c r="D40" s="1822"/>
      <c r="E40" s="1826">
        <f>-'Contracts Paid in CY 29'!G141</f>
        <v>-2649650</v>
      </c>
      <c r="F40" s="1822"/>
      <c r="G40" s="1826">
        <f>-'Contracts Paid in CY 29'!G141</f>
        <v>-2649650</v>
      </c>
    </row>
    <row r="41" spans="1:7" ht="12" customHeight="1" x14ac:dyDescent="0.2">
      <c r="A41" s="997" t="s">
        <v>158</v>
      </c>
      <c r="B41" s="998"/>
      <c r="C41" s="999"/>
      <c r="D41" s="1826">
        <f>SUM(D19:D39)</f>
        <v>1770182</v>
      </c>
      <c r="E41" s="1826">
        <f>SUM(E19:E40)</f>
        <v>31713413</v>
      </c>
      <c r="F41" s="1826">
        <f>SUM(F19:F39)</f>
        <v>4101639</v>
      </c>
      <c r="G41" s="1826">
        <f>SUM(G19:G40)</f>
        <v>29381956</v>
      </c>
    </row>
    <row r="42" spans="1:7" x14ac:dyDescent="0.2">
      <c r="A42" s="986"/>
      <c r="B42" s="162"/>
      <c r="C42" s="1000"/>
      <c r="D42" s="2402" t="s">
        <v>543</v>
      </c>
      <c r="E42" s="2403"/>
      <c r="F42" s="1001" t="s">
        <v>544</v>
      </c>
      <c r="G42" s="1002"/>
    </row>
    <row r="43" spans="1:7" ht="12" customHeight="1" x14ac:dyDescent="0.2">
      <c r="A43" s="986"/>
      <c r="B43" s="162"/>
      <c r="C43" s="1000"/>
      <c r="D43" s="1827" t="s">
        <v>493</v>
      </c>
      <c r="E43" s="1828">
        <f>D41</f>
        <v>1770182</v>
      </c>
      <c r="F43" s="1827" t="s">
        <v>495</v>
      </c>
      <c r="G43" s="1828">
        <f>F41</f>
        <v>4101639</v>
      </c>
    </row>
    <row r="44" spans="1:7" ht="12" customHeight="1" x14ac:dyDescent="0.2">
      <c r="A44" s="986"/>
      <c r="B44" s="162"/>
      <c r="C44" s="1000"/>
      <c r="D44" s="1827" t="s">
        <v>494</v>
      </c>
      <c r="E44" s="1828">
        <f>E41</f>
        <v>31713413</v>
      </c>
      <c r="F44" s="1827" t="s">
        <v>494</v>
      </c>
      <c r="G44" s="1828">
        <f>G41</f>
        <v>29381956</v>
      </c>
    </row>
    <row r="45" spans="1:7" ht="12" customHeight="1" x14ac:dyDescent="0.2">
      <c r="A45" s="986"/>
      <c r="B45" s="162"/>
      <c r="C45" s="162"/>
      <c r="D45" s="1829" t="s">
        <v>1063</v>
      </c>
      <c r="E45" s="1830">
        <f>(E43/E44)</f>
        <v>5.5818085552633519E-2</v>
      </c>
      <c r="F45" s="1829" t="s">
        <v>1063</v>
      </c>
      <c r="G45" s="1830">
        <f>(G43/G44)</f>
        <v>0.13959720721111965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410" t="s">
        <v>1446</v>
      </c>
      <c r="B1" s="2410"/>
      <c r="C1" s="2410"/>
      <c r="D1" s="2410"/>
      <c r="E1" s="2410"/>
      <c r="F1" s="2410"/>
    </row>
    <row r="2" spans="1:10" x14ac:dyDescent="0.2">
      <c r="A2" s="1909" t="s">
        <v>2042</v>
      </c>
      <c r="B2" s="1870"/>
      <c r="C2" s="1909"/>
      <c r="D2" s="1870"/>
      <c r="E2" s="1870"/>
      <c r="F2" s="1871"/>
    </row>
    <row r="3" spans="1:10" x14ac:dyDescent="0.2">
      <c r="A3" s="1909" t="s">
        <v>1698</v>
      </c>
      <c r="B3" s="1870"/>
      <c r="C3" s="1909"/>
      <c r="D3" s="1870"/>
      <c r="E3" s="1870"/>
      <c r="F3" s="1871"/>
    </row>
    <row r="4" spans="1:10" ht="3.75" customHeight="1" x14ac:dyDescent="0.2">
      <c r="A4" s="1870"/>
      <c r="B4" s="1870"/>
      <c r="C4" s="1870"/>
      <c r="D4" s="1870"/>
      <c r="E4" s="1870"/>
      <c r="F4" s="1871"/>
    </row>
    <row r="5" spans="1:10" ht="15" x14ac:dyDescent="0.25">
      <c r="A5" s="2411" t="s">
        <v>1627</v>
      </c>
      <c r="B5" s="2412"/>
      <c r="C5" s="2413"/>
      <c r="D5" s="2413"/>
      <c r="E5" s="2413"/>
      <c r="F5" s="2413"/>
    </row>
    <row r="6" spans="1:10" ht="12" customHeight="1" x14ac:dyDescent="0.25">
      <c r="A6" s="1872"/>
      <c r="B6" s="1873"/>
      <c r="C6" s="2414" t="str">
        <f>COVER!A17</f>
        <v>Pekin PSD 108</v>
      </c>
      <c r="D6" s="2414"/>
      <c r="E6" s="2414"/>
      <c r="F6" s="1874"/>
    </row>
    <row r="7" spans="1:10" ht="11.25" customHeight="1" thickBot="1" x14ac:dyDescent="0.3">
      <c r="A7" s="1872"/>
      <c r="B7" s="1873"/>
      <c r="C7" s="2415">
        <f>COVER!A13</f>
        <v>53090108002</v>
      </c>
      <c r="D7" s="2415"/>
      <c r="E7" s="2415"/>
      <c r="F7" s="1874"/>
    </row>
    <row r="8" spans="1:10" ht="25.5" customHeight="1" thickBot="1" x14ac:dyDescent="0.25">
      <c r="A8" s="1915" t="s">
        <v>2019</v>
      </c>
      <c r="B8" s="1875"/>
      <c r="C8" s="1911" t="s">
        <v>1778</v>
      </c>
      <c r="D8" s="1910" t="s">
        <v>1779</v>
      </c>
      <c r="E8" s="1912" t="s">
        <v>1447</v>
      </c>
      <c r="F8" s="1910" t="s">
        <v>1780</v>
      </c>
      <c r="H8" s="1876" t="b">
        <v>0</v>
      </c>
    </row>
    <row r="9" spans="1:10" ht="15.75" customHeight="1" x14ac:dyDescent="0.2">
      <c r="A9" s="1877" t="s">
        <v>1623</v>
      </c>
      <c r="B9" s="1878"/>
      <c r="C9" s="1879"/>
      <c r="D9" s="1879"/>
      <c r="E9" s="1880"/>
      <c r="F9" s="1881"/>
    </row>
    <row r="10" spans="1:10" ht="27.75" customHeight="1" x14ac:dyDescent="0.2">
      <c r="A10" s="1882" t="s">
        <v>1777</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t="s">
        <v>2089</v>
      </c>
      <c r="D12" s="1887" t="s">
        <v>2089</v>
      </c>
      <c r="E12" s="1890"/>
      <c r="F12" s="1889" t="s">
        <v>2097</v>
      </c>
      <c r="H12" s="1900">
        <f t="shared" ref="H12:H33" si="0">IF(C12="X",5,0)</f>
        <v>5</v>
      </c>
      <c r="I12" s="1900">
        <f t="shared" ref="I12:I33" si="1">IF(D12="X",5,0)</f>
        <v>5</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t="s">
        <v>2089</v>
      </c>
      <c r="D14" s="1887" t="s">
        <v>2089</v>
      </c>
      <c r="E14" s="1890"/>
      <c r="F14" s="1889" t="s">
        <v>2091</v>
      </c>
      <c r="H14" s="1900">
        <f t="shared" si="0"/>
        <v>5</v>
      </c>
      <c r="I14" s="1900">
        <f t="shared" si="1"/>
        <v>5</v>
      </c>
      <c r="J14" s="1900">
        <f t="shared" si="2"/>
        <v>0</v>
      </c>
    </row>
    <row r="15" spans="1:10" ht="12" customHeight="1" x14ac:dyDescent="0.2">
      <c r="A15" s="1885" t="s">
        <v>1454</v>
      </c>
      <c r="B15" s="1886"/>
      <c r="C15" s="1887" t="s">
        <v>2089</v>
      </c>
      <c r="D15" s="1887" t="s">
        <v>2089</v>
      </c>
      <c r="E15" s="1890"/>
      <c r="F15" s="1889" t="s">
        <v>2092</v>
      </c>
      <c r="H15" s="1900">
        <f t="shared" si="0"/>
        <v>5</v>
      </c>
      <c r="I15" s="1900">
        <f t="shared" si="1"/>
        <v>5</v>
      </c>
      <c r="J15" s="1900">
        <f t="shared" si="2"/>
        <v>0</v>
      </c>
    </row>
    <row r="16" spans="1:10" ht="12" customHeight="1" x14ac:dyDescent="0.2">
      <c r="A16" s="1885" t="s">
        <v>1455</v>
      </c>
      <c r="B16" s="1886"/>
      <c r="C16" s="1887" t="s">
        <v>2089</v>
      </c>
      <c r="D16" s="1887" t="s">
        <v>2089</v>
      </c>
      <c r="E16" s="1890"/>
      <c r="F16" s="1889" t="s">
        <v>2097</v>
      </c>
      <c r="H16" s="1900">
        <f t="shared" si="0"/>
        <v>5</v>
      </c>
      <c r="I16" s="1900">
        <f t="shared" si="1"/>
        <v>5</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c r="D19" s="1887"/>
      <c r="E19" s="1890"/>
      <c r="F19" s="1889"/>
      <c r="H19" s="1900">
        <f t="shared" si="0"/>
        <v>0</v>
      </c>
      <c r="I19" s="1900">
        <f t="shared" si="1"/>
        <v>0</v>
      </c>
      <c r="J19" s="1900">
        <f t="shared" si="2"/>
        <v>0</v>
      </c>
    </row>
    <row r="20" spans="1:12" ht="12" customHeight="1" x14ac:dyDescent="0.2">
      <c r="A20" s="1885" t="s">
        <v>1609</v>
      </c>
      <c r="B20" s="1886"/>
      <c r="C20" s="1887" t="s">
        <v>2089</v>
      </c>
      <c r="D20" s="1887" t="s">
        <v>2089</v>
      </c>
      <c r="E20" s="1890"/>
      <c r="F20" s="1889" t="s">
        <v>2093</v>
      </c>
      <c r="H20" s="1900">
        <f t="shared" si="0"/>
        <v>5</v>
      </c>
      <c r="I20" s="1900">
        <f t="shared" si="1"/>
        <v>5</v>
      </c>
      <c r="J20" s="1900">
        <f t="shared" si="2"/>
        <v>0</v>
      </c>
    </row>
    <row r="21" spans="1:12" ht="12" customHeight="1" x14ac:dyDescent="0.2">
      <c r="A21" s="1885" t="s">
        <v>1610</v>
      </c>
      <c r="B21" s="1886"/>
      <c r="C21" s="1887"/>
      <c r="D21" s="1887"/>
      <c r="E21" s="1890"/>
      <c r="F21" s="1889"/>
      <c r="H21" s="1900">
        <f t="shared" si="0"/>
        <v>0</v>
      </c>
      <c r="I21" s="1900">
        <f t="shared" si="1"/>
        <v>0</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c r="D23" s="1887"/>
      <c r="E23" s="1890"/>
      <c r="F23" s="1889"/>
      <c r="H23" s="1900">
        <f t="shared" si="0"/>
        <v>0</v>
      </c>
      <c r="I23" s="1900">
        <f t="shared" si="1"/>
        <v>0</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c r="D25" s="1887"/>
      <c r="E25" s="1890"/>
      <c r="F25" s="1889"/>
      <c r="H25" s="1900">
        <f t="shared" si="0"/>
        <v>0</v>
      </c>
      <c r="I25" s="1900">
        <f t="shared" si="1"/>
        <v>0</v>
      </c>
      <c r="J25" s="1900">
        <f t="shared" si="2"/>
        <v>0</v>
      </c>
    </row>
    <row r="26" spans="1:12" ht="12" customHeight="1" x14ac:dyDescent="0.2">
      <c r="A26" s="1885" t="s">
        <v>1615</v>
      </c>
      <c r="B26" s="1886"/>
      <c r="C26" s="1887" t="s">
        <v>2089</v>
      </c>
      <c r="D26" s="1887" t="s">
        <v>2089</v>
      </c>
      <c r="E26" s="1890"/>
      <c r="F26" s="1889" t="s">
        <v>2094</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t="s">
        <v>2089</v>
      </c>
      <c r="D28" s="1887" t="s">
        <v>2089</v>
      </c>
      <c r="E28" s="1890"/>
      <c r="F28" s="1889" t="s">
        <v>2095</v>
      </c>
      <c r="H28" s="1900">
        <f t="shared" si="0"/>
        <v>5</v>
      </c>
      <c r="I28" s="1900">
        <f t="shared" si="1"/>
        <v>5</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t="s">
        <v>2089</v>
      </c>
      <c r="D30" s="1887" t="s">
        <v>2089</v>
      </c>
      <c r="E30" s="1890"/>
      <c r="F30" s="1889" t="s">
        <v>2096</v>
      </c>
      <c r="H30" s="1900">
        <f t="shared" si="0"/>
        <v>5</v>
      </c>
      <c r="I30" s="1900">
        <f t="shared" si="1"/>
        <v>5</v>
      </c>
      <c r="J30" s="1900">
        <f t="shared" si="2"/>
        <v>0</v>
      </c>
    </row>
    <row r="31" spans="1:12" ht="12" customHeight="1" x14ac:dyDescent="0.2">
      <c r="A31" s="1885" t="s">
        <v>1620</v>
      </c>
      <c r="B31" s="1886"/>
      <c r="C31" s="1887"/>
      <c r="D31" s="1887"/>
      <c r="E31" s="1890"/>
      <c r="F31" s="1889"/>
      <c r="H31" s="1900">
        <f t="shared" si="0"/>
        <v>0</v>
      </c>
      <c r="I31" s="1900">
        <f t="shared" si="1"/>
        <v>0</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40</v>
      </c>
      <c r="I34" s="1900">
        <f>SUM(I11:I32)</f>
        <v>40</v>
      </c>
      <c r="J34" s="1900">
        <f>SUM(J11:J32)</f>
        <v>0</v>
      </c>
      <c r="K34" s="1900">
        <f>SUM(H34:J34)</f>
        <v>80</v>
      </c>
    </row>
    <row r="35" spans="1:11" ht="12" customHeight="1" x14ac:dyDescent="0.2">
      <c r="A35" s="1893" t="s">
        <v>1459</v>
      </c>
      <c r="B35" s="1894"/>
      <c r="C35" s="2416"/>
      <c r="D35" s="2416"/>
      <c r="E35" s="2416"/>
      <c r="F35" s="2417"/>
    </row>
    <row r="36" spans="1:11" ht="12" customHeight="1" x14ac:dyDescent="0.2">
      <c r="A36" s="2407"/>
      <c r="B36" s="2408"/>
      <c r="C36" s="2408"/>
      <c r="D36" s="2408"/>
      <c r="E36" s="2408"/>
      <c r="F36" s="2409"/>
    </row>
    <row r="37" spans="1:11" ht="12" customHeight="1" x14ac:dyDescent="0.2">
      <c r="A37" s="2407"/>
      <c r="B37" s="2408"/>
      <c r="C37" s="2408"/>
      <c r="D37" s="2408"/>
      <c r="E37" s="2408"/>
      <c r="F37" s="2409"/>
    </row>
    <row r="38" spans="1:11" ht="12" customHeight="1" x14ac:dyDescent="0.2">
      <c r="A38" s="2421"/>
      <c r="B38" s="2422"/>
      <c r="C38" s="2422"/>
      <c r="D38" s="2422"/>
      <c r="E38" s="2422"/>
      <c r="F38" s="2423"/>
    </row>
    <row r="39" spans="1:11" ht="4.5" hidden="1" customHeight="1" x14ac:dyDescent="0.2">
      <c r="A39" s="1895"/>
      <c r="B39" s="1895"/>
      <c r="C39" s="1895"/>
      <c r="D39" s="1895"/>
      <c r="E39" s="1895"/>
      <c r="F39" s="1895"/>
    </row>
    <row r="40" spans="1:11" s="1892" customFormat="1" ht="12" customHeight="1" x14ac:dyDescent="0.25">
      <c r="A40" s="1896" t="s">
        <v>1458</v>
      </c>
      <c r="B40" s="1897"/>
      <c r="C40" s="2424"/>
      <c r="D40" s="2424"/>
      <c r="E40" s="2424"/>
      <c r="F40" s="2425"/>
      <c r="H40" s="1901"/>
      <c r="I40" s="1901"/>
      <c r="J40" s="1901"/>
      <c r="K40" s="1901"/>
    </row>
    <row r="41" spans="1:11" s="1892" customFormat="1" ht="12" customHeight="1" x14ac:dyDescent="0.25">
      <c r="A41" s="2426"/>
      <c r="B41" s="2427"/>
      <c r="C41" s="2427"/>
      <c r="D41" s="2427"/>
      <c r="E41" s="2427"/>
      <c r="F41" s="2428"/>
      <c r="H41" s="1901"/>
      <c r="I41" s="1901"/>
      <c r="J41" s="1901"/>
      <c r="K41" s="1901"/>
    </row>
    <row r="42" spans="1:11" s="1892" customFormat="1" ht="12" customHeight="1" x14ac:dyDescent="0.25">
      <c r="A42" s="2426"/>
      <c r="B42" s="2427"/>
      <c r="C42" s="2427"/>
      <c r="D42" s="2427"/>
      <c r="E42" s="2427"/>
      <c r="F42" s="2428"/>
      <c r="H42" s="1901"/>
      <c r="I42" s="1901"/>
      <c r="J42" s="1901"/>
      <c r="K42" s="1901"/>
    </row>
    <row r="43" spans="1:11" s="1892" customFormat="1" ht="15" x14ac:dyDescent="0.25">
      <c r="A43" s="2418"/>
      <c r="B43" s="2419"/>
      <c r="C43" s="2419"/>
      <c r="D43" s="2419"/>
      <c r="E43" s="2419"/>
      <c r="F43" s="2420"/>
      <c r="H43" s="1901"/>
      <c r="I43" s="1901"/>
      <c r="J43" s="1901"/>
      <c r="K43" s="1901"/>
    </row>
    <row r="44" spans="1:11" s="1892" customFormat="1" ht="12" hidden="1" customHeight="1" x14ac:dyDescent="0.25">
      <c r="A44" s="2418"/>
      <c r="B44" s="2419"/>
      <c r="C44" s="2419"/>
      <c r="D44" s="2419"/>
      <c r="E44" s="2419"/>
      <c r="F44" s="2420"/>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1"/>
      <c r="C6" s="1661"/>
      <c r="D6" s="1661"/>
      <c r="E6" s="1662"/>
      <c r="F6" s="1014"/>
      <c r="G6" s="1008"/>
      <c r="H6" s="1015" t="s">
        <v>1086</v>
      </c>
      <c r="I6" s="2434" t="str">
        <f>COVER!A17</f>
        <v>Pekin PSD 108</v>
      </c>
      <c r="J6" s="2435"/>
      <c r="Q6" s="1683"/>
    </row>
    <row r="7" spans="1:17" x14ac:dyDescent="0.2">
      <c r="A7" s="2436" t="s">
        <v>924</v>
      </c>
      <c r="B7" s="2437"/>
      <c r="C7" s="2437"/>
      <c r="D7" s="2437"/>
      <c r="E7" s="2438"/>
      <c r="F7" s="1016"/>
      <c r="G7" s="1008"/>
      <c r="H7" s="1015" t="s">
        <v>390</v>
      </c>
      <c r="I7" s="2439">
        <f>COVER!A13</f>
        <v>53090108002</v>
      </c>
      <c r="J7" s="2439"/>
    </row>
    <row r="8" spans="1:17" ht="8.25" customHeight="1" x14ac:dyDescent="0.2">
      <c r="A8" s="1663"/>
      <c r="B8" s="1664"/>
      <c r="C8" s="1664"/>
      <c r="D8" s="1664"/>
      <c r="E8" s="1665"/>
      <c r="F8" s="1017"/>
      <c r="G8" s="1018"/>
      <c r="H8" s="1018"/>
      <c r="I8" s="1018"/>
      <c r="J8" s="1018"/>
    </row>
    <row r="9" spans="1:17" ht="13.5" customHeight="1" x14ac:dyDescent="0.2">
      <c r="A9" s="1019"/>
      <c r="B9" s="1020"/>
      <c r="C9" s="1020"/>
      <c r="D9" s="1021"/>
      <c r="E9" s="1917" t="s">
        <v>1699</v>
      </c>
      <c r="F9" s="1022"/>
      <c r="G9" s="1022"/>
      <c r="H9" s="1918" t="s">
        <v>1700</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440" t="s">
        <v>502</v>
      </c>
      <c r="B11" s="2441"/>
      <c r="C11" s="2442"/>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527455</v>
      </c>
      <c r="F12" s="1038"/>
      <c r="G12" s="1831">
        <f t="shared" ref="G12:G18" si="0">SUM(E12:F12)</f>
        <v>527455</v>
      </c>
      <c r="H12" s="1039">
        <v>584342</v>
      </c>
      <c r="I12" s="1038"/>
      <c r="J12" s="1831">
        <f t="shared" ref="J12:J18" si="1">SUM(H12:I12)</f>
        <v>584342</v>
      </c>
    </row>
    <row r="13" spans="1:17" ht="15" customHeight="1" x14ac:dyDescent="0.2">
      <c r="A13" s="1034">
        <v>2</v>
      </c>
      <c r="B13" s="1035" t="s">
        <v>44</v>
      </c>
      <c r="C13" s="1036"/>
      <c r="D13" s="1037">
        <v>2330</v>
      </c>
      <c r="E13" s="1831">
        <f>'Expenditures 15-22'!K51</f>
        <v>497983</v>
      </c>
      <c r="F13" s="1038"/>
      <c r="G13" s="1831">
        <f t="shared" si="0"/>
        <v>497983</v>
      </c>
      <c r="H13" s="1039">
        <v>428256</v>
      </c>
      <c r="I13" s="1038"/>
      <c r="J13" s="1831">
        <f t="shared" si="1"/>
        <v>428256</v>
      </c>
    </row>
    <row r="14" spans="1:17" ht="15" customHeight="1" x14ac:dyDescent="0.2">
      <c r="A14" s="1034">
        <v>3</v>
      </c>
      <c r="B14" s="1035" t="s">
        <v>45</v>
      </c>
      <c r="C14" s="1036"/>
      <c r="D14" s="1040">
        <v>2490</v>
      </c>
      <c r="E14" s="1831">
        <f>'Expenditures 15-22'!K56</f>
        <v>0</v>
      </c>
      <c r="F14" s="1038"/>
      <c r="G14" s="1831">
        <f t="shared" si="0"/>
        <v>0</v>
      </c>
      <c r="H14" s="1039"/>
      <c r="I14" s="1038"/>
      <c r="J14" s="1831">
        <f t="shared" si="1"/>
        <v>0</v>
      </c>
    </row>
    <row r="15" spans="1:17" ht="15" customHeight="1" x14ac:dyDescent="0.2">
      <c r="A15" s="1034">
        <v>4</v>
      </c>
      <c r="B15" s="1035" t="s">
        <v>1128</v>
      </c>
      <c r="C15" s="1036"/>
      <c r="D15" s="1037">
        <v>2510</v>
      </c>
      <c r="E15" s="1831">
        <f>'Expenditures 15-22'!K59</f>
        <v>142854</v>
      </c>
      <c r="F15" s="1831">
        <f>'Expenditures 15-22'!K122</f>
        <v>0</v>
      </c>
      <c r="G15" s="1831">
        <f t="shared" si="0"/>
        <v>142854</v>
      </c>
      <c r="H15" s="1039">
        <v>146128</v>
      </c>
      <c r="I15" s="1039"/>
      <c r="J15" s="1831">
        <f t="shared" si="1"/>
        <v>146128</v>
      </c>
    </row>
    <row r="16" spans="1:17" ht="15" customHeight="1" x14ac:dyDescent="0.2">
      <c r="A16" s="1034">
        <v>5</v>
      </c>
      <c r="B16" s="1035" t="s">
        <v>103</v>
      </c>
      <c r="C16" s="1036"/>
      <c r="D16" s="1037">
        <v>2570</v>
      </c>
      <c r="E16" s="1831">
        <f>'Expenditures 15-22'!K64</f>
        <v>55440</v>
      </c>
      <c r="F16" s="1038"/>
      <c r="G16" s="1831">
        <f t="shared" si="0"/>
        <v>55440</v>
      </c>
      <c r="H16" s="1039">
        <v>80000</v>
      </c>
      <c r="I16" s="1038"/>
      <c r="J16" s="1831">
        <f t="shared" si="1"/>
        <v>80000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443" t="s">
        <v>7</v>
      </c>
      <c r="C18" s="2444"/>
      <c r="D18" s="2445"/>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1223732</v>
      </c>
      <c r="F19" s="1833">
        <f t="shared" si="2"/>
        <v>0</v>
      </c>
      <c r="G19" s="1833">
        <f t="shared" si="2"/>
        <v>1223732</v>
      </c>
      <c r="H19" s="1833">
        <f t="shared" si="2"/>
        <v>1238726</v>
      </c>
      <c r="I19" s="1833">
        <f t="shared" si="2"/>
        <v>0</v>
      </c>
      <c r="J19" s="1833">
        <f t="shared" si="2"/>
        <v>1238726</v>
      </c>
    </row>
    <row r="20" spans="1:10" ht="13.5" thickTop="1" x14ac:dyDescent="0.2">
      <c r="A20" s="1034">
        <v>9</v>
      </c>
      <c r="B20" s="2446" t="s">
        <v>1701</v>
      </c>
      <c r="C20" s="2446"/>
      <c r="D20" s="2447"/>
      <c r="E20" s="1045"/>
      <c r="F20" s="1045"/>
      <c r="G20" s="1045"/>
      <c r="H20" s="1045"/>
      <c r="I20" s="1045"/>
      <c r="J20" s="1834">
        <f>IF(AND(G19&gt;0,J19&gt;0),(((J19-G19)/G19)),"Enter Budget Data")</f>
        <v>1.2252682776947894E-2</v>
      </c>
    </row>
    <row r="21" spans="1:10" ht="9" customHeight="1" x14ac:dyDescent="0.2">
      <c r="B21" s="1046"/>
    </row>
    <row r="22" spans="1:10" x14ac:dyDescent="0.2">
      <c r="A22" s="1047" t="s">
        <v>135</v>
      </c>
      <c r="B22" s="1046"/>
    </row>
    <row r="23" spans="1:10" x14ac:dyDescent="0.2">
      <c r="A23" s="1010" t="s">
        <v>1702</v>
      </c>
      <c r="B23" s="1046"/>
    </row>
    <row r="24" spans="1:10" x14ac:dyDescent="0.2">
      <c r="A24" s="1010" t="s">
        <v>1703</v>
      </c>
      <c r="B24" s="1046"/>
    </row>
    <row r="25" spans="1:10" x14ac:dyDescent="0.2">
      <c r="A25" s="1048"/>
      <c r="B25" s="1046"/>
    </row>
    <row r="26" spans="1:10" ht="20.100000000000001" customHeight="1" x14ac:dyDescent="0.2">
      <c r="B26" s="1046"/>
      <c r="C26" s="2452"/>
      <c r="D26" s="2452"/>
      <c r="E26" s="1049"/>
      <c r="F26" s="2451"/>
      <c r="G26" s="2451"/>
    </row>
    <row r="27" spans="1:10" x14ac:dyDescent="0.2">
      <c r="B27" s="1046"/>
      <c r="C27" s="1050" t="s">
        <v>1093</v>
      </c>
      <c r="D27" s="1051"/>
      <c r="E27" s="1052"/>
      <c r="F27" s="2448" t="s">
        <v>1589</v>
      </c>
      <c r="G27" s="2448"/>
    </row>
    <row r="28" spans="1:10" ht="28.5" customHeight="1" x14ac:dyDescent="0.2">
      <c r="B28" s="1046"/>
      <c r="C28" s="2450"/>
      <c r="D28" s="2450"/>
      <c r="E28" s="1053"/>
      <c r="F28" s="2450"/>
      <c r="G28" s="2450"/>
    </row>
    <row r="29" spans="1:10" x14ac:dyDescent="0.2">
      <c r="B29" s="1046"/>
      <c r="C29" s="1054" t="s">
        <v>1640</v>
      </c>
      <c r="E29" s="1055"/>
      <c r="F29" s="2449" t="s">
        <v>1590</v>
      </c>
      <c r="G29" s="2449"/>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431" t="s">
        <v>134</v>
      </c>
      <c r="D33" s="2432"/>
      <c r="E33" s="2432"/>
      <c r="F33" s="2432"/>
      <c r="G33" s="2432"/>
      <c r="H33" s="2432"/>
      <c r="I33" s="2432"/>
    </row>
    <row r="34" spans="1:10" ht="10.35" customHeight="1" x14ac:dyDescent="0.2">
      <c r="C34" s="2432"/>
      <c r="D34" s="2432"/>
      <c r="E34" s="2432"/>
      <c r="F34" s="2432"/>
      <c r="G34" s="2432"/>
      <c r="H34" s="2432"/>
      <c r="I34" s="2432"/>
    </row>
    <row r="35" spans="1:10" ht="7.5" customHeight="1" x14ac:dyDescent="0.2">
      <c r="C35" s="1061"/>
    </row>
    <row r="36" spans="1:10" ht="13.5" customHeight="1" x14ac:dyDescent="0.2">
      <c r="B36" s="1060"/>
      <c r="C36" s="2433" t="s">
        <v>1938</v>
      </c>
      <c r="D36" s="2432"/>
      <c r="E36" s="2432"/>
      <c r="F36" s="2432"/>
      <c r="G36" s="2432"/>
      <c r="H36" s="2432"/>
      <c r="I36" s="2432"/>
      <c r="J36" s="1062"/>
    </row>
    <row r="37" spans="1:10" ht="22.5" customHeight="1" x14ac:dyDescent="0.2">
      <c r="C37" s="2432"/>
      <c r="D37" s="2432"/>
      <c r="E37" s="2432"/>
      <c r="F37" s="2432"/>
      <c r="G37" s="2432"/>
      <c r="H37" s="2432"/>
      <c r="I37" s="2432"/>
      <c r="J37" s="1062"/>
    </row>
    <row r="38" spans="1:10" ht="7.5" customHeight="1" x14ac:dyDescent="0.2">
      <c r="C38" s="1061"/>
      <c r="D38" s="1063"/>
      <c r="E38" s="1064"/>
      <c r="F38" s="1065"/>
      <c r="G38" s="1064"/>
    </row>
    <row r="39" spans="1:10" ht="13.5" customHeight="1" x14ac:dyDescent="0.2">
      <c r="B39" s="1060"/>
      <c r="C39" s="2429" t="s">
        <v>937</v>
      </c>
      <c r="D39" s="2430"/>
      <c r="E39" s="2430"/>
      <c r="F39" s="2430"/>
      <c r="G39" s="2430"/>
      <c r="H39" s="2430"/>
      <c r="I39" s="2430"/>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2213</v>
      </c>
    </row>
    <row r="6" spans="1:2" x14ac:dyDescent="0.2">
      <c r="A6" s="1067">
        <v>2</v>
      </c>
      <c r="B6" s="329" t="s">
        <v>2216</v>
      </c>
    </row>
    <row r="7" spans="1:2" x14ac:dyDescent="0.2">
      <c r="A7" s="1067">
        <v>3</v>
      </c>
      <c r="B7" s="329" t="s">
        <v>2215</v>
      </c>
    </row>
    <row r="8" spans="1:2" x14ac:dyDescent="0.2">
      <c r="A8" s="1067">
        <v>4</v>
      </c>
      <c r="B8" s="329" t="s">
        <v>2214</v>
      </c>
    </row>
    <row r="9" spans="1:2" x14ac:dyDescent="0.2">
      <c r="A9" s="1067">
        <v>5</v>
      </c>
      <c r="B9" s="329" t="s">
        <v>2217</v>
      </c>
    </row>
    <row r="10" spans="1:2" x14ac:dyDescent="0.2">
      <c r="A10" s="1067">
        <v>6</v>
      </c>
      <c r="B10" s="329" t="s">
        <v>2218</v>
      </c>
    </row>
    <row r="11" spans="1:2" x14ac:dyDescent="0.2">
      <c r="A11" s="1067">
        <v>7</v>
      </c>
      <c r="B11" s="329" t="s">
        <v>2219</v>
      </c>
    </row>
    <row r="12" spans="1:2" x14ac:dyDescent="0.2">
      <c r="A12" s="1067">
        <v>8</v>
      </c>
      <c r="B12" s="329" t="s">
        <v>2220</v>
      </c>
    </row>
    <row r="13" spans="1:2" x14ac:dyDescent="0.2">
      <c r="A13" s="1067">
        <v>9</v>
      </c>
      <c r="B13" s="329" t="s">
        <v>2221</v>
      </c>
    </row>
    <row r="14" spans="1:2" x14ac:dyDescent="0.2">
      <c r="A14" s="1067"/>
      <c r="B14" s="329" t="s">
        <v>2222</v>
      </c>
    </row>
    <row r="15" spans="1:2" x14ac:dyDescent="0.2">
      <c r="A15" s="1067"/>
      <c r="B15" s="329" t="s">
        <v>2223</v>
      </c>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8" t="str">
        <f>COVER!A17</f>
        <v>Pekin PSD 108</v>
      </c>
    </row>
    <row r="65" spans="2:2" x14ac:dyDescent="0.2">
      <c r="B65" s="1068">
        <f>COVER!A13</f>
        <v>53090108002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1965</v>
      </c>
      <c r="C4" s="162" t="s">
        <v>1231</v>
      </c>
      <c r="D4" s="169" t="s">
        <v>10</v>
      </c>
      <c r="E4" s="170" t="s">
        <v>22</v>
      </c>
    </row>
    <row r="5" spans="1:5" x14ac:dyDescent="0.2">
      <c r="A5" s="168" t="s">
        <v>1967</v>
      </c>
      <c r="C5" s="162" t="s">
        <v>1231</v>
      </c>
      <c r="D5" s="169" t="s">
        <v>10</v>
      </c>
      <c r="E5" s="170" t="s">
        <v>22</v>
      </c>
    </row>
    <row r="6" spans="1:5" x14ac:dyDescent="0.2">
      <c r="A6" s="168" t="s">
        <v>1966</v>
      </c>
      <c r="C6" s="162" t="s">
        <v>1231</v>
      </c>
      <c r="D6" s="167" t="s">
        <v>11</v>
      </c>
      <c r="E6" s="170" t="s">
        <v>998</v>
      </c>
    </row>
    <row r="7" spans="1:5" x14ac:dyDescent="0.2">
      <c r="A7" s="168" t="s">
        <v>1968</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1969</v>
      </c>
      <c r="C11" s="162" t="s">
        <v>1231</v>
      </c>
      <c r="D11" s="169" t="s">
        <v>14</v>
      </c>
      <c r="E11" s="170" t="s">
        <v>1218</v>
      </c>
    </row>
    <row r="12" spans="1:5" x14ac:dyDescent="0.2">
      <c r="B12" s="169" t="s">
        <v>1970</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1971</v>
      </c>
      <c r="C15" s="162" t="s">
        <v>1231</v>
      </c>
      <c r="D15" s="169" t="s">
        <v>17</v>
      </c>
      <c r="E15" s="170" t="s">
        <v>657</v>
      </c>
    </row>
    <row r="16" spans="1:5" x14ac:dyDescent="0.2">
      <c r="A16" s="172"/>
      <c r="B16" s="162" t="s">
        <v>1972</v>
      </c>
      <c r="C16" s="162" t="s">
        <v>1231</v>
      </c>
      <c r="D16" s="169" t="s">
        <v>702</v>
      </c>
      <c r="E16" s="170" t="s">
        <v>1100</v>
      </c>
    </row>
    <row r="17" spans="1:5" x14ac:dyDescent="0.2">
      <c r="B17" s="167" t="s">
        <v>1045</v>
      </c>
      <c r="C17" s="162" t="s">
        <v>1231</v>
      </c>
    </row>
    <row r="18" spans="1:5" x14ac:dyDescent="0.2">
      <c r="B18" s="167" t="s">
        <v>1978</v>
      </c>
      <c r="D18" s="169" t="s">
        <v>18</v>
      </c>
      <c r="E18" s="170" t="s">
        <v>1101</v>
      </c>
    </row>
    <row r="19" spans="1:5" x14ac:dyDescent="0.2">
      <c r="A19" s="168" t="s">
        <v>1161</v>
      </c>
      <c r="C19" s="162" t="s">
        <v>1231</v>
      </c>
      <c r="D19" s="169"/>
      <c r="E19" s="171"/>
    </row>
    <row r="20" spans="1:5" x14ac:dyDescent="0.2">
      <c r="B20" s="167" t="s">
        <v>1973</v>
      </c>
      <c r="C20" s="162" t="s">
        <v>1231</v>
      </c>
      <c r="D20" s="169" t="s">
        <v>19</v>
      </c>
      <c r="E20" s="170" t="s">
        <v>53</v>
      </c>
    </row>
    <row r="21" spans="1:5" x14ac:dyDescent="0.2">
      <c r="B21" s="167" t="s">
        <v>1974</v>
      </c>
      <c r="C21" s="162" t="s">
        <v>1231</v>
      </c>
      <c r="D21" s="169" t="s">
        <v>20</v>
      </c>
      <c r="E21" s="170" t="s">
        <v>1706</v>
      </c>
    </row>
    <row r="22" spans="1:5" x14ac:dyDescent="0.2">
      <c r="A22" s="168"/>
      <c r="B22" s="162" t="s">
        <v>1962</v>
      </c>
      <c r="C22" s="162" t="s">
        <v>1231</v>
      </c>
      <c r="D22" s="167" t="s">
        <v>1964</v>
      </c>
      <c r="E22" s="1856" t="s">
        <v>1707</v>
      </c>
    </row>
    <row r="23" spans="1:5" x14ac:dyDescent="0.2">
      <c r="A23" s="168"/>
      <c r="B23" s="162" t="s">
        <v>1963</v>
      </c>
      <c r="D23" s="167" t="s">
        <v>658</v>
      </c>
      <c r="E23" s="1856" t="s">
        <v>1016</v>
      </c>
    </row>
    <row r="24" spans="1:5" x14ac:dyDescent="0.2">
      <c r="A24" s="168" t="s">
        <v>1705</v>
      </c>
      <c r="C24" s="162" t="s">
        <v>1231</v>
      </c>
      <c r="D24" s="167" t="s">
        <v>1460</v>
      </c>
      <c r="E24" s="170" t="s">
        <v>1017</v>
      </c>
    </row>
    <row r="25" spans="1:5" x14ac:dyDescent="0.2">
      <c r="A25" s="168" t="s">
        <v>1975</v>
      </c>
      <c r="C25" s="162" t="s">
        <v>1231</v>
      </c>
      <c r="D25" s="169" t="s">
        <v>21</v>
      </c>
      <c r="E25" s="170" t="s">
        <v>1102</v>
      </c>
    </row>
    <row r="26" spans="1:5" x14ac:dyDescent="0.2">
      <c r="A26" s="168" t="s">
        <v>1976</v>
      </c>
      <c r="C26" s="162" t="s">
        <v>1231</v>
      </c>
      <c r="D26" s="169" t="s">
        <v>584</v>
      </c>
      <c r="E26" s="170" t="s">
        <v>1103</v>
      </c>
    </row>
    <row r="27" spans="1:5" x14ac:dyDescent="0.2">
      <c r="A27" s="168" t="s">
        <v>1977</v>
      </c>
      <c r="C27" s="162" t="s">
        <v>1231</v>
      </c>
      <c r="D27" s="169" t="s">
        <v>578</v>
      </c>
      <c r="E27" s="170" t="s">
        <v>704</v>
      </c>
    </row>
    <row r="28" spans="1:5" x14ac:dyDescent="0.2">
      <c r="A28" s="168" t="s">
        <v>1979</v>
      </c>
      <c r="D28" s="169" t="s">
        <v>705</v>
      </c>
      <c r="E28" s="170" t="s">
        <v>1433</v>
      </c>
    </row>
    <row r="29" spans="1:5" x14ac:dyDescent="0.2">
      <c r="A29" s="168" t="s">
        <v>1980</v>
      </c>
      <c r="D29" s="169" t="s">
        <v>1461</v>
      </c>
      <c r="E29" s="170" t="s">
        <v>1442</v>
      </c>
    </row>
    <row r="30" spans="1:5" x14ac:dyDescent="0.2">
      <c r="A30" s="173" t="s">
        <v>1981</v>
      </c>
      <c r="C30" s="162" t="s">
        <v>1231</v>
      </c>
      <c r="D30" s="169" t="s">
        <v>42</v>
      </c>
      <c r="E30" s="170" t="s">
        <v>1039</v>
      </c>
    </row>
    <row r="31" spans="1:5" x14ac:dyDescent="0.2">
      <c r="A31" s="168" t="s">
        <v>1602</v>
      </c>
      <c r="C31" s="162" t="s">
        <v>1231</v>
      </c>
      <c r="D31" s="167"/>
      <c r="E31" s="171"/>
    </row>
    <row r="32" spans="1:5" x14ac:dyDescent="0.2">
      <c r="B32" s="167" t="s">
        <v>1982</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70" t="s">
        <v>1125</v>
      </c>
      <c r="B35" s="2170"/>
      <c r="C35" s="2170"/>
      <c r="D35" s="2170"/>
      <c r="E35" s="21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67" t="s">
        <v>715</v>
      </c>
      <c r="B40" s="2167"/>
      <c r="C40" s="2167"/>
      <c r="D40" s="2167"/>
      <c r="E40" s="2167"/>
    </row>
    <row r="41" spans="1:5" x14ac:dyDescent="0.2">
      <c r="A41" s="2168" t="s">
        <v>1704</v>
      </c>
      <c r="B41" s="2168"/>
      <c r="C41" s="2168"/>
      <c r="D41" s="2168"/>
      <c r="E41" s="2168"/>
    </row>
    <row r="42" spans="1:5" ht="12.75" customHeight="1" x14ac:dyDescent="0.2">
      <c r="A42" s="2169" t="s">
        <v>1080</v>
      </c>
      <c r="B42" s="2169"/>
      <c r="C42" s="2169"/>
      <c r="D42" s="2169"/>
      <c r="E42" s="2169"/>
    </row>
    <row r="43" spans="1:5" ht="6.75" customHeight="1" x14ac:dyDescent="0.2">
      <c r="A43" s="167"/>
      <c r="B43" s="176"/>
    </row>
    <row r="44" spans="1:5" x14ac:dyDescent="0.2">
      <c r="A44" s="185" t="s">
        <v>1040</v>
      </c>
      <c r="B44" s="186" t="s">
        <v>2012</v>
      </c>
    </row>
    <row r="45" spans="1:5" ht="6.75" customHeight="1" x14ac:dyDescent="0.2">
      <c r="A45" s="187"/>
      <c r="B45" s="186"/>
    </row>
    <row r="46" spans="1:5" x14ac:dyDescent="0.2">
      <c r="A46" s="185" t="s">
        <v>1041</v>
      </c>
      <c r="B46" s="169" t="s">
        <v>1709</v>
      </c>
    </row>
    <row r="47" spans="1:5" ht="9.75" customHeight="1" x14ac:dyDescent="0.2">
      <c r="A47" s="189"/>
      <c r="B47" s="188"/>
    </row>
    <row r="48" spans="1:5" x14ac:dyDescent="0.2">
      <c r="A48" s="169" t="s">
        <v>1708</v>
      </c>
      <c r="B48" s="169" t="s">
        <v>1713</v>
      </c>
      <c r="C48" s="177"/>
    </row>
    <row r="49" spans="1:3" ht="9.75" customHeight="1" x14ac:dyDescent="0.2">
      <c r="A49" s="188"/>
      <c r="B49" s="188"/>
      <c r="C49" s="177"/>
    </row>
    <row r="50" spans="1:3" x14ac:dyDescent="0.2">
      <c r="A50" s="200" t="s">
        <v>1710</v>
      </c>
      <c r="B50" s="198" t="s">
        <v>1714</v>
      </c>
    </row>
    <row r="51" spans="1:3" x14ac:dyDescent="0.2">
      <c r="B51" s="169" t="s">
        <v>1868</v>
      </c>
    </row>
    <row r="52" spans="1:3" x14ac:dyDescent="0.2">
      <c r="A52" s="190"/>
      <c r="B52" s="188" t="s">
        <v>1888</v>
      </c>
    </row>
    <row r="53" spans="1:3" ht="4.5" customHeight="1" x14ac:dyDescent="0.2">
      <c r="A53" s="190"/>
      <c r="B53" s="190"/>
    </row>
    <row r="54" spans="1:3" x14ac:dyDescent="0.2">
      <c r="A54" s="190"/>
      <c r="B54" s="201" t="s">
        <v>1711</v>
      </c>
    </row>
    <row r="55" spans="1:3" ht="8.25" customHeight="1" x14ac:dyDescent="0.2">
      <c r="A55" s="190"/>
      <c r="B55" s="191"/>
    </row>
    <row r="56" spans="1:3" x14ac:dyDescent="0.2">
      <c r="A56" s="192"/>
      <c r="B56" s="169" t="s">
        <v>1869</v>
      </c>
    </row>
    <row r="57" spans="1:3" x14ac:dyDescent="0.2">
      <c r="A57" s="193"/>
      <c r="B57" s="190" t="s">
        <v>1871</v>
      </c>
    </row>
    <row r="58" spans="1:3" x14ac:dyDescent="0.2">
      <c r="A58" s="194"/>
      <c r="B58" s="190" t="s">
        <v>1872</v>
      </c>
    </row>
    <row r="59" spans="1:3" x14ac:dyDescent="0.2">
      <c r="A59" s="195"/>
      <c r="B59" s="1504" t="s">
        <v>1873</v>
      </c>
    </row>
    <row r="60" spans="1:3" x14ac:dyDescent="0.2">
      <c r="A60" s="196"/>
      <c r="B60" s="1504" t="s">
        <v>1874</v>
      </c>
    </row>
    <row r="61" spans="1:3" ht="6" customHeight="1" x14ac:dyDescent="0.2">
      <c r="A61" s="197"/>
      <c r="B61" s="189"/>
    </row>
    <row r="62" spans="1:3" x14ac:dyDescent="0.2">
      <c r="A62" s="169" t="s">
        <v>1712</v>
      </c>
      <c r="B62" s="198" t="s">
        <v>1870</v>
      </c>
    </row>
    <row r="63" spans="1:3" x14ac:dyDescent="0.2">
      <c r="A63" s="188"/>
      <c r="B63" s="169" t="s">
        <v>1885</v>
      </c>
    </row>
    <row r="64" spans="1:3" x14ac:dyDescent="0.2">
      <c r="A64" s="195"/>
      <c r="B64" s="1506" t="s">
        <v>1875</v>
      </c>
    </row>
    <row r="65" spans="1:9" x14ac:dyDescent="0.2">
      <c r="A65" s="188"/>
      <c r="B65" s="169" t="s">
        <v>1886</v>
      </c>
    </row>
    <row r="66" spans="1:9" x14ac:dyDescent="0.2">
      <c r="A66" s="190"/>
      <c r="B66" s="190" t="s">
        <v>1876</v>
      </c>
    </row>
    <row r="67" spans="1:9" ht="12" customHeight="1" x14ac:dyDescent="0.2">
      <c r="A67" s="188"/>
      <c r="B67" s="169" t="s">
        <v>1887</v>
      </c>
    </row>
    <row r="68" spans="1:9" x14ac:dyDescent="0.2">
      <c r="A68" s="189"/>
      <c r="B68" s="190" t="s">
        <v>1877</v>
      </c>
    </row>
    <row r="69" spans="1:9" x14ac:dyDescent="0.2">
      <c r="A69" s="190"/>
      <c r="B69" s="188" t="s">
        <v>1878</v>
      </c>
    </row>
    <row r="70" spans="1:9" ht="13.5" customHeight="1" x14ac:dyDescent="0.2">
      <c r="A70" s="190"/>
      <c r="B70" s="188" t="s">
        <v>1879</v>
      </c>
    </row>
    <row r="71" spans="1:9" ht="12" customHeight="1" x14ac:dyDescent="0.2">
      <c r="A71" s="192"/>
      <c r="B71" s="1505" t="s">
        <v>1715</v>
      </c>
    </row>
    <row r="72" spans="1:9" ht="9" customHeight="1" x14ac:dyDescent="0.2">
      <c r="A72" s="192"/>
      <c r="B72" s="199"/>
    </row>
    <row r="73" spans="1:9" x14ac:dyDescent="0.2">
      <c r="A73" s="189" t="s">
        <v>1716</v>
      </c>
      <c r="B73" s="169" t="s">
        <v>1881</v>
      </c>
    </row>
    <row r="74" spans="1:9" x14ac:dyDescent="0.2">
      <c r="A74" s="189"/>
      <c r="B74" s="169" t="s">
        <v>1880</v>
      </c>
    </row>
    <row r="75" spans="1:9" ht="8.25" customHeight="1" x14ac:dyDescent="0.2">
      <c r="A75" s="189"/>
      <c r="B75" s="189"/>
    </row>
    <row r="76" spans="1:9" ht="12.2" customHeight="1" x14ac:dyDescent="0.2">
      <c r="A76" s="189" t="s">
        <v>1717</v>
      </c>
      <c r="B76" s="198" t="s">
        <v>1882</v>
      </c>
    </row>
    <row r="77" spans="1:9" ht="12.2" customHeight="1" x14ac:dyDescent="0.2">
      <c r="A77" s="190"/>
      <c r="B77" s="169" t="s">
        <v>1718</v>
      </c>
      <c r="C77" s="179"/>
      <c r="D77" s="180"/>
      <c r="E77" s="181"/>
      <c r="F77" s="181"/>
      <c r="G77" s="181"/>
      <c r="H77" s="181"/>
      <c r="I77" s="181"/>
    </row>
    <row r="78" spans="1:9" ht="11.25" customHeight="1" x14ac:dyDescent="0.2">
      <c r="A78" s="190"/>
      <c r="B78" s="190" t="s">
        <v>1884</v>
      </c>
      <c r="C78" s="179"/>
      <c r="D78" s="182"/>
      <c r="E78" s="182"/>
      <c r="F78" s="182"/>
      <c r="G78" s="182"/>
      <c r="H78" s="182"/>
      <c r="I78" s="181"/>
    </row>
    <row r="79" spans="1:9" ht="12.2" customHeight="1" x14ac:dyDescent="0.2">
      <c r="A79" s="190"/>
      <c r="B79" s="169" t="s">
        <v>1719</v>
      </c>
      <c r="C79" s="179"/>
      <c r="D79" s="182"/>
      <c r="E79" s="182"/>
      <c r="F79" s="182"/>
      <c r="G79" s="182"/>
      <c r="H79" s="182"/>
      <c r="I79" s="181"/>
    </row>
    <row r="80" spans="1:9" ht="11.25" customHeight="1" x14ac:dyDescent="0.2">
      <c r="A80" s="189"/>
      <c r="B80" s="190" t="s">
        <v>1883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1573</v>
      </c>
    </row>
    <row r="15" spans="1:6" x14ac:dyDescent="0.2">
      <c r="A15" s="389" t="s">
        <v>912</v>
      </c>
    </row>
    <row r="16" spans="1:6" s="1069" customFormat="1" ht="45" customHeight="1" x14ac:dyDescent="0.2">
      <c r="A16" s="1071"/>
      <c r="B16" s="1071" t="s">
        <v>1781</v>
      </c>
    </row>
    <row r="17" spans="1:2" ht="6" customHeight="1" x14ac:dyDescent="0.2"/>
    <row r="18" spans="1:2" ht="24.75" customHeight="1" x14ac:dyDescent="0.2">
      <c r="A18" s="2453" t="s">
        <v>1782</v>
      </c>
      <c r="B18" s="245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4</xdr:col>
                <xdr:colOff>0</xdr:colOff>
                <xdr:row>1</xdr:row>
                <xdr:rowOff>0</xdr:rowOff>
              </from>
              <to>
                <xdr:col>5</xdr:col>
                <xdr:colOff>304800</xdr:colOff>
                <xdr:row>5</xdr:row>
                <xdr:rowOff>38100</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54" t="s">
        <v>1788</v>
      </c>
      <c r="B1" s="2455"/>
      <c r="C1" s="2455"/>
      <c r="D1" s="2455"/>
      <c r="E1" s="2455"/>
      <c r="F1" s="2456"/>
    </row>
    <row r="2" spans="1:8" ht="45" customHeight="1" x14ac:dyDescent="0.2">
      <c r="A2" s="2464" t="s">
        <v>1789</v>
      </c>
      <c r="B2" s="2465"/>
      <c r="C2" s="2465"/>
      <c r="D2" s="2465"/>
      <c r="E2" s="2465"/>
      <c r="F2" s="2466"/>
      <c r="G2" s="1072"/>
      <c r="H2" s="1072"/>
    </row>
    <row r="3" spans="1:8" ht="57" customHeight="1" x14ac:dyDescent="0.2">
      <c r="A3" s="2467" t="s">
        <v>1784</v>
      </c>
      <c r="B3" s="2468"/>
      <c r="C3" s="2468"/>
      <c r="D3" s="2468"/>
      <c r="E3" s="2468"/>
      <c r="F3" s="2469"/>
      <c r="G3" s="1072"/>
      <c r="H3" s="1072"/>
    </row>
    <row r="4" spans="1:8" ht="14.25" customHeight="1" x14ac:dyDescent="0.2">
      <c r="A4" s="2473" t="s">
        <v>2050</v>
      </c>
      <c r="B4" s="2474"/>
      <c r="C4" s="2474"/>
      <c r="D4" s="2474"/>
      <c r="E4" s="2474"/>
      <c r="F4" s="2475"/>
      <c r="G4" s="1072"/>
      <c r="H4" s="1072"/>
    </row>
    <row r="5" spans="1:8" ht="14.25" customHeight="1" x14ac:dyDescent="0.2">
      <c r="A5" s="2476" t="s">
        <v>2051</v>
      </c>
      <c r="B5" s="2477"/>
      <c r="C5" s="2477"/>
      <c r="D5" s="2477"/>
      <c r="E5" s="2477"/>
      <c r="F5" s="2478"/>
      <c r="G5" s="1072"/>
      <c r="H5" s="1072"/>
    </row>
    <row r="6" spans="1:8" s="1073" customFormat="1" ht="41.25" customHeight="1" x14ac:dyDescent="0.2">
      <c r="A6" s="2470" t="s">
        <v>1790</v>
      </c>
      <c r="B6" s="2471"/>
      <c r="C6" s="2471"/>
      <c r="D6" s="2471"/>
      <c r="E6" s="2471"/>
      <c r="F6" s="2472"/>
    </row>
    <row r="7" spans="1:8" ht="42" customHeight="1" x14ac:dyDescent="0.2">
      <c r="A7" s="1074" t="s">
        <v>502</v>
      </c>
      <c r="B7" s="1075" t="s">
        <v>1576</v>
      </c>
      <c r="C7" s="1075" t="s">
        <v>1577</v>
      </c>
      <c r="D7" s="1075" t="s">
        <v>1575</v>
      </c>
      <c r="E7" s="1075" t="s">
        <v>1578</v>
      </c>
      <c r="F7" s="1075" t="s">
        <v>1434</v>
      </c>
    </row>
    <row r="8" spans="1:8" s="1077" customFormat="1" ht="14.25" customHeight="1" x14ac:dyDescent="0.2">
      <c r="A8" s="1076" t="s">
        <v>1435</v>
      </c>
      <c r="B8" s="1835">
        <f>'Acct Summary 7-8'!C8</f>
        <v>30205568</v>
      </c>
      <c r="C8" s="1835">
        <f>'Acct Summary 7-8'!D8</f>
        <v>2612078</v>
      </c>
      <c r="D8" s="1835">
        <f>'Acct Summary 7-8'!F8</f>
        <v>3038076</v>
      </c>
      <c r="E8" s="1835">
        <f>'Acct Summary 7-8'!I8</f>
        <v>340572</v>
      </c>
      <c r="F8" s="1835">
        <f>SUM(B8:E8)</f>
        <v>36196294</v>
      </c>
    </row>
    <row r="9" spans="1:8" s="1077" customFormat="1" ht="14.25" customHeight="1" thickBot="1" x14ac:dyDescent="0.25">
      <c r="A9" s="1076" t="s">
        <v>1436</v>
      </c>
      <c r="B9" s="1836">
        <f>'Acct Summary 7-8'!C17</f>
        <v>30749794</v>
      </c>
      <c r="C9" s="1836">
        <f>'Acct Summary 7-8'!D17</f>
        <v>2370406</v>
      </c>
      <c r="D9" s="1836">
        <f>'Acct Summary 7-8'!F17</f>
        <v>2857758</v>
      </c>
      <c r="E9" s="1835"/>
      <c r="F9" s="1835">
        <f>SUM(B9:E9)</f>
        <v>35977958</v>
      </c>
    </row>
    <row r="10" spans="1:8" s="1077" customFormat="1" ht="14.25" thickTop="1" thickBot="1" x14ac:dyDescent="0.25">
      <c r="A10" s="1078" t="s">
        <v>1437</v>
      </c>
      <c r="B10" s="1837">
        <f>(B8-B9)</f>
        <v>-544226</v>
      </c>
      <c r="C10" s="1837">
        <f>(C8-C9)</f>
        <v>241672</v>
      </c>
      <c r="D10" s="1837">
        <f>(D8-D9)</f>
        <v>180318</v>
      </c>
      <c r="E10" s="1836">
        <f>(E8-E9)</f>
        <v>340572</v>
      </c>
      <c r="F10" s="1838">
        <f>SUM(F8-F9)</f>
        <v>218336</v>
      </c>
    </row>
    <row r="11" spans="1:8" s="1077" customFormat="1" ht="14.25" thickTop="1" thickBot="1" x14ac:dyDescent="0.25">
      <c r="A11" s="1079" t="s">
        <v>1783</v>
      </c>
      <c r="B11" s="1839">
        <f>'Acct Summary 7-8'!C81</f>
        <v>-1071992</v>
      </c>
      <c r="C11" s="1839">
        <f>'Acct Summary 7-8'!D81</f>
        <v>121363</v>
      </c>
      <c r="D11" s="1839">
        <f>'Acct Summary 7-8'!F81</f>
        <v>-182673</v>
      </c>
      <c r="E11" s="1839">
        <f>'Acct Summary 7-8'!I81</f>
        <v>6287813</v>
      </c>
      <c r="F11" s="1840">
        <f>SUM(B11:E11)</f>
        <v>5154511</v>
      </c>
    </row>
    <row r="12" spans="1:8" ht="16.5" customHeight="1" thickTop="1" x14ac:dyDescent="0.2">
      <c r="A12" s="1080"/>
      <c r="B12" s="1081"/>
      <c r="C12" s="2458" t="str">
        <f>IF(AND(F10&lt;0,F11&gt;=0,ABS(F10*3)&gt;ABS(F11)),A16,IF(AND(F10&lt;0,F11&gt;0,ABS(F10*3)&lt;=ABS(F11)),A17,IF(AND(F10&lt;0,F11&lt;0),A16,IF(F11=0,A19,A18))))</f>
        <v>Balanced - no deficit reduction plan is required.</v>
      </c>
      <c r="D12" s="2459"/>
      <c r="E12" s="2459"/>
      <c r="F12" s="2460"/>
    </row>
    <row r="13" spans="1:8" ht="19.5" customHeight="1" x14ac:dyDescent="0.2">
      <c r="A13" s="1082"/>
      <c r="B13" s="1083"/>
      <c r="C13" s="2458"/>
      <c r="D13" s="2459"/>
      <c r="E13" s="2459"/>
      <c r="F13" s="2460"/>
      <c r="H13" s="1072"/>
    </row>
    <row r="14" spans="1:8" ht="19.5" customHeight="1" x14ac:dyDescent="0.2">
      <c r="A14" s="1082"/>
      <c r="B14" s="1083"/>
      <c r="C14" s="2458"/>
      <c r="D14" s="2459"/>
      <c r="E14" s="2459"/>
      <c r="F14" s="2460"/>
      <c r="H14" s="1072"/>
    </row>
    <row r="15" spans="1:8" ht="17.25" customHeight="1" x14ac:dyDescent="0.2">
      <c r="A15" s="1082"/>
      <c r="B15" s="1083"/>
      <c r="C15" s="2461"/>
      <c r="D15" s="2462"/>
      <c r="E15" s="2462"/>
      <c r="F15" s="2463"/>
      <c r="H15" s="1072"/>
    </row>
    <row r="16" spans="1:8" s="310" customFormat="1" ht="51.75" hidden="1" customHeight="1" x14ac:dyDescent="0.2">
      <c r="A16" s="2457" t="s">
        <v>1785</v>
      </c>
      <c r="B16" s="2457"/>
      <c r="C16" s="2457"/>
      <c r="D16" s="2457"/>
      <c r="E16" s="2457"/>
      <c r="F16" s="310" t="s">
        <v>1438</v>
      </c>
    </row>
    <row r="17" spans="1:6" hidden="1" x14ac:dyDescent="0.2">
      <c r="A17" s="316" t="s">
        <v>1786</v>
      </c>
      <c r="F17" s="1084" t="s">
        <v>1439</v>
      </c>
    </row>
    <row r="18" spans="1:6" hidden="1" x14ac:dyDescent="0.2">
      <c r="A18" s="316" t="s">
        <v>1787</v>
      </c>
      <c r="F18" s="316" t="s">
        <v>1477</v>
      </c>
    </row>
    <row r="19" spans="1:6" hidden="1" x14ac:dyDescent="0.2">
      <c r="A19" s="316" t="s">
        <v>1476</v>
      </c>
      <c r="F19" s="316" t="s">
        <v>1441</v>
      </c>
    </row>
    <row r="20" spans="1:6" ht="14.25" customHeight="1" x14ac:dyDescent="0.2"/>
    <row r="21" spans="1:6" x14ac:dyDescent="0.2">
      <c r="B21" s="1085"/>
    </row>
    <row r="48" spans="3:3" x14ac:dyDescent="0.2">
      <c r="C48" s="1084"/>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919"/>
      <c r="B2" s="1920"/>
      <c r="C2" s="1921"/>
      <c r="D2" s="1922"/>
    </row>
    <row r="3" spans="1:4" ht="36" customHeight="1" x14ac:dyDescent="0.2">
      <c r="A3" s="2479" t="s">
        <v>686</v>
      </c>
      <c r="B3" s="2480"/>
      <c r="C3" s="2480"/>
      <c r="D3" s="2481"/>
    </row>
    <row r="4" spans="1:4" x14ac:dyDescent="0.2">
      <c r="A4" s="1150" t="s">
        <v>1791</v>
      </c>
      <c r="B4" s="1151"/>
      <c r="C4" s="1152"/>
      <c r="D4" s="1153"/>
    </row>
    <row r="5" spans="1:4" ht="21" customHeight="1" x14ac:dyDescent="0.2">
      <c r="A5" s="1146"/>
      <c r="B5" s="1147">
        <v>1</v>
      </c>
      <c r="C5" s="1148" t="s">
        <v>1940</v>
      </c>
      <c r="D5" s="1149"/>
    </row>
    <row r="6" spans="1:4" s="667" customFormat="1" ht="14.25" customHeight="1" x14ac:dyDescent="0.2">
      <c r="A6" s="1136"/>
      <c r="B6" s="1091">
        <f t="shared" ref="B6:B13" si="0">B5+1</f>
        <v>2</v>
      </c>
      <c r="C6" s="1092" t="s">
        <v>919</v>
      </c>
      <c r="D6" s="1093"/>
    </row>
    <row r="7" spans="1:4" s="667" customFormat="1" ht="12.75" x14ac:dyDescent="0.2">
      <c r="A7" s="1136"/>
      <c r="B7" s="1091">
        <f t="shared" si="0"/>
        <v>3</v>
      </c>
      <c r="C7" s="2490" t="s">
        <v>1584</v>
      </c>
      <c r="D7" s="2491"/>
    </row>
    <row r="8" spans="1:4" s="667" customFormat="1" ht="12.75" x14ac:dyDescent="0.2">
      <c r="A8" s="1136"/>
      <c r="B8" s="1091"/>
      <c r="C8" s="1094" t="s">
        <v>1583</v>
      </c>
      <c r="D8" s="1095"/>
    </row>
    <row r="9" spans="1:4" s="667" customFormat="1" ht="14.25" customHeight="1" x14ac:dyDescent="0.2">
      <c r="A9" s="1136"/>
      <c r="B9" s="1091">
        <f>B7+1</f>
        <v>4</v>
      </c>
      <c r="C9" s="1092" t="s">
        <v>2043</v>
      </c>
      <c r="D9" s="1093"/>
    </row>
    <row r="10" spans="1:4" s="667" customFormat="1" ht="14.25" customHeight="1" x14ac:dyDescent="0.2">
      <c r="A10" s="1136"/>
      <c r="B10" s="1091">
        <f t="shared" si="0"/>
        <v>5</v>
      </c>
      <c r="C10" s="1092" t="s">
        <v>660</v>
      </c>
      <c r="D10" s="1093"/>
    </row>
    <row r="11" spans="1:4" s="667" customFormat="1" ht="14.25" customHeight="1" x14ac:dyDescent="0.2">
      <c r="A11" s="1136"/>
      <c r="B11" s="1091">
        <f t="shared" si="0"/>
        <v>6</v>
      </c>
      <c r="C11" s="1092" t="s">
        <v>811</v>
      </c>
      <c r="D11" s="1093"/>
    </row>
    <row r="12" spans="1:4" s="667" customFormat="1" ht="14.25" customHeight="1" x14ac:dyDescent="0.2">
      <c r="A12" s="1136"/>
      <c r="B12" s="1091">
        <f t="shared" si="0"/>
        <v>7</v>
      </c>
      <c r="C12" s="1092" t="s">
        <v>1122</v>
      </c>
      <c r="D12" s="1093"/>
    </row>
    <row r="13" spans="1:4" s="667" customFormat="1" ht="14.25" customHeight="1" x14ac:dyDescent="0.2">
      <c r="A13" s="1136"/>
      <c r="B13" s="1091">
        <f t="shared" si="0"/>
        <v>8</v>
      </c>
      <c r="C13" s="1132" t="s">
        <v>812</v>
      </c>
      <c r="D13" s="1093"/>
    </row>
    <row r="14" spans="1:4" s="667" customFormat="1" ht="14.25" customHeight="1" x14ac:dyDescent="0.2">
      <c r="A14" s="1136"/>
      <c r="B14" s="1133">
        <v>9</v>
      </c>
      <c r="C14" s="1134" t="s">
        <v>1585</v>
      </c>
      <c r="D14" s="1135"/>
    </row>
    <row r="15" spans="1:4" s="667" customFormat="1" ht="21.75" customHeight="1" x14ac:dyDescent="0.2">
      <c r="A15" s="2482" t="s">
        <v>1065</v>
      </c>
      <c r="B15" s="2483"/>
      <c r="C15" s="2483"/>
      <c r="D15" s="2484"/>
    </row>
    <row r="16" spans="1:4" s="667" customFormat="1" ht="24" customHeight="1" x14ac:dyDescent="0.2">
      <c r="A16" s="2485" t="s">
        <v>684</v>
      </c>
      <c r="B16" s="2486"/>
      <c r="C16" s="2486"/>
      <c r="D16" s="2487"/>
    </row>
    <row r="17" spans="1:10" s="667" customFormat="1" ht="12.75" customHeight="1" x14ac:dyDescent="0.2">
      <c r="A17" s="1154" t="s">
        <v>1792</v>
      </c>
      <c r="B17" s="1155"/>
      <c r="C17" s="1156"/>
      <c r="D17" s="1157"/>
    </row>
    <row r="18" spans="1:10" s="667" customFormat="1" ht="12.75" customHeight="1" x14ac:dyDescent="0.2">
      <c r="A18" s="1158" t="s">
        <v>1793</v>
      </c>
      <c r="B18" s="1159"/>
      <c r="C18" s="1160"/>
      <c r="D18" s="1161"/>
    </row>
    <row r="19" spans="1:10" ht="6.75" customHeight="1" thickBot="1" x14ac:dyDescent="0.25">
      <c r="A19" s="1162"/>
      <c r="B19" s="1163"/>
      <c r="C19" s="1164"/>
      <c r="D19" s="1165"/>
    </row>
    <row r="20" spans="1:10" s="1169" customFormat="1" ht="12.75" thickTop="1" x14ac:dyDescent="0.2">
      <c r="A20" s="1166"/>
      <c r="B20" s="1167" t="s">
        <v>1794</v>
      </c>
      <c r="C20" s="1168"/>
      <c r="D20" s="1171" t="s">
        <v>734</v>
      </c>
    </row>
    <row r="21" spans="1:10" x14ac:dyDescent="0.2">
      <c r="A21" s="1096"/>
      <c r="B21" s="1097">
        <v>1</v>
      </c>
      <c r="C21" s="2494" t="s">
        <v>332</v>
      </c>
      <c r="D21" s="2495"/>
    </row>
    <row r="22" spans="1:10" ht="12.75" x14ac:dyDescent="0.2">
      <c r="A22" s="1137"/>
      <c r="B22" s="1138">
        <v>2</v>
      </c>
      <c r="C22" s="2492" t="s">
        <v>1605</v>
      </c>
      <c r="D22" s="2493"/>
    </row>
    <row r="23" spans="1:10" ht="12.2" customHeight="1" x14ac:dyDescent="0.2">
      <c r="A23" s="1137"/>
      <c r="B23" s="1138"/>
      <c r="C23" s="1139" t="s">
        <v>1011</v>
      </c>
      <c r="D23" s="1140" t="str">
        <f>IF(COVER!O11="X","CASH",IF(COVER!O12="X","ACCRUAL ","PLEASE CHECK AN ACCOUNTING BASIS."))</f>
        <v>CASH</v>
      </c>
    </row>
    <row r="24" spans="1:10" ht="12.2" customHeight="1" x14ac:dyDescent="0.2">
      <c r="A24" s="1137"/>
      <c r="B24" s="1138"/>
      <c r="C24" s="1139" t="s">
        <v>1399</v>
      </c>
      <c r="D24" s="1140" t="str">
        <f>IF(COVER!O11="X","OK",IF(AND('Aud Quest 2'!J90=0,'Aud Quest 2'!I77&lt;DATE(2017,12,31)),"ENTER ACCOUNTING INFO",IF(AND('Aud Quest 2'!J90&gt;0,'Aud Quest 2'!I77&lt;DATE(2017,12,31)),"OK")))</f>
        <v>OK</v>
      </c>
    </row>
    <row r="25" spans="1:10" x14ac:dyDescent="0.2">
      <c r="A25" s="1098"/>
      <c r="B25" s="1099"/>
      <c r="C25" s="1100" t="s">
        <v>1607</v>
      </c>
      <c r="D25" s="1101" t="str">
        <f>IF(AND(COVER!J29="X",COVER!J30="X",COVER!L30&lt;&gt;"X"),"OK",IF(AND(COVER!J29="X",COVER!J30&lt;&gt;"X",COVER!L30="X"),"OK",IF(AND(COVER!L29="X",COVER!J30&lt;&gt;"X"),"OK","PLEASE CHECK YES or NO.")))</f>
        <v>OK</v>
      </c>
    </row>
    <row r="26" spans="1:10" x14ac:dyDescent="0.2">
      <c r="A26" s="1098"/>
      <c r="B26" s="1141"/>
      <c r="C26" s="1102" t="s">
        <v>1606</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1032</v>
      </c>
      <c r="D27" s="1103" t="str">
        <f>IF(AND(COVER!J29="X",COVER!J31="X",COVER!L29&lt;&gt;"X"),"OK",IF(AND(COVER!J29="X",COVER!J31&lt;&gt;"X",COVER!L31="X"),"NO FINDINGS WERE ISSUED",IF(AND(COVER!L29="X",COVER!J31&lt;&gt;"X"),"OK","PLEASE CHECK YES or NO.")))</f>
        <v>NO FINDINGS WERE ISSUED</v>
      </c>
    </row>
    <row r="28" spans="1:10" ht="24" hidden="1" customHeight="1" x14ac:dyDescent="0.2">
      <c r="A28" s="1104"/>
      <c r="B28" s="1141"/>
      <c r="C28" s="1100" t="s">
        <v>897</v>
      </c>
      <c r="D28" s="1105" t="str">
        <f>IF('Aud Quest 2'!B53="X",IF('Aud Quest 2'!F53&gt;"00/00/00 ","Enter Effective Date","ok"))</f>
        <v>ok</v>
      </c>
    </row>
    <row r="29" spans="1:10" x14ac:dyDescent="0.2">
      <c r="A29" s="1098"/>
      <c r="B29" s="1141"/>
      <c r="C29" s="1102" t="s">
        <v>1440</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879</v>
      </c>
      <c r="D30" s="1107"/>
    </row>
    <row r="31" spans="1:10" x14ac:dyDescent="0.2">
      <c r="A31" s="1098"/>
      <c r="B31" s="1108"/>
      <c r="C31" s="1142" t="s">
        <v>271</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1035</v>
      </c>
      <c r="D32" s="1101" t="str">
        <f>IF(OR(COVER!B6="x",'FP Info 3'!B31="X",'FP Info 3'!B32="X"),"OK","ENTRY IS REQUIRED!")</f>
        <v>OK</v>
      </c>
    </row>
    <row r="33" spans="1:12" s="1114" customFormat="1" ht="12.75" customHeight="1" x14ac:dyDescent="0.2">
      <c r="A33" s="1111"/>
      <c r="B33" s="1138">
        <f>B30+1</f>
        <v>4</v>
      </c>
      <c r="C33" s="1112" t="s">
        <v>813</v>
      </c>
      <c r="D33" s="1113"/>
    </row>
    <row r="34" spans="1:12" s="1114" customFormat="1" x14ac:dyDescent="0.2">
      <c r="A34" s="1115"/>
      <c r="B34" s="1138"/>
      <c r="C34" s="1116" t="s">
        <v>880</v>
      </c>
      <c r="D34" s="1101" t="str">
        <f>IF('Assets-Liab 5-6'!C4&lt;-0.49, "ERROR!","OK")</f>
        <v>OK</v>
      </c>
    </row>
    <row r="35" spans="1:12" x14ac:dyDescent="0.2">
      <c r="A35" s="1115"/>
      <c r="B35" s="1138"/>
      <c r="C35" s="1116" t="s">
        <v>324</v>
      </c>
      <c r="D35" s="1101" t="str">
        <f>IF('Assets-Liab 5-6'!D4&lt;-0.49, "ERROR!","OK")</f>
        <v>OK</v>
      </c>
      <c r="L35" s="1170"/>
    </row>
    <row r="36" spans="1:12" x14ac:dyDescent="0.2">
      <c r="A36" s="1115"/>
      <c r="B36" s="1138"/>
      <c r="C36" s="1116" t="s">
        <v>814</v>
      </c>
      <c r="D36" s="1101" t="str">
        <f>IF('Assets-Liab 5-6'!E4&lt;-0.49, "ERROR!","OK")</f>
        <v>OK</v>
      </c>
    </row>
    <row r="37" spans="1:12" x14ac:dyDescent="0.2">
      <c r="A37" s="1115"/>
      <c r="B37" s="1138"/>
      <c r="C37" s="1116" t="s">
        <v>325</v>
      </c>
      <c r="D37" s="1101" t="str">
        <f>IF('Assets-Liab 5-6'!F4&lt;-0.49, "ERROR!","OK")</f>
        <v>OK</v>
      </c>
    </row>
    <row r="38" spans="1:12" x14ac:dyDescent="0.2">
      <c r="A38" s="1115"/>
      <c r="B38" s="1138"/>
      <c r="C38" s="1116" t="s">
        <v>326</v>
      </c>
      <c r="D38" s="1101" t="str">
        <f>IF('Assets-Liab 5-6'!G4&lt;-0.49, "ERROR!","OK")</f>
        <v>OK</v>
      </c>
    </row>
    <row r="39" spans="1:12" x14ac:dyDescent="0.2">
      <c r="A39" s="1115"/>
      <c r="B39" s="1138"/>
      <c r="C39" s="1116" t="s">
        <v>815</v>
      </c>
      <c r="D39" s="1101" t="str">
        <f>IF('Assets-Liab 5-6'!H4&lt;-0.49, "ERROR!","OK")</f>
        <v>OK</v>
      </c>
    </row>
    <row r="40" spans="1:12" x14ac:dyDescent="0.2">
      <c r="A40" s="1115"/>
      <c r="B40" s="1138"/>
      <c r="C40" s="1116" t="s">
        <v>327</v>
      </c>
      <c r="D40" s="1101" t="str">
        <f>IF('Assets-Liab 5-6'!I4&lt;-0.49, "ERROR!","OK")</f>
        <v>OK</v>
      </c>
    </row>
    <row r="41" spans="1:12" x14ac:dyDescent="0.2">
      <c r="A41" s="1115"/>
      <c r="B41" s="1138"/>
      <c r="C41" s="1116" t="s">
        <v>816</v>
      </c>
      <c r="D41" s="1101" t="str">
        <f>IF('Assets-Liab 5-6'!J4&lt;-0.49, "ERROR!","OK")</f>
        <v>OK</v>
      </c>
    </row>
    <row r="42" spans="1:12" x14ac:dyDescent="0.2">
      <c r="A42" s="1115"/>
      <c r="B42" s="1138"/>
      <c r="C42" s="1116" t="s">
        <v>328</v>
      </c>
      <c r="D42" s="1101" t="str">
        <f>IF('Assets-Liab 5-6'!K4&lt;-0.49, "ERROR!","OK")</f>
        <v>OK</v>
      </c>
    </row>
    <row r="43" spans="1:12" x14ac:dyDescent="0.2">
      <c r="A43" s="1117"/>
      <c r="B43" s="1118">
        <f>B33+1</f>
        <v>5</v>
      </c>
      <c r="C43" s="2496" t="s">
        <v>557</v>
      </c>
      <c r="D43" s="2497"/>
    </row>
    <row r="44" spans="1:12" x14ac:dyDescent="0.2">
      <c r="A44" s="1117"/>
      <c r="B44" s="1119"/>
      <c r="C44" s="1120" t="s">
        <v>1402</v>
      </c>
      <c r="D44" s="1121" t="str">
        <f>IF(SUM('Assets-Liab 5-6'!C13)&lt;&gt;SUM('Assets-Liab 5-6'!C41),"ERROR!","OK")</f>
        <v>OK</v>
      </c>
    </row>
    <row r="45" spans="1:12" x14ac:dyDescent="0.2">
      <c r="A45" s="1117"/>
      <c r="B45" s="1119"/>
      <c r="C45" s="1120" t="s">
        <v>1403</v>
      </c>
      <c r="D45" s="1121" t="str">
        <f>IF(SUM('Assets-Liab 5-6'!D13)&lt;&gt;SUM('Assets-Liab 5-6'!D41),"ERROR!","OK")</f>
        <v>OK</v>
      </c>
    </row>
    <row r="46" spans="1:12" x14ac:dyDescent="0.2">
      <c r="A46" s="1117"/>
      <c r="B46" s="1119"/>
      <c r="C46" s="1120" t="s">
        <v>1404</v>
      </c>
      <c r="D46" s="1121" t="str">
        <f>IF(SUM('Assets-Liab 5-6'!E13)&lt;&gt;SUM('Assets-Liab 5-6'!E41),"ERROR!","OK")</f>
        <v>OK</v>
      </c>
    </row>
    <row r="47" spans="1:12" x14ac:dyDescent="0.2">
      <c r="A47" s="1117"/>
      <c r="B47" s="1119"/>
      <c r="C47" s="1120" t="s">
        <v>1405</v>
      </c>
      <c r="D47" s="1121" t="str">
        <f>IF(SUM('Assets-Liab 5-6'!F13)&lt;&gt;SUM('Assets-Liab 5-6'!F41),"ERROR!","OK")</f>
        <v>OK</v>
      </c>
    </row>
    <row r="48" spans="1:12" x14ac:dyDescent="0.2">
      <c r="A48" s="1117"/>
      <c r="B48" s="1119"/>
      <c r="C48" s="1120" t="s">
        <v>1406</v>
      </c>
      <c r="D48" s="1121" t="str">
        <f>IF(SUM('Assets-Liab 5-6'!G13)&lt;&gt;SUM('Assets-Liab 5-6'!G41),"ERROR!","OK")</f>
        <v>OK</v>
      </c>
    </row>
    <row r="49" spans="1:4" x14ac:dyDescent="0.2">
      <c r="A49" s="1117"/>
      <c r="B49" s="1119"/>
      <c r="C49" s="1120" t="s">
        <v>1407</v>
      </c>
      <c r="D49" s="1121" t="str">
        <f>IF(SUM('Assets-Liab 5-6'!H13)&lt;&gt;SUM('Assets-Liab 5-6'!H41),"ERROR!","OK")</f>
        <v>OK</v>
      </c>
    </row>
    <row r="50" spans="1:4" x14ac:dyDescent="0.2">
      <c r="A50" s="1117"/>
      <c r="B50" s="1119"/>
      <c r="C50" s="1120" t="s">
        <v>1408</v>
      </c>
      <c r="D50" s="1121" t="str">
        <f>IF(SUM('Assets-Liab 5-6'!I13)&lt;&gt;SUM('Assets-Liab 5-6'!I41),"ERROR!","OK")</f>
        <v>OK</v>
      </c>
    </row>
    <row r="51" spans="1:4" x14ac:dyDescent="0.2">
      <c r="A51" s="1117"/>
      <c r="B51" s="1119"/>
      <c r="C51" s="1120" t="s">
        <v>1409</v>
      </c>
      <c r="D51" s="1121" t="str">
        <f>IF(SUM('Assets-Liab 5-6'!J13)&lt;&gt;SUM('Assets-Liab 5-6'!J41),"ERROR!","OK")</f>
        <v>OK</v>
      </c>
    </row>
    <row r="52" spans="1:4" x14ac:dyDescent="0.2">
      <c r="A52" s="1117"/>
      <c r="B52" s="1119"/>
      <c r="C52" s="1120" t="s">
        <v>1410</v>
      </c>
      <c r="D52" s="1121" t="str">
        <f>IF(SUM('Assets-Liab 5-6'!K13)&lt;&gt;SUM('Assets-Liab 5-6'!K41),"ERROR!","OK")</f>
        <v>OK</v>
      </c>
    </row>
    <row r="53" spans="1:4" x14ac:dyDescent="0.2">
      <c r="A53" s="1117"/>
      <c r="B53" s="1119"/>
      <c r="C53" s="1120" t="s">
        <v>1411</v>
      </c>
      <c r="D53" s="1121" t="str">
        <f>IF(SUM('Assets-Liab 5-6'!L13)&lt;&gt;('Assets-Liab 5-6'!L41),"ERROR!","OK")</f>
        <v>OK</v>
      </c>
    </row>
    <row r="54" spans="1:4" x14ac:dyDescent="0.2">
      <c r="A54" s="1117"/>
      <c r="B54" s="1119"/>
      <c r="C54" s="1120" t="s">
        <v>1412</v>
      </c>
      <c r="D54" s="1121" t="str">
        <f>IF(SUM('Assets-Liab 5-6'!M23)&lt;&gt;('Assets-Liab 5-6'!M41),"ERROR!","OK")</f>
        <v>OK</v>
      </c>
    </row>
    <row r="55" spans="1:4" x14ac:dyDescent="0.2">
      <c r="A55" s="1117"/>
      <c r="B55" s="1119"/>
      <c r="C55" s="1120" t="s">
        <v>1413</v>
      </c>
      <c r="D55" s="1121" t="str">
        <f>IF(SUM('Assets-Liab 5-6'!N23)&lt;&gt;('Assets-Liab 5-6'!N41),"ERROR!","OK")</f>
        <v>OK</v>
      </c>
    </row>
    <row r="56" spans="1:4" x14ac:dyDescent="0.2">
      <c r="A56" s="1098"/>
      <c r="B56" s="1118">
        <f>B43+1</f>
        <v>6</v>
      </c>
      <c r="C56" s="2488" t="s">
        <v>817</v>
      </c>
      <c r="D56" s="2489"/>
    </row>
    <row r="57" spans="1:4" s="1114" customFormat="1" x14ac:dyDescent="0.2">
      <c r="A57" s="1098"/>
      <c r="B57" s="1108"/>
      <c r="C57" s="1116" t="s">
        <v>1414</v>
      </c>
      <c r="D57" s="1122" t="str">
        <f>IF('Assets-Liab 5-6'!C38+'Assets-Liab 5-6'!C39='Acct Summary 7-8'!C81,"OK","ERROR!")</f>
        <v>OK</v>
      </c>
    </row>
    <row r="58" spans="1:4" x14ac:dyDescent="0.2">
      <c r="A58" s="1098"/>
      <c r="B58" s="1108"/>
      <c r="C58" s="1116" t="s">
        <v>1415</v>
      </c>
      <c r="D58" s="1122" t="str">
        <f>IF((('Assets-Liab 5-6'!D38+'Assets-Liab 5-6'!D39) ='Acct Summary 7-8'!D81), "OK", "ERROR!" )</f>
        <v>OK</v>
      </c>
    </row>
    <row r="59" spans="1:4" s="1114" customFormat="1" x14ac:dyDescent="0.2">
      <c r="A59" s="1098"/>
      <c r="B59" s="1108"/>
      <c r="C59" s="1116" t="s">
        <v>1416</v>
      </c>
      <c r="D59" s="1122" t="str">
        <f>IF((('Assets-Liab 5-6'!E38 + 'Assets-Liab 5-6'!E39) ='Acct Summary 7-8'!E81), "OK", "ERROR!" )</f>
        <v>OK</v>
      </c>
    </row>
    <row r="60" spans="1:4" x14ac:dyDescent="0.2">
      <c r="A60" s="1098"/>
      <c r="B60" s="1108"/>
      <c r="C60" s="1116" t="s">
        <v>1417</v>
      </c>
      <c r="D60" s="1122" t="str">
        <f>IF((('Assets-Liab 5-6'!F38 + 'Assets-Liab 5-6'!F39) ='Acct Summary 7-8'!F81), "OK", "ERROR!" )</f>
        <v>OK</v>
      </c>
    </row>
    <row r="61" spans="1:4" ht="12.75" customHeight="1" x14ac:dyDescent="0.2">
      <c r="A61" s="1098"/>
      <c r="B61" s="1108"/>
      <c r="C61" s="1116" t="s">
        <v>1430</v>
      </c>
      <c r="D61" s="1122" t="str">
        <f>IF((('Assets-Liab 5-6'!G38 + 'Assets-Liab 5-6'!G39) ='Acct Summary 7-8'!G81), "OK", "ERROR!" )</f>
        <v>OK</v>
      </c>
    </row>
    <row r="62" spans="1:4" x14ac:dyDescent="0.2">
      <c r="A62" s="1098"/>
      <c r="B62" s="1108"/>
      <c r="C62" s="1116" t="s">
        <v>1418</v>
      </c>
      <c r="D62" s="1122" t="str">
        <f>IF((('Assets-Liab 5-6'!H38 + 'Assets-Liab 5-6'!H39) ='Acct Summary 7-8'!H81), "OK", "ERROR!" )</f>
        <v>OK</v>
      </c>
    </row>
    <row r="63" spans="1:4" ht="12.75" customHeight="1" x14ac:dyDescent="0.2">
      <c r="A63" s="1098"/>
      <c r="B63" s="1108"/>
      <c r="C63" s="1116" t="s">
        <v>1419</v>
      </c>
      <c r="D63" s="1122" t="str">
        <f>IF((('Assets-Liab 5-6'!I38 + 'Assets-Liab 5-6'!I39) ='Acct Summary 7-8'!I81), "OK", "ERROR!" )</f>
        <v>OK</v>
      </c>
    </row>
    <row r="64" spans="1:4" x14ac:dyDescent="0.2">
      <c r="A64" s="1098"/>
      <c r="B64" s="1108"/>
      <c r="C64" s="1116" t="s">
        <v>1420</v>
      </c>
      <c r="D64" s="1122" t="str">
        <f>IF((('Assets-Liab 5-6'!J38 + 'Assets-Liab 5-6'!J39) ='Acct Summary 7-8'!J81), "OK", "ERROR!" )</f>
        <v>OK</v>
      </c>
    </row>
    <row r="65" spans="1:4" x14ac:dyDescent="0.2">
      <c r="A65" s="1115"/>
      <c r="B65" s="1108"/>
      <c r="C65" s="1116" t="s">
        <v>1431</v>
      </c>
      <c r="D65" s="1122" t="str">
        <f>IF((('Assets-Liab 5-6'!K38 + 'Assets-Liab 5-6'!K39) ='Acct Summary 7-8'!K81), "OK", "ERROR!" )</f>
        <v>OK</v>
      </c>
    </row>
    <row r="66" spans="1:4" x14ac:dyDescent="0.2">
      <c r="A66" s="1096"/>
      <c r="B66" s="1138">
        <f>B56+1+1</f>
        <v>8</v>
      </c>
      <c r="C66" s="1144" t="s">
        <v>2044</v>
      </c>
      <c r="D66" s="1123"/>
    </row>
    <row r="67" spans="1:4" x14ac:dyDescent="0.2">
      <c r="A67" s="1117"/>
      <c r="B67" s="1138"/>
      <c r="C67" s="1145" t="s">
        <v>1079</v>
      </c>
      <c r="D67" s="1123"/>
    </row>
    <row r="68" spans="1:4" x14ac:dyDescent="0.2">
      <c r="A68" s="1098"/>
      <c r="B68" s="1108"/>
      <c r="C68" s="1100" t="s">
        <v>2045</v>
      </c>
      <c r="D68" s="1122" t="str">
        <f>IF('Short-Term Long-Term Debt 24'!F49=SUM(,'Acct Summary 7-8'!C33:K33),"OK","ERROR!")</f>
        <v>OK</v>
      </c>
    </row>
    <row r="69" spans="1:4" x14ac:dyDescent="0.2">
      <c r="A69" s="1098"/>
      <c r="B69" s="1108"/>
      <c r="C69" s="1100" t="s">
        <v>2046</v>
      </c>
      <c r="D69" s="1122" t="str">
        <f>IF('Expenditures 15-22'!H170&lt;&gt;'Short-Term Long-Term Debt 24'!H49,"ERROR!","OK")</f>
        <v>OK</v>
      </c>
    </row>
    <row r="70" spans="1:4" x14ac:dyDescent="0.2">
      <c r="A70" s="1096"/>
      <c r="B70" s="1118">
        <f>B66+1</f>
        <v>9</v>
      </c>
      <c r="C70" s="2488" t="s">
        <v>1795</v>
      </c>
      <c r="D70" s="2489"/>
    </row>
    <row r="71" spans="1:4" x14ac:dyDescent="0.2">
      <c r="A71" s="1096"/>
      <c r="B71" s="1118"/>
      <c r="C71" s="1100" t="s">
        <v>1421</v>
      </c>
      <c r="D71" s="1124" t="str">
        <f>IF(SUM('Acct Summary 7-8'!C27:K27) =SUM( 'Acct Summary 7-8'!C49:K49),"OK", "ERROR")</f>
        <v>OK</v>
      </c>
    </row>
    <row r="72" spans="1:4" x14ac:dyDescent="0.2">
      <c r="A72" s="1098"/>
      <c r="B72" s="1108"/>
      <c r="C72" s="1116" t="s">
        <v>1422</v>
      </c>
      <c r="D72" s="1122" t="str">
        <f>IF(SUM('Acct Summary 7-8'!C28:K28)=SUM('Acct Summary 7-8'!C50:K50),"OK","ERROR!")</f>
        <v>OK</v>
      </c>
    </row>
    <row r="73" spans="1:4" ht="24" x14ac:dyDescent="0.2">
      <c r="A73" s="1125"/>
      <c r="B73" s="1108"/>
      <c r="C73" s="1116" t="s">
        <v>1796</v>
      </c>
      <c r="D73" s="1124" t="str">
        <f>IF(SUM('Acct Summary 7-8'!C42:K42)&gt;=SUM( 'Acct Summary 7-8'!C74:K74),"OK", "ERROR")</f>
        <v>OK</v>
      </c>
    </row>
    <row r="74" spans="1:4" x14ac:dyDescent="0.2">
      <c r="A74" s="1096"/>
      <c r="B74" s="1118">
        <f>B70+1</f>
        <v>10</v>
      </c>
      <c r="C74" s="1112" t="s">
        <v>2047</v>
      </c>
      <c r="D74" s="1126"/>
    </row>
    <row r="75" spans="1:4" x14ac:dyDescent="0.2">
      <c r="A75" s="1098"/>
      <c r="B75" s="1108"/>
      <c r="C75" s="1116" t="s">
        <v>1444</v>
      </c>
      <c r="D75" s="1122" t="str">
        <f>IF(SUM('Assets-Liab 5-6'!C38:H38)&gt;=SUM('Rest Tax Levies-Tort Im 25'!G25:K25),"OK","ERROR")</f>
        <v>OK</v>
      </c>
    </row>
    <row r="76" spans="1:4" x14ac:dyDescent="0.2">
      <c r="A76" s="1098"/>
      <c r="B76" s="1108"/>
      <c r="C76" s="1116" t="s">
        <v>1490</v>
      </c>
      <c r="D76" s="1122" t="str">
        <f>IF(SUM('Assets-Liab 5-6'!C39:K39)&gt;0,"OK","ENTRY IS REQUIRED!")</f>
        <v>OK</v>
      </c>
    </row>
    <row r="77" spans="1:4" x14ac:dyDescent="0.2">
      <c r="A77" s="1098"/>
      <c r="B77" s="1127">
        <f>B74+1</f>
        <v>11</v>
      </c>
      <c r="C77" s="1172" t="s">
        <v>1445</v>
      </c>
      <c r="D77" s="1122"/>
    </row>
    <row r="78" spans="1:4" x14ac:dyDescent="0.2">
      <c r="A78" s="1098"/>
      <c r="B78" s="1108"/>
      <c r="C78" s="1116" t="s">
        <v>2048</v>
      </c>
      <c r="D78" s="1122" t="str">
        <f>IF(ISNUMBER('Acct Summary 7-8'!C9),"OK","ENTRY IS REQUIRED!")</f>
        <v>OK</v>
      </c>
    </row>
    <row r="79" spans="1:4" x14ac:dyDescent="0.2">
      <c r="A79" s="1117"/>
      <c r="B79" s="1118">
        <f>B74+1+1</f>
        <v>12</v>
      </c>
      <c r="C79" s="1128" t="s">
        <v>2013</v>
      </c>
      <c r="D79" s="1129" t="str">
        <f>IF(OR(COVER!$B$6="X",'PCTC-OEPP 27-28'!F78&gt;0),"OK","PLEASE ENTER 9 MO ADA.")</f>
        <v>OK</v>
      </c>
    </row>
    <row r="80" spans="1:4" x14ac:dyDescent="0.2">
      <c r="A80" s="1096"/>
      <c r="B80" s="1118">
        <v>13</v>
      </c>
      <c r="C80" s="1128" t="s">
        <v>2049</v>
      </c>
      <c r="D80" s="1129" t="str">
        <f>IF('Contracts Paid in CY 29'!D141&gt;0,"OK","PLEASE ENTER CONTRACTS PAID IN CURRENT YEAR.")</f>
        <v>OK</v>
      </c>
    </row>
    <row r="81" spans="1:4" x14ac:dyDescent="0.2">
      <c r="A81" s="1096"/>
      <c r="B81" s="1118">
        <v>14</v>
      </c>
      <c r="C81" s="1128" t="s">
        <v>1496</v>
      </c>
      <c r="D81" s="1121" t="str">
        <f>IF('Shared Outsourced Services 31'!B8="X","OK",IF('Shared Outsourced Services 31'!K34&gt;0,"OK","ENTRY REQUIRED!"))</f>
        <v>OK</v>
      </c>
    </row>
    <row r="82" spans="1:4" x14ac:dyDescent="0.2">
      <c r="A82" s="1117"/>
      <c r="B82" s="1118">
        <v>15</v>
      </c>
      <c r="C82" s="1128" t="s">
        <v>1495</v>
      </c>
      <c r="D82" s="1130"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53090108002</v>
      </c>
    </row>
    <row r="3" spans="1:2" x14ac:dyDescent="0.2">
      <c r="A3" t="s">
        <v>1013</v>
      </c>
      <c r="B3" s="138" t="str">
        <f>COVER!A15</f>
        <v>Tazewell</v>
      </c>
    </row>
    <row r="4" spans="1:2" x14ac:dyDescent="0.2">
      <c r="A4" t="s">
        <v>1064</v>
      </c>
      <c r="B4" s="138" t="str">
        <f>COVER!A17</f>
        <v>Pekin PSD 108</v>
      </c>
    </row>
    <row r="5" spans="1:2" x14ac:dyDescent="0.2">
      <c r="A5" t="s">
        <v>728</v>
      </c>
      <c r="B5" s="138" t="str">
        <f>COVER!A38</f>
        <v>Bill Link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Jason A. Hohulin, CPA</v>
      </c>
    </row>
    <row r="18" spans="1:2" x14ac:dyDescent="0.2">
      <c r="A18" t="s">
        <v>1212</v>
      </c>
      <c r="B18" s="138" t="str">
        <f>COVER!T17</f>
        <v>4200 N Knoxville Ave</v>
      </c>
    </row>
    <row r="19" spans="1:2" x14ac:dyDescent="0.2">
      <c r="A19" t="s">
        <v>941</v>
      </c>
      <c r="B19" s="138" t="str">
        <f>COVER!T25</f>
        <v>jhohulin@gorenzcpa.com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36161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38143</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1110135</v>
      </c>
      <c r="C91" s="2" t="s">
        <v>594</v>
      </c>
      <c r="D91" s="2" t="str">
        <f t="shared" si="0"/>
        <v>Error?</v>
      </c>
    </row>
    <row r="92" spans="1:4" x14ac:dyDescent="0.2">
      <c r="A92" s="5">
        <v>31</v>
      </c>
      <c r="B92" s="138">
        <f>'Assets-Liab 5-6'!C39</f>
        <v>-1071992</v>
      </c>
      <c r="D92" s="2" t="str">
        <f t="shared" si="0"/>
        <v>Error?</v>
      </c>
    </row>
    <row r="93" spans="1:4" x14ac:dyDescent="0.2">
      <c r="A93" s="5">
        <v>32</v>
      </c>
      <c r="B93" s="138">
        <f>'Assets-Liab 5-6'!C41</f>
        <v>38143</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121363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121363</v>
      </c>
      <c r="D123" s="2" t="str">
        <f t="shared" si="0"/>
        <v>Error?</v>
      </c>
    </row>
    <row r="124" spans="1:4" x14ac:dyDescent="0.2">
      <c r="A124" s="5">
        <v>63</v>
      </c>
      <c r="B124" s="138">
        <f>'Assets-Liab 5-6'!D41</f>
        <v>121363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22</v>
      </c>
      <c r="D129" s="2" t="str">
        <f t="shared" si="1"/>
        <v>Error?</v>
      </c>
    </row>
    <row r="130" spans="1:4" x14ac:dyDescent="0.2">
      <c r="A130" s="5">
        <v>69</v>
      </c>
      <c r="B130" s="138">
        <f>'Assets-Liab 5-6'!E12</f>
        <v>0</v>
      </c>
      <c r="D130" s="2" t="str">
        <f t="shared" si="1"/>
        <v>Error?</v>
      </c>
    </row>
    <row r="131" spans="1:4" x14ac:dyDescent="0.2">
      <c r="A131" s="5">
        <v>70</v>
      </c>
      <c r="B131" s="138">
        <f>'Assets-Liab 5-6'!E13</f>
        <v>166042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166042</v>
      </c>
      <c r="D140" s="2" t="str">
        <f t="shared" si="1"/>
        <v>Error?</v>
      </c>
    </row>
    <row r="141" spans="1:4" x14ac:dyDescent="0.2">
      <c r="A141" s="5">
        <v>80</v>
      </c>
      <c r="B141" s="138">
        <f>'Assets-Liab 5-6'!E41</f>
        <v>166042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297327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480000</v>
      </c>
      <c r="C169" s="2" t="s">
        <v>594</v>
      </c>
      <c r="D169" s="2" t="str">
        <f t="shared" si="1"/>
        <v>Error?</v>
      </c>
    </row>
    <row r="170" spans="1:4" x14ac:dyDescent="0.2">
      <c r="A170" s="5">
        <v>109</v>
      </c>
      <c r="B170" s="138">
        <f>'Assets-Liab 5-6'!F39</f>
        <v>-182673</v>
      </c>
      <c r="D170" s="2" t="str">
        <f t="shared" si="1"/>
        <v>Error?</v>
      </c>
    </row>
    <row r="171" spans="1:4" x14ac:dyDescent="0.2">
      <c r="A171" s="5">
        <v>110</v>
      </c>
      <c r="B171" s="138">
        <f>'Assets-Liab 5-6'!F41</f>
        <v>297327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29</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241351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228691</v>
      </c>
      <c r="D189" s="2" t="str">
        <f t="shared" si="1"/>
        <v>Error?</v>
      </c>
    </row>
    <row r="190" spans="1:4" x14ac:dyDescent="0.2">
      <c r="A190" s="5">
        <v>129</v>
      </c>
      <c r="B190" s="138">
        <f>'Assets-Liab 5-6'!G41</f>
        <v>241351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378038</v>
      </c>
      <c r="D273" s="2" t="str">
        <f t="shared" si="3"/>
        <v>Error?</v>
      </c>
    </row>
    <row r="274" spans="1:4" x14ac:dyDescent="0.2">
      <c r="A274" s="5">
        <v>213</v>
      </c>
      <c r="B274" s="138">
        <f>'Assets-Liab 5-6'!M17</f>
        <v>60716118</v>
      </c>
      <c r="D274" s="2" t="str">
        <f t="shared" si="3"/>
        <v>Error?</v>
      </c>
    </row>
    <row r="275" spans="1:4" x14ac:dyDescent="0.2">
      <c r="A275" s="5">
        <v>214</v>
      </c>
      <c r="B275" s="138">
        <f>'Assets-Liab 5-6'!M18</f>
        <v>248387</v>
      </c>
      <c r="D275" s="2" t="str">
        <f t="shared" si="3"/>
        <v>Error?</v>
      </c>
    </row>
    <row r="276" spans="1:4" x14ac:dyDescent="0.2">
      <c r="A276" s="5">
        <v>215</v>
      </c>
      <c r="B276" s="138">
        <f>'Assets-Liab 5-6'!M19</f>
        <v>3848037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65190580</v>
      </c>
      <c r="C279" s="2" t="s">
        <v>594</v>
      </c>
      <c r="D279" s="2" t="str">
        <f t="shared" si="3"/>
        <v>Error?</v>
      </c>
    </row>
    <row r="280" spans="1:4" x14ac:dyDescent="0.2">
      <c r="A280" s="5">
        <v>219</v>
      </c>
      <c r="B280" s="138">
        <f>'Assets-Liab 5-6'!M40</f>
        <v>65190580</v>
      </c>
      <c r="D280" s="2" t="str">
        <f t="shared" si="3"/>
        <v>Error?</v>
      </c>
    </row>
    <row r="281" spans="1:4" x14ac:dyDescent="0.2">
      <c r="A281" s="5">
        <v>220</v>
      </c>
      <c r="B281" s="138">
        <f>'Assets-Liab 5-6'!M41</f>
        <v>65190580</v>
      </c>
      <c r="C281" s="2" t="s">
        <v>594</v>
      </c>
      <c r="D281" s="2" t="str">
        <f t="shared" si="3"/>
        <v>Error?</v>
      </c>
    </row>
    <row r="282" spans="1:4" x14ac:dyDescent="0.2">
      <c r="A282" s="5">
        <v>221</v>
      </c>
      <c r="B282" s="138">
        <f>'Assets-Liab 5-6'!N21</f>
        <v>166042</v>
      </c>
      <c r="D282" s="2" t="str">
        <f t="shared" si="3"/>
        <v>Error?</v>
      </c>
    </row>
    <row r="283" spans="1:4" x14ac:dyDescent="0.2">
      <c r="A283" s="5">
        <v>222</v>
      </c>
      <c r="B283" s="138">
        <f>'Assets-Liab 5-6'!N22</f>
        <v>4031805</v>
      </c>
      <c r="D283" s="2" t="str">
        <f t="shared" si="3"/>
        <v>Error?</v>
      </c>
    </row>
    <row r="284" spans="1:4" x14ac:dyDescent="0.2">
      <c r="A284" s="5">
        <v>223</v>
      </c>
      <c r="B284" s="138">
        <f>'Assets-Liab 5-6'!N23</f>
        <v>4197847</v>
      </c>
      <c r="C284" s="2" t="s">
        <v>594</v>
      </c>
      <c r="D284" s="2" t="str">
        <f t="shared" si="3"/>
        <v>Error?</v>
      </c>
    </row>
    <row r="285" spans="1:4" x14ac:dyDescent="0.2">
      <c r="A285" s="5">
        <v>224</v>
      </c>
      <c r="B285" s="138">
        <f>'Assets-Liab 5-6'!N36</f>
        <v>4197847</v>
      </c>
      <c r="D285" s="2" t="str">
        <f t="shared" si="3"/>
        <v>Error?</v>
      </c>
    </row>
    <row r="286" spans="1:4" x14ac:dyDescent="0.2">
      <c r="A286" s="10">
        <v>225</v>
      </c>
      <c r="D286" s="2" t="str">
        <f t="shared" si="3"/>
        <v>OK</v>
      </c>
    </row>
    <row r="287" spans="1:4" x14ac:dyDescent="0.2">
      <c r="A287" s="5">
        <v>226</v>
      </c>
      <c r="B287" s="138">
        <f>'Assets-Liab 5-6'!N37</f>
        <v>4197847</v>
      </c>
      <c r="C287" s="2" t="s">
        <v>594</v>
      </c>
      <c r="D287" s="2" t="str">
        <f t="shared" si="3"/>
        <v>Error?</v>
      </c>
    </row>
    <row r="288" spans="1:4" x14ac:dyDescent="0.2">
      <c r="A288" s="5">
        <v>227</v>
      </c>
      <c r="B288" s="138">
        <f>'Assets-Liab 5-6'!N41</f>
        <v>4197847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10411056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337124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14834966</v>
      </c>
      <c r="C720" s="2" t="s">
        <v>594</v>
      </c>
      <c r="D720" s="2" t="str">
        <f t="shared" si="10"/>
        <v>Error?</v>
      </c>
    </row>
    <row r="721" spans="1:4" x14ac:dyDescent="0.2">
      <c r="A721" s="5">
        <v>660</v>
      </c>
      <c r="B721" s="138">
        <f>'Expenditures 15-22'!C36</f>
        <v>150146</v>
      </c>
      <c r="D721" s="2" t="str">
        <f t="shared" si="10"/>
        <v>Error?</v>
      </c>
    </row>
    <row r="722" spans="1:4" x14ac:dyDescent="0.2">
      <c r="A722" s="5">
        <v>661</v>
      </c>
      <c r="B722" s="138">
        <f>'Expenditures 15-22'!C37</f>
        <v>372467</v>
      </c>
      <c r="D722" s="2" t="str">
        <f t="shared" si="10"/>
        <v>Error?</v>
      </c>
    </row>
    <row r="723" spans="1:4" x14ac:dyDescent="0.2">
      <c r="A723" s="5">
        <v>662</v>
      </c>
      <c r="B723" s="138">
        <f>'Expenditures 15-22'!C38</f>
        <v>148252</v>
      </c>
      <c r="D723" s="2" t="str">
        <f t="shared" si="10"/>
        <v>Error?</v>
      </c>
    </row>
    <row r="724" spans="1:4" x14ac:dyDescent="0.2">
      <c r="A724" s="5">
        <v>663</v>
      </c>
      <c r="B724" s="138">
        <f>'Expenditures 15-22'!C39</f>
        <v>138351</v>
      </c>
      <c r="D724" s="2" t="str">
        <f t="shared" si="10"/>
        <v>Error?</v>
      </c>
    </row>
    <row r="725" spans="1:4" x14ac:dyDescent="0.2">
      <c r="A725" s="5">
        <v>664</v>
      </c>
      <c r="B725" s="138">
        <f>'Expenditures 15-22'!C40</f>
        <v>684048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1493264</v>
      </c>
      <c r="C727" s="2" t="s">
        <v>594</v>
      </c>
      <c r="D727" s="2" t="str">
        <f t="shared" si="10"/>
        <v>Error?</v>
      </c>
    </row>
    <row r="728" spans="1:4" x14ac:dyDescent="0.2">
      <c r="A728" s="5">
        <v>667</v>
      </c>
      <c r="B728" s="138">
        <f>'Expenditures 15-22'!C44</f>
        <v>397370</v>
      </c>
      <c r="D728" s="2" t="str">
        <f t="shared" si="10"/>
        <v>Error?</v>
      </c>
    </row>
    <row r="729" spans="1:4" x14ac:dyDescent="0.2">
      <c r="A729" s="5">
        <v>668</v>
      </c>
      <c r="B729" s="138">
        <f>'Expenditures 15-22'!C45</f>
        <v>212054</v>
      </c>
      <c r="D729" s="2" t="str">
        <f t="shared" si="10"/>
        <v>Error?</v>
      </c>
    </row>
    <row r="730" spans="1:4" x14ac:dyDescent="0.2">
      <c r="A730" s="5">
        <v>669</v>
      </c>
      <c r="B730" s="138">
        <f>'Expenditures 15-22'!C46</f>
        <v>42382</v>
      </c>
      <c r="D730" s="2" t="str">
        <f t="shared" si="10"/>
        <v>Error?</v>
      </c>
    </row>
    <row r="731" spans="1:4" x14ac:dyDescent="0.2">
      <c r="A731" s="5">
        <v>670</v>
      </c>
      <c r="B731" s="138">
        <f>'Expenditures 15-22'!C47</f>
        <v>651806</v>
      </c>
      <c r="C731" s="2" t="s">
        <v>594</v>
      </c>
      <c r="D731" s="2" t="str">
        <f t="shared" si="10"/>
        <v>Error?</v>
      </c>
    </row>
    <row r="732" spans="1:4" x14ac:dyDescent="0.2">
      <c r="A732" s="5">
        <v>671</v>
      </c>
      <c r="B732" s="138">
        <f>'Expenditures 15-22'!C49</f>
        <v>5000</v>
      </c>
      <c r="D732" s="2" t="str">
        <f t="shared" si="10"/>
        <v>Error?</v>
      </c>
    </row>
    <row r="733" spans="1:4" x14ac:dyDescent="0.2">
      <c r="A733" s="5">
        <v>672</v>
      </c>
      <c r="B733" s="138">
        <f>'Expenditures 15-22'!C50</f>
        <v>409632</v>
      </c>
      <c r="D733" s="2" t="str">
        <f t="shared" si="10"/>
        <v>Error?</v>
      </c>
    </row>
    <row r="734" spans="1:4" x14ac:dyDescent="0.2">
      <c r="A734" s="5">
        <v>673</v>
      </c>
      <c r="B734" s="138">
        <f>'Expenditures 15-22'!C53</f>
        <v>741237</v>
      </c>
      <c r="C734" s="2" t="s">
        <v>594</v>
      </c>
      <c r="D734" s="2" t="str">
        <f t="shared" si="10"/>
        <v>Error?</v>
      </c>
    </row>
    <row r="735" spans="1:4" x14ac:dyDescent="0.2">
      <c r="A735" s="5">
        <v>674</v>
      </c>
      <c r="B735" s="138">
        <f>'Expenditures 15-22'!C55</f>
        <v>2103269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2103269</v>
      </c>
      <c r="C737" s="2" t="s">
        <v>594</v>
      </c>
      <c r="D737" s="2" t="str">
        <f t="shared" si="10"/>
        <v>Error?</v>
      </c>
    </row>
    <row r="738" spans="1:4" x14ac:dyDescent="0.2">
      <c r="A738" s="5">
        <v>677</v>
      </c>
      <c r="B738" s="138">
        <f>'Expenditures 15-22'!C59</f>
        <v>103731</v>
      </c>
      <c r="D738" s="2" t="str">
        <f t="shared" si="10"/>
        <v>Error?</v>
      </c>
    </row>
    <row r="739" spans="1:4" x14ac:dyDescent="0.2">
      <c r="A739" s="5">
        <v>678</v>
      </c>
      <c r="B739" s="138">
        <f>'Expenditures 15-22'!C60</f>
        <v>187620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291351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181521</v>
      </c>
      <c r="D749" s="2" t="str">
        <f t="shared" si="10"/>
        <v>Error?</v>
      </c>
    </row>
    <row r="750" spans="1:4" x14ac:dyDescent="0.2">
      <c r="A750" s="10">
        <v>689</v>
      </c>
      <c r="D750" s="2" t="str">
        <f t="shared" si="10"/>
        <v>OK</v>
      </c>
    </row>
    <row r="751" spans="1:4" x14ac:dyDescent="0.2">
      <c r="A751" s="5">
        <v>690</v>
      </c>
      <c r="B751" s="138">
        <f>'Expenditures 15-22'!C71</f>
        <v>348561</v>
      </c>
      <c r="D751" s="2" t="str">
        <f t="shared" si="10"/>
        <v>Error?</v>
      </c>
    </row>
    <row r="752" spans="1:4" x14ac:dyDescent="0.2">
      <c r="A752" s="10">
        <v>691</v>
      </c>
      <c r="D752" s="2" t="str">
        <f t="shared" si="10"/>
        <v>OK</v>
      </c>
    </row>
    <row r="753" spans="1:4" x14ac:dyDescent="0.2">
      <c r="A753" s="5">
        <v>692</v>
      </c>
      <c r="B753" s="138">
        <f>'Expenditures 15-22'!C72</f>
        <v>530082</v>
      </c>
      <c r="C753" s="2" t="s">
        <v>594</v>
      </c>
      <c r="D753" s="2" t="str">
        <f t="shared" si="10"/>
        <v>Error?</v>
      </c>
    </row>
    <row r="754" spans="1:4" x14ac:dyDescent="0.2">
      <c r="A754" s="5">
        <v>693</v>
      </c>
      <c r="B754" s="138">
        <f>'Expenditures 15-22'!C73</f>
        <v>33714</v>
      </c>
      <c r="D754" s="2" t="str">
        <f t="shared" si="10"/>
        <v>Error?</v>
      </c>
    </row>
    <row r="755" spans="1:4" x14ac:dyDescent="0.2">
      <c r="A755" s="5">
        <v>694</v>
      </c>
      <c r="B755" s="138">
        <f>'Expenditures 15-22'!C74</f>
        <v>5844723</v>
      </c>
      <c r="C755" s="2" t="s">
        <v>594</v>
      </c>
      <c r="D755" s="2" t="str">
        <f t="shared" si="10"/>
        <v>Error?</v>
      </c>
    </row>
    <row r="756" spans="1:4" x14ac:dyDescent="0.2">
      <c r="A756" s="5">
        <v>695</v>
      </c>
      <c r="B756" s="138">
        <f>'Expenditures 15-22'!C75</f>
        <v>99235</v>
      </c>
      <c r="D756" s="2" t="str">
        <f t="shared" si="10"/>
        <v>Error?</v>
      </c>
    </row>
    <row r="757" spans="1:4" x14ac:dyDescent="0.2">
      <c r="A757" s="5">
        <v>696</v>
      </c>
      <c r="B757" s="138">
        <f>'Expenditures 15-22'!C114</f>
        <v>20778924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2061448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42258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3023492</v>
      </c>
      <c r="C778" s="2" t="s">
        <v>594</v>
      </c>
      <c r="D778" s="2" t="str">
        <f t="shared" si="11"/>
        <v>Error?</v>
      </c>
    </row>
    <row r="779" spans="1:4" x14ac:dyDescent="0.2">
      <c r="A779" s="5">
        <v>718</v>
      </c>
      <c r="B779" s="138">
        <f>'Expenditures 15-22'!D36</f>
        <v>30570</v>
      </c>
      <c r="D779" s="2" t="str">
        <f t="shared" si="11"/>
        <v>Error?</v>
      </c>
    </row>
    <row r="780" spans="1:4" x14ac:dyDescent="0.2">
      <c r="A780" s="5">
        <v>719</v>
      </c>
      <c r="B780" s="138">
        <f>'Expenditures 15-22'!D37</f>
        <v>63448</v>
      </c>
      <c r="D780" s="2" t="str">
        <f t="shared" si="11"/>
        <v>Error?</v>
      </c>
    </row>
    <row r="781" spans="1:4" x14ac:dyDescent="0.2">
      <c r="A781" s="5">
        <v>720</v>
      </c>
      <c r="B781" s="138">
        <f>'Expenditures 15-22'!D38</f>
        <v>46255</v>
      </c>
      <c r="D781" s="2" t="str">
        <f t="shared" si="11"/>
        <v>Error?</v>
      </c>
    </row>
    <row r="782" spans="1:4" x14ac:dyDescent="0.2">
      <c r="A782" s="5">
        <v>721</v>
      </c>
      <c r="B782" s="138">
        <f>'Expenditures 15-22'!D39</f>
        <v>29657</v>
      </c>
      <c r="D782" s="2" t="str">
        <f t="shared" si="11"/>
        <v>Error?</v>
      </c>
    </row>
    <row r="783" spans="1:4" x14ac:dyDescent="0.2">
      <c r="A783" s="5">
        <v>722</v>
      </c>
      <c r="B783" s="138">
        <f>'Expenditures 15-22'!D40</f>
        <v>119177</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289107</v>
      </c>
      <c r="C785" s="2" t="s">
        <v>594</v>
      </c>
      <c r="D785" s="2" t="str">
        <f t="shared" si="11"/>
        <v>Error?</v>
      </c>
    </row>
    <row r="786" spans="1:4" x14ac:dyDescent="0.2">
      <c r="A786" s="5">
        <v>725</v>
      </c>
      <c r="B786" s="138">
        <f>'Expenditures 15-22'!D44</f>
        <v>77103</v>
      </c>
      <c r="D786" s="2" t="str">
        <f t="shared" si="11"/>
        <v>Error?</v>
      </c>
    </row>
    <row r="787" spans="1:4" x14ac:dyDescent="0.2">
      <c r="A787" s="5">
        <v>726</v>
      </c>
      <c r="B787" s="138">
        <f>'Expenditures 15-22'!D45</f>
        <v>30544</v>
      </c>
      <c r="D787" s="2" t="str">
        <f t="shared" si="11"/>
        <v>Error?</v>
      </c>
    </row>
    <row r="788" spans="1:4" x14ac:dyDescent="0.2">
      <c r="A788" s="5">
        <v>727</v>
      </c>
      <c r="B788" s="138">
        <f>'Expenditures 15-22'!D46</f>
        <v>609</v>
      </c>
      <c r="D788" s="2" t="str">
        <f t="shared" si="11"/>
        <v>Error?</v>
      </c>
    </row>
    <row r="789" spans="1:4" x14ac:dyDescent="0.2">
      <c r="A789" s="5">
        <v>728</v>
      </c>
      <c r="B789" s="138">
        <f>'Expenditures 15-22'!D47</f>
        <v>108256</v>
      </c>
      <c r="C789" s="2" t="s">
        <v>594</v>
      </c>
      <c r="D789" s="2" t="str">
        <f t="shared" si="11"/>
        <v>Error?</v>
      </c>
    </row>
    <row r="790" spans="1:4" x14ac:dyDescent="0.2">
      <c r="A790" s="5">
        <v>729</v>
      </c>
      <c r="B790" s="138">
        <f>'Expenditures 15-22'!D49</f>
        <v>236</v>
      </c>
      <c r="D790" s="2" t="str">
        <f t="shared" si="11"/>
        <v>Error?</v>
      </c>
    </row>
    <row r="791" spans="1:4" x14ac:dyDescent="0.2">
      <c r="A791" s="5">
        <v>730</v>
      </c>
      <c r="B791" s="138">
        <f>'Expenditures 15-22'!D50</f>
        <v>99437</v>
      </c>
      <c r="D791" s="2" t="str">
        <f t="shared" si="11"/>
        <v>Error?</v>
      </c>
    </row>
    <row r="792" spans="1:4" x14ac:dyDescent="0.2">
      <c r="A792" s="5">
        <v>731</v>
      </c>
      <c r="B792" s="138">
        <f>'Expenditures 15-22'!D53</f>
        <v>151622</v>
      </c>
      <c r="C792" s="2" t="s">
        <v>594</v>
      </c>
      <c r="D792" s="2" t="str">
        <f t="shared" si="11"/>
        <v>Error?</v>
      </c>
    </row>
    <row r="793" spans="1:4" x14ac:dyDescent="0.2">
      <c r="A793" s="5">
        <v>732</v>
      </c>
      <c r="B793" s="138">
        <f>'Expenditures 15-22'!D55</f>
        <v>356042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356042</v>
      </c>
      <c r="C795" s="2" t="s">
        <v>594</v>
      </c>
      <c r="D795" s="2" t="str">
        <f t="shared" si="11"/>
        <v>Error?</v>
      </c>
    </row>
    <row r="796" spans="1:4" x14ac:dyDescent="0.2">
      <c r="A796" s="5">
        <v>735</v>
      </c>
      <c r="B796" s="138">
        <f>'Expenditures 15-22'!D59</f>
        <v>17686</v>
      </c>
      <c r="D796" s="2" t="str">
        <f t="shared" si="11"/>
        <v>Error?</v>
      </c>
    </row>
    <row r="797" spans="1:4" x14ac:dyDescent="0.2">
      <c r="A797" s="5">
        <v>736</v>
      </c>
      <c r="B797" s="138">
        <f>'Expenditures 15-22'!D60</f>
        <v>32952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50638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34295</v>
      </c>
      <c r="D807" s="2" t="str">
        <f t="shared" si="11"/>
        <v>Error?</v>
      </c>
    </row>
    <row r="808" spans="1:4" x14ac:dyDescent="0.2">
      <c r="A808" s="10">
        <v>747</v>
      </c>
      <c r="D808" s="2" t="str">
        <f t="shared" si="11"/>
        <v>OK</v>
      </c>
    </row>
    <row r="809" spans="1:4" x14ac:dyDescent="0.2">
      <c r="A809" s="5">
        <v>748</v>
      </c>
      <c r="B809" s="138">
        <f>'Expenditures 15-22'!D71</f>
        <v>87089</v>
      </c>
      <c r="D809" s="2" t="str">
        <f t="shared" si="11"/>
        <v>Error?</v>
      </c>
    </row>
    <row r="810" spans="1:4" x14ac:dyDescent="0.2">
      <c r="A810" s="10">
        <v>749</v>
      </c>
      <c r="D810" s="2" t="str">
        <f t="shared" si="11"/>
        <v>OK</v>
      </c>
    </row>
    <row r="811" spans="1:4" x14ac:dyDescent="0.2">
      <c r="A811" s="5">
        <v>750</v>
      </c>
      <c r="B811" s="138">
        <f>'Expenditures 15-22'!D72</f>
        <v>121384</v>
      </c>
      <c r="C811" s="2" t="s">
        <v>594</v>
      </c>
      <c r="D811" s="2" t="str">
        <f t="shared" si="11"/>
        <v>Error?</v>
      </c>
    </row>
    <row r="812" spans="1:4" x14ac:dyDescent="0.2">
      <c r="A812" s="5">
        <v>751</v>
      </c>
      <c r="B812" s="138">
        <f>'Expenditures 15-22'!D73</f>
        <v>14892</v>
      </c>
      <c r="D812" s="2" t="str">
        <f t="shared" si="11"/>
        <v>Error?</v>
      </c>
    </row>
    <row r="813" spans="1:4" x14ac:dyDescent="0.2">
      <c r="A813" s="5">
        <v>752</v>
      </c>
      <c r="B813" s="138">
        <f>'Expenditures 15-22'!D74</f>
        <v>1091941</v>
      </c>
      <c r="C813" s="2" t="s">
        <v>594</v>
      </c>
      <c r="D813" s="2" t="str">
        <f t="shared" si="11"/>
        <v>Error?</v>
      </c>
    </row>
    <row r="814" spans="1:4" x14ac:dyDescent="0.2">
      <c r="A814" s="5">
        <v>753</v>
      </c>
      <c r="B814" s="138">
        <f>'Expenditures 15-22'!D75</f>
        <v>12372</v>
      </c>
      <c r="D814" s="2" t="str">
        <f t="shared" si="11"/>
        <v>Error?</v>
      </c>
    </row>
    <row r="815" spans="1:4" x14ac:dyDescent="0.2">
      <c r="A815" s="5">
        <v>754</v>
      </c>
      <c r="B815" s="138">
        <f>'Expenditures 15-22'!D114</f>
        <v>4127805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139762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16167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156539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284993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435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285428</v>
      </c>
      <c r="C843" s="2" t="s">
        <v>594</v>
      </c>
      <c r="D843" s="2" t="str">
        <f t="shared" si="12"/>
        <v>Error?</v>
      </c>
    </row>
    <row r="844" spans="1:4" x14ac:dyDescent="0.2">
      <c r="A844" s="5">
        <v>783</v>
      </c>
      <c r="B844" s="138">
        <f>'Expenditures 15-22'!E44</f>
        <v>289740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55173</v>
      </c>
      <c r="D846" s="2" t="str">
        <f t="shared" si="12"/>
        <v>Error?</v>
      </c>
    </row>
    <row r="847" spans="1:4" x14ac:dyDescent="0.2">
      <c r="A847" s="5">
        <v>786</v>
      </c>
      <c r="B847" s="138">
        <f>'Expenditures 15-22'!E47</f>
        <v>344913</v>
      </c>
      <c r="C847" s="2" t="s">
        <v>594</v>
      </c>
      <c r="D847" s="2" t="str">
        <f t="shared" si="12"/>
        <v>Error?</v>
      </c>
    </row>
    <row r="848" spans="1:4" x14ac:dyDescent="0.2">
      <c r="A848" s="5">
        <v>787</v>
      </c>
      <c r="B848" s="138">
        <f>'Expenditures 15-22'!E49</f>
        <v>43161</v>
      </c>
      <c r="D848" s="2" t="str">
        <f t="shared" si="12"/>
        <v>Error?</v>
      </c>
    </row>
    <row r="849" spans="1:4" x14ac:dyDescent="0.2">
      <c r="A849" s="5">
        <v>788</v>
      </c>
      <c r="B849" s="138">
        <f>'Expenditures 15-22'!E50</f>
        <v>15037</v>
      </c>
      <c r="D849" s="2" t="str">
        <f t="shared" si="12"/>
        <v>Error?</v>
      </c>
    </row>
    <row r="850" spans="1:4" x14ac:dyDescent="0.2">
      <c r="A850" s="5">
        <v>789</v>
      </c>
      <c r="B850" s="138">
        <f>'Expenditures 15-22'!E53</f>
        <v>162289</v>
      </c>
      <c r="C850" s="2" t="s">
        <v>594</v>
      </c>
      <c r="D850" s="2" t="str">
        <f t="shared" si="12"/>
        <v>Error?</v>
      </c>
    </row>
    <row r="851" spans="1:4" x14ac:dyDescent="0.2">
      <c r="A851" s="5">
        <v>790</v>
      </c>
      <c r="B851" s="138">
        <f>'Expenditures 15-22'!E55</f>
        <v>291564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291564</v>
      </c>
      <c r="C853" s="2" t="s">
        <v>594</v>
      </c>
      <c r="D853" s="2" t="str">
        <f t="shared" si="12"/>
        <v>Error?</v>
      </c>
    </row>
    <row r="854" spans="1:4" x14ac:dyDescent="0.2">
      <c r="A854" s="5">
        <v>793</v>
      </c>
      <c r="B854" s="138">
        <f>'Expenditures 15-22'!E59</f>
        <v>12111</v>
      </c>
      <c r="D854" s="2" t="str">
        <f t="shared" si="12"/>
        <v>Error?</v>
      </c>
    </row>
    <row r="855" spans="1:4" x14ac:dyDescent="0.2">
      <c r="A855" s="5">
        <v>794</v>
      </c>
      <c r="B855" s="138">
        <f>'Expenditures 15-22'!E60</f>
        <v>41174</v>
      </c>
      <c r="D855" s="2" t="str">
        <f t="shared" si="12"/>
        <v>Error?</v>
      </c>
    </row>
    <row r="856" spans="1:4" x14ac:dyDescent="0.2">
      <c r="A856" s="5">
        <v>795</v>
      </c>
      <c r="B856" s="138">
        <f>'Expenditures 15-22'!E61</f>
        <v>106488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1406417</v>
      </c>
      <c r="D858" s="2" t="str">
        <f t="shared" si="12"/>
        <v>Error?</v>
      </c>
    </row>
    <row r="859" spans="1:4" x14ac:dyDescent="0.2">
      <c r="A859" s="5">
        <v>798</v>
      </c>
      <c r="B859" s="138">
        <f>'Expenditures 15-22'!E64</f>
        <v>55440</v>
      </c>
      <c r="D859" s="2" t="str">
        <f t="shared" si="12"/>
        <v>Error?</v>
      </c>
    </row>
    <row r="860" spans="1:4" x14ac:dyDescent="0.2">
      <c r="A860" s="10">
        <v>799</v>
      </c>
      <c r="D860" s="2" t="str">
        <f t="shared" si="12"/>
        <v>OK</v>
      </c>
    </row>
    <row r="861" spans="1:4" x14ac:dyDescent="0.2">
      <c r="A861" s="5">
        <v>800</v>
      </c>
      <c r="B861" s="138">
        <f>'Expenditures 15-22'!E65</f>
        <v>1621630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376236</v>
      </c>
      <c r="D867" s="2" t="str">
        <f t="shared" si="12"/>
        <v>Error?</v>
      </c>
    </row>
    <row r="868" spans="1:4" x14ac:dyDescent="0.2">
      <c r="A868" s="10">
        <v>807</v>
      </c>
      <c r="D868" s="2" t="str">
        <f t="shared" si="12"/>
        <v>OK</v>
      </c>
    </row>
    <row r="869" spans="1:4" x14ac:dyDescent="0.2">
      <c r="A869" s="5">
        <v>808</v>
      </c>
      <c r="B869" s="138">
        <f>'Expenditures 15-22'!E72</f>
        <v>376236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3082060</v>
      </c>
      <c r="C871" s="2" t="s">
        <v>594</v>
      </c>
      <c r="D871" s="2" t="str">
        <f t="shared" si="12"/>
        <v>Error?</v>
      </c>
    </row>
    <row r="872" spans="1:4" x14ac:dyDescent="0.2">
      <c r="A872" s="5">
        <v>811</v>
      </c>
      <c r="B872" s="138">
        <f>'Expenditures 15-22'!E75</f>
        <v>25686</v>
      </c>
      <c r="D872" s="2" t="str">
        <f t="shared" si="12"/>
        <v>Error?</v>
      </c>
    </row>
    <row r="873" spans="1:4" x14ac:dyDescent="0.2">
      <c r="A873" s="5">
        <v>812</v>
      </c>
      <c r="B873" s="138">
        <f>'Expenditures 15-22'!E114</f>
        <v>3277923</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480954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22344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513228</v>
      </c>
      <c r="C894" s="2" t="s">
        <v>594</v>
      </c>
      <c r="D894" s="2" t="str">
        <f t="shared" si="12"/>
        <v>Error?</v>
      </c>
    </row>
    <row r="895" spans="1:4" x14ac:dyDescent="0.2">
      <c r="A895" s="5">
        <v>834</v>
      </c>
      <c r="B895" s="138">
        <f>'Expenditures 15-22'!F36</f>
        <v>2241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2438</v>
      </c>
      <c r="D897" s="2" t="str">
        <f t="shared" si="13"/>
        <v>Error?</v>
      </c>
    </row>
    <row r="898" spans="1:4" x14ac:dyDescent="0.2">
      <c r="A898" s="5">
        <v>837</v>
      </c>
      <c r="B898" s="138">
        <f>'Expenditures 15-22'!F39</f>
        <v>6348</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1973</v>
      </c>
      <c r="D900" s="2" t="str">
        <f t="shared" si="13"/>
        <v>Error?</v>
      </c>
    </row>
    <row r="901" spans="1:4" x14ac:dyDescent="0.2">
      <c r="A901" s="5">
        <v>840</v>
      </c>
      <c r="B901" s="138">
        <f>'Expenditures 15-22'!F42</f>
        <v>13000</v>
      </c>
      <c r="C901" s="2" t="s">
        <v>594</v>
      </c>
      <c r="D901" s="2" t="str">
        <f t="shared" si="13"/>
        <v>Error?</v>
      </c>
    </row>
    <row r="902" spans="1:4" x14ac:dyDescent="0.2">
      <c r="A902" s="5">
        <v>841</v>
      </c>
      <c r="B902" s="138">
        <f>'Expenditures 15-22'!F44</f>
        <v>17128</v>
      </c>
      <c r="D902" s="2" t="str">
        <f t="shared" si="13"/>
        <v>Error?</v>
      </c>
    </row>
    <row r="903" spans="1:4" x14ac:dyDescent="0.2">
      <c r="A903" s="5">
        <v>842</v>
      </c>
      <c r="B903" s="138">
        <f>'Expenditures 15-22'!F45</f>
        <v>464125</v>
      </c>
      <c r="D903" s="2" t="str">
        <f t="shared" si="13"/>
        <v>Error?</v>
      </c>
    </row>
    <row r="904" spans="1:4" x14ac:dyDescent="0.2">
      <c r="A904" s="5">
        <v>843</v>
      </c>
      <c r="B904" s="138">
        <f>'Expenditures 15-22'!F46</f>
        <v>81</v>
      </c>
      <c r="D904" s="2" t="str">
        <f t="shared" si="13"/>
        <v>Error?</v>
      </c>
    </row>
    <row r="905" spans="1:4" x14ac:dyDescent="0.2">
      <c r="A905" s="5">
        <v>844</v>
      </c>
      <c r="B905" s="138">
        <f>'Expenditures 15-22'!F47</f>
        <v>481334</v>
      </c>
      <c r="C905" s="2" t="s">
        <v>594</v>
      </c>
      <c r="D905" s="2" t="str">
        <f t="shared" si="13"/>
        <v>Error?</v>
      </c>
    </row>
    <row r="906" spans="1:4" x14ac:dyDescent="0.2">
      <c r="A906" s="5">
        <v>845</v>
      </c>
      <c r="B906" s="138">
        <f>'Expenditures 15-22'!F49</f>
        <v>2135</v>
      </c>
      <c r="D906" s="2" t="str">
        <f t="shared" si="13"/>
        <v>Error?</v>
      </c>
    </row>
    <row r="907" spans="1:4" x14ac:dyDescent="0.2">
      <c r="A907" s="5">
        <v>846</v>
      </c>
      <c r="B907" s="138">
        <f>'Expenditures 15-22'!F50</f>
        <v>1070</v>
      </c>
      <c r="D907" s="2" t="str">
        <f t="shared" si="13"/>
        <v>Error?</v>
      </c>
    </row>
    <row r="908" spans="1:4" x14ac:dyDescent="0.2">
      <c r="A908" s="5">
        <v>847</v>
      </c>
      <c r="B908" s="138">
        <f>'Expenditures 15-22'!F53</f>
        <v>17893</v>
      </c>
      <c r="C908" s="2" t="s">
        <v>594</v>
      </c>
      <c r="D908" s="2" t="str">
        <f t="shared" si="13"/>
        <v>Error?</v>
      </c>
    </row>
    <row r="909" spans="1:4" x14ac:dyDescent="0.2">
      <c r="A909" s="5">
        <v>848</v>
      </c>
      <c r="B909" s="138">
        <f>'Expenditures 15-22'!F55</f>
        <v>11320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11320</v>
      </c>
      <c r="C911" s="2" t="s">
        <v>594</v>
      </c>
      <c r="D911" s="2" t="str">
        <f t="shared" si="13"/>
        <v>Error?</v>
      </c>
    </row>
    <row r="912" spans="1:4" x14ac:dyDescent="0.2">
      <c r="A912" s="5">
        <v>851</v>
      </c>
      <c r="B912" s="138">
        <f>'Expenditures 15-22'!F59</f>
        <v>6727</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6568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13295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160346</v>
      </c>
      <c r="D925" s="2" t="str">
        <f t="shared" si="13"/>
        <v>Error?</v>
      </c>
    </row>
    <row r="926" spans="1:4" x14ac:dyDescent="0.2">
      <c r="A926" s="10">
        <v>865</v>
      </c>
      <c r="D926" s="2" t="str">
        <f t="shared" si="13"/>
        <v>OK</v>
      </c>
    </row>
    <row r="927" spans="1:4" x14ac:dyDescent="0.2">
      <c r="A927" s="5">
        <v>866</v>
      </c>
      <c r="B927" s="138">
        <f>'Expenditures 15-22'!F72</f>
        <v>160346</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697188</v>
      </c>
      <c r="C929" s="2" t="s">
        <v>594</v>
      </c>
      <c r="D929" s="2" t="str">
        <f t="shared" si="13"/>
        <v>Error?</v>
      </c>
    </row>
    <row r="930" spans="1:4" x14ac:dyDescent="0.2">
      <c r="A930" s="5">
        <v>869</v>
      </c>
      <c r="B930" s="138">
        <f>'Expenditures 15-22'!F75</f>
        <v>10672</v>
      </c>
      <c r="D930" s="2" t="str">
        <f t="shared" si="13"/>
        <v>Error?</v>
      </c>
    </row>
    <row r="931" spans="1:4" x14ac:dyDescent="0.2">
      <c r="A931" s="5">
        <v>870</v>
      </c>
      <c r="B931" s="138">
        <f>'Expenditures 15-22'!F114</f>
        <v>1221088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12058</v>
      </c>
      <c r="D983" s="2" t="str">
        <f t="shared" si="14"/>
        <v>Error?</v>
      </c>
    </row>
    <row r="984" spans="1:4" x14ac:dyDescent="0.2">
      <c r="A984" s="10">
        <v>923</v>
      </c>
      <c r="D984" s="2" t="str">
        <f t="shared" si="14"/>
        <v>OK</v>
      </c>
    </row>
    <row r="985" spans="1:4" x14ac:dyDescent="0.2">
      <c r="A985" s="5">
        <v>924</v>
      </c>
      <c r="B985" s="138">
        <f>'Expenditures 15-22'!G72</f>
        <v>12058</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12058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12058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811579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822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822</v>
      </c>
      <c r="C1021" s="2" t="s">
        <v>594</v>
      </c>
      <c r="D1021" s="2" t="str">
        <f t="shared" si="14"/>
        <v>Error?</v>
      </c>
    </row>
    <row r="1022" spans="1:4" x14ac:dyDescent="0.2">
      <c r="A1022" s="5">
        <v>961</v>
      </c>
      <c r="B1022" s="138">
        <f>'Expenditures 15-22'!H49</f>
        <v>21806</v>
      </c>
      <c r="D1022" s="2" t="str">
        <f t="shared" si="14"/>
        <v>Error?</v>
      </c>
    </row>
    <row r="1023" spans="1:4" x14ac:dyDescent="0.2">
      <c r="A1023" s="5">
        <v>962</v>
      </c>
      <c r="B1023" s="138">
        <f>'Expenditures 15-22'!H50</f>
        <v>2279</v>
      </c>
      <c r="D1023" s="2" t="str">
        <f t="shared" ref="D1023:D1086" si="15">IF(ISBLANK(B1023),"OK",IF(A1023-B1023=0,"OK","Error?"))</f>
        <v>Error?</v>
      </c>
    </row>
    <row r="1024" spans="1:4" x14ac:dyDescent="0.2">
      <c r="A1024" s="5">
        <v>963</v>
      </c>
      <c r="B1024" s="138">
        <f>'Expenditures 15-22'!H53</f>
        <v>24735</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2599</v>
      </c>
      <c r="D1028" s="2" t="str">
        <f t="shared" si="15"/>
        <v>Error?</v>
      </c>
    </row>
    <row r="1029" spans="1:4" x14ac:dyDescent="0.2">
      <c r="A1029" s="5">
        <v>968</v>
      </c>
      <c r="B1029" s="138">
        <f>'Expenditures 15-22'!H60</f>
        <v>540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3139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28696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472836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1313111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13093220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417893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19339804</v>
      </c>
      <c r="C1108" s="2" t="s">
        <v>594</v>
      </c>
      <c r="D1108" s="2" t="str">
        <f t="shared" si="16"/>
        <v>Error?</v>
      </c>
    </row>
    <row r="1109" spans="1:4" x14ac:dyDescent="0.2">
      <c r="A1109" s="5">
        <v>1048</v>
      </c>
      <c r="B1109" s="138">
        <f>'Expenditures 15-22'!K36</f>
        <v>182957</v>
      </c>
      <c r="C1109" s="2" t="s">
        <v>594</v>
      </c>
      <c r="D1109" s="2" t="str">
        <f t="shared" si="16"/>
        <v>Error?</v>
      </c>
    </row>
    <row r="1110" spans="1:4" x14ac:dyDescent="0.2">
      <c r="A1110" s="5">
        <v>1049</v>
      </c>
      <c r="B1110" s="138">
        <f>'Expenditures 15-22'!K37</f>
        <v>435915</v>
      </c>
      <c r="C1110" s="2" t="s">
        <v>594</v>
      </c>
      <c r="D1110" s="2" t="str">
        <f t="shared" si="16"/>
        <v>Error?</v>
      </c>
    </row>
    <row r="1111" spans="1:4" x14ac:dyDescent="0.2">
      <c r="A1111" s="5">
        <v>1050</v>
      </c>
      <c r="B1111" s="138">
        <f>'Expenditures 15-22'!K38</f>
        <v>481938</v>
      </c>
      <c r="C1111" s="2" t="s">
        <v>594</v>
      </c>
      <c r="D1111" s="2" t="str">
        <f t="shared" si="16"/>
        <v>Error?</v>
      </c>
    </row>
    <row r="1112" spans="1:4" x14ac:dyDescent="0.2">
      <c r="A1112" s="5">
        <v>1051</v>
      </c>
      <c r="B1112" s="138">
        <f>'Expenditures 15-22'!K39</f>
        <v>174356</v>
      </c>
      <c r="C1112" s="2" t="s">
        <v>594</v>
      </c>
      <c r="D1112" s="2" t="str">
        <f t="shared" si="16"/>
        <v>Error?</v>
      </c>
    </row>
    <row r="1113" spans="1:4" x14ac:dyDescent="0.2">
      <c r="A1113" s="5">
        <v>1052</v>
      </c>
      <c r="B1113" s="138">
        <f>'Expenditures 15-22'!K40</f>
        <v>803660</v>
      </c>
      <c r="C1113" s="2" t="s">
        <v>594</v>
      </c>
      <c r="D1113" s="2" t="str">
        <f t="shared" si="16"/>
        <v>Error?</v>
      </c>
    </row>
    <row r="1114" spans="1:4" x14ac:dyDescent="0.2">
      <c r="A1114" s="5">
        <v>1053</v>
      </c>
      <c r="B1114" s="138">
        <f>'Expenditures 15-22'!K41</f>
        <v>1973</v>
      </c>
      <c r="C1114" s="2" t="s">
        <v>594</v>
      </c>
      <c r="D1114" s="2" t="str">
        <f t="shared" si="16"/>
        <v>Error?</v>
      </c>
    </row>
    <row r="1115" spans="1:4" x14ac:dyDescent="0.2">
      <c r="A1115" s="5">
        <v>1054</v>
      </c>
      <c r="B1115" s="138">
        <f>'Expenditures 15-22'!K42</f>
        <v>2080799</v>
      </c>
      <c r="C1115" s="2" t="s">
        <v>594</v>
      </c>
      <c r="D1115" s="2" t="str">
        <f t="shared" si="16"/>
        <v>Error?</v>
      </c>
    </row>
    <row r="1116" spans="1:4" x14ac:dyDescent="0.2">
      <c r="A1116" s="5">
        <v>1055</v>
      </c>
      <c r="B1116" s="138">
        <f>'Expenditures 15-22'!K44</f>
        <v>782163</v>
      </c>
      <c r="C1116" s="2" t="s">
        <v>594</v>
      </c>
      <c r="D1116" s="2" t="str">
        <f t="shared" si="16"/>
        <v>Error?</v>
      </c>
    </row>
    <row r="1117" spans="1:4" x14ac:dyDescent="0.2">
      <c r="A1117" s="5">
        <v>1056</v>
      </c>
      <c r="B1117" s="138">
        <f>'Expenditures 15-22'!K45</f>
        <v>706723</v>
      </c>
      <c r="C1117" s="2" t="s">
        <v>594</v>
      </c>
      <c r="D1117" s="2" t="str">
        <f t="shared" si="16"/>
        <v>Error?</v>
      </c>
    </row>
    <row r="1118" spans="1:4" x14ac:dyDescent="0.2">
      <c r="A1118" s="5">
        <v>1057</v>
      </c>
      <c r="B1118" s="138">
        <f>'Expenditures 15-22'!K46</f>
        <v>98245</v>
      </c>
      <c r="C1118" s="2" t="s">
        <v>594</v>
      </c>
      <c r="D1118" s="2" t="str">
        <f t="shared" si="16"/>
        <v>Error?</v>
      </c>
    </row>
    <row r="1119" spans="1:4" x14ac:dyDescent="0.2">
      <c r="A1119" s="5">
        <v>1058</v>
      </c>
      <c r="B1119" s="138">
        <f>'Expenditures 15-22'!K47</f>
        <v>1587131</v>
      </c>
      <c r="C1119" s="2" t="s">
        <v>594</v>
      </c>
      <c r="D1119" s="2" t="str">
        <f t="shared" si="16"/>
        <v>Error?</v>
      </c>
    </row>
    <row r="1120" spans="1:4" x14ac:dyDescent="0.2">
      <c r="A1120" s="5">
        <v>1059</v>
      </c>
      <c r="B1120" s="138">
        <f>'Expenditures 15-22'!K49</f>
        <v>72338</v>
      </c>
      <c r="C1120" s="2" t="s">
        <v>594</v>
      </c>
      <c r="D1120" s="2" t="str">
        <f t="shared" si="16"/>
        <v>Error?</v>
      </c>
    </row>
    <row r="1121" spans="1:4" x14ac:dyDescent="0.2">
      <c r="A1121" s="5">
        <v>1060</v>
      </c>
      <c r="B1121" s="138">
        <f>'Expenditures 15-22'!K50</f>
        <v>527455</v>
      </c>
      <c r="C1121" s="2" t="s">
        <v>594</v>
      </c>
      <c r="D1121" s="2" t="str">
        <f t="shared" si="16"/>
        <v>Error?</v>
      </c>
    </row>
    <row r="1122" spans="1:4" x14ac:dyDescent="0.2">
      <c r="A1122" s="5">
        <v>1061</v>
      </c>
      <c r="B1122" s="138">
        <f>'Expenditures 15-22'!K53</f>
        <v>1097776</v>
      </c>
      <c r="C1122" s="2" t="s">
        <v>594</v>
      </c>
      <c r="D1122" s="2" t="str">
        <f t="shared" si="16"/>
        <v>Error?</v>
      </c>
    </row>
    <row r="1123" spans="1:4" x14ac:dyDescent="0.2">
      <c r="A1123" s="5">
        <v>1062</v>
      </c>
      <c r="B1123" s="138">
        <f>'Expenditures 15-22'!K55</f>
        <v>2762195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2762195</v>
      </c>
      <c r="C1125" s="2" t="s">
        <v>594</v>
      </c>
      <c r="D1125" s="2" t="str">
        <f t="shared" si="16"/>
        <v>Error?</v>
      </c>
    </row>
    <row r="1126" spans="1:4" x14ac:dyDescent="0.2">
      <c r="A1126" s="5">
        <v>1065</v>
      </c>
      <c r="B1126" s="138">
        <f>'Expenditures 15-22'!K59</f>
        <v>142854</v>
      </c>
      <c r="C1126" s="2" t="s">
        <v>594</v>
      </c>
      <c r="D1126" s="2" t="str">
        <f t="shared" si="16"/>
        <v>Error?</v>
      </c>
    </row>
    <row r="1127" spans="1:4" x14ac:dyDescent="0.2">
      <c r="A1127" s="5">
        <v>1066</v>
      </c>
      <c r="B1127" s="138">
        <f>'Expenditures 15-22'!K60</f>
        <v>262286</v>
      </c>
      <c r="C1127" s="2" t="s">
        <v>594</v>
      </c>
      <c r="D1127" s="2" t="str">
        <f t="shared" si="16"/>
        <v>Error?</v>
      </c>
    </row>
    <row r="1128" spans="1:4" x14ac:dyDescent="0.2">
      <c r="A1128" s="5">
        <v>1067</v>
      </c>
      <c r="B1128" s="138">
        <f>'Expenditures 15-22'!K61</f>
        <v>106488</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1412985</v>
      </c>
      <c r="C1130" s="2" t="s">
        <v>594</v>
      </c>
      <c r="D1130" s="2" t="str">
        <f t="shared" si="16"/>
        <v>Error?</v>
      </c>
    </row>
    <row r="1131" spans="1:4" x14ac:dyDescent="0.2">
      <c r="A1131" s="5">
        <v>1070</v>
      </c>
      <c r="B1131" s="138">
        <f>'Expenditures 15-22'!K64</f>
        <v>55440</v>
      </c>
      <c r="C1131" s="2" t="s">
        <v>594</v>
      </c>
      <c r="D1131" s="2" t="str">
        <f t="shared" si="16"/>
        <v>Error?</v>
      </c>
    </row>
    <row r="1132" spans="1:4" x14ac:dyDescent="0.2">
      <c r="A1132" s="10">
        <v>1071</v>
      </c>
      <c r="D1132" s="2" t="str">
        <f t="shared" si="16"/>
        <v>OK</v>
      </c>
    </row>
    <row r="1133" spans="1:4" x14ac:dyDescent="0.2">
      <c r="A1133" s="5">
        <v>1072</v>
      </c>
      <c r="B1133" s="138">
        <f>'Expenditures 15-22'!K65</f>
        <v>1980053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234701</v>
      </c>
      <c r="C1137" s="2" t="s">
        <v>594</v>
      </c>
      <c r="D1137" s="2" t="str">
        <f t="shared" si="16"/>
        <v>Error?</v>
      </c>
    </row>
    <row r="1138" spans="1:4" x14ac:dyDescent="0.2">
      <c r="A1138" s="10">
        <v>1077</v>
      </c>
      <c r="D1138" s="2" t="str">
        <f t="shared" si="16"/>
        <v>OK</v>
      </c>
    </row>
    <row r="1139" spans="1:4" x14ac:dyDescent="0.2">
      <c r="A1139" s="5">
        <v>1078</v>
      </c>
      <c r="B1139" s="138">
        <f>'Expenditures 15-22'!K71</f>
        <v>984290</v>
      </c>
      <c r="C1139" s="2" t="s">
        <v>594</v>
      </c>
      <c r="D1139" s="2" t="str">
        <f t="shared" si="16"/>
        <v>Error?</v>
      </c>
    </row>
    <row r="1140" spans="1:4" x14ac:dyDescent="0.2">
      <c r="A1140" s="10">
        <v>1079</v>
      </c>
      <c r="D1140" s="2" t="str">
        <f t="shared" si="16"/>
        <v>OK</v>
      </c>
    </row>
    <row r="1141" spans="1:4" x14ac:dyDescent="0.2">
      <c r="A1141" s="5">
        <v>1080</v>
      </c>
      <c r="B1141" s="138">
        <f>'Expenditures 15-22'!K72</f>
        <v>1218991</v>
      </c>
      <c r="C1141" s="2" t="s">
        <v>594</v>
      </c>
      <c r="D1141" s="2" t="str">
        <f t="shared" si="16"/>
        <v>Error?</v>
      </c>
    </row>
    <row r="1142" spans="1:4" x14ac:dyDescent="0.2">
      <c r="A1142" s="5">
        <v>1081</v>
      </c>
      <c r="B1142" s="138">
        <f>'Expenditures 15-22'!K73</f>
        <v>48606</v>
      </c>
      <c r="C1142" s="2" t="s">
        <v>594</v>
      </c>
      <c r="D1142" s="2" t="str">
        <f t="shared" si="16"/>
        <v>Error?</v>
      </c>
    </row>
    <row r="1143" spans="1:4" x14ac:dyDescent="0.2">
      <c r="A1143" s="5">
        <v>1082</v>
      </c>
      <c r="B1143" s="138">
        <f>'Expenditures 15-22'!K74</f>
        <v>10775551</v>
      </c>
      <c r="C1143" s="2" t="s">
        <v>594</v>
      </c>
      <c r="D1143" s="2" t="str">
        <f t="shared" si="16"/>
        <v>Error?</v>
      </c>
    </row>
    <row r="1144" spans="1:4" x14ac:dyDescent="0.2">
      <c r="A1144" s="5">
        <v>1083</v>
      </c>
      <c r="B1144" s="138">
        <f>'Expenditures 15-22'!K75</f>
        <v>147965</v>
      </c>
      <c r="C1144" s="2" t="s">
        <v>594</v>
      </c>
      <c r="D1144" s="2" t="str">
        <f t="shared" si="16"/>
        <v>Error?</v>
      </c>
    </row>
    <row r="1145" spans="1:4" x14ac:dyDescent="0.2">
      <c r="A1145" s="5">
        <v>1084</v>
      </c>
      <c r="B1145" s="138">
        <f>'Expenditures 15-22'!K102</f>
        <v>486474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30749794</v>
      </c>
      <c r="C1152" s="2" t="s">
        <v>594</v>
      </c>
      <c r="D1152" s="2" t="str">
        <f t="shared" si="17"/>
        <v>Error?</v>
      </c>
    </row>
    <row r="1153" spans="1:4" x14ac:dyDescent="0.2">
      <c r="A1153" s="5">
        <v>1092</v>
      </c>
      <c r="B1153" s="138">
        <f>'Expenditures 15-22'!K115</f>
        <v>-544226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168862</v>
      </c>
      <c r="D1221" s="2" t="str">
        <f t="shared" si="18"/>
        <v>Error?</v>
      </c>
    </row>
    <row r="1222" spans="1:4" x14ac:dyDescent="0.2">
      <c r="A1222" s="10">
        <v>1161</v>
      </c>
      <c r="D1222" s="2" t="str">
        <f t="shared" si="18"/>
        <v>OK</v>
      </c>
    </row>
    <row r="1223" spans="1:4" x14ac:dyDescent="0.2">
      <c r="A1223" s="5">
        <v>1162</v>
      </c>
      <c r="B1223" s="138">
        <f>'Expenditures 15-22'!C127</f>
        <v>168862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168862</v>
      </c>
      <c r="C1225" s="2" t="s">
        <v>594</v>
      </c>
      <c r="D1225" s="2" t="str">
        <f t="shared" si="18"/>
        <v>Error?</v>
      </c>
    </row>
    <row r="1226" spans="1:4" x14ac:dyDescent="0.2">
      <c r="A1226" s="5">
        <v>1165</v>
      </c>
      <c r="B1226" s="138">
        <f>'Expenditures 15-22'!C151</f>
        <v>168862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41106</v>
      </c>
      <c r="D1229" s="2" t="str">
        <f t="shared" si="18"/>
        <v>Error?</v>
      </c>
    </row>
    <row r="1230" spans="1:4" x14ac:dyDescent="0.2">
      <c r="A1230" s="10">
        <v>1169</v>
      </c>
      <c r="D1230" s="2" t="str">
        <f t="shared" si="18"/>
        <v>OK</v>
      </c>
    </row>
    <row r="1231" spans="1:4" x14ac:dyDescent="0.2">
      <c r="A1231" s="5">
        <v>1170</v>
      </c>
      <c r="B1231" s="138">
        <f>'Expenditures 15-22'!D127</f>
        <v>41106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41106</v>
      </c>
      <c r="C1233" s="2" t="s">
        <v>594</v>
      </c>
      <c r="D1233" s="2" t="str">
        <f t="shared" si="18"/>
        <v>Error?</v>
      </c>
    </row>
    <row r="1234" spans="1:4" x14ac:dyDescent="0.2">
      <c r="A1234" s="5">
        <v>1173</v>
      </c>
      <c r="B1234" s="138">
        <f>'Expenditures 15-22'!D151</f>
        <v>41106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1375278</v>
      </c>
      <c r="D1237" s="2" t="str">
        <f t="shared" si="18"/>
        <v>Error?</v>
      </c>
    </row>
    <row r="1238" spans="1:4" x14ac:dyDescent="0.2">
      <c r="A1238" s="10">
        <v>1177</v>
      </c>
      <c r="D1238" s="2" t="str">
        <f t="shared" si="18"/>
        <v>OK</v>
      </c>
    </row>
    <row r="1239" spans="1:4" x14ac:dyDescent="0.2">
      <c r="A1239" s="5">
        <v>1178</v>
      </c>
      <c r="B1239" s="138">
        <f>'Expenditures 15-22'!E127</f>
        <v>1375278</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1375278</v>
      </c>
      <c r="C1241" s="2" t="s">
        <v>594</v>
      </c>
      <c r="D1241" s="2" t="str">
        <f t="shared" si="18"/>
        <v>Error?</v>
      </c>
    </row>
    <row r="1242" spans="1:4" x14ac:dyDescent="0.2">
      <c r="A1242" s="5">
        <v>1181</v>
      </c>
      <c r="B1242" s="138">
        <f>'Expenditures 15-22'!E151</f>
        <v>1375278</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603884</v>
      </c>
      <c r="D1245" s="2" t="str">
        <f t="shared" si="18"/>
        <v>Error?</v>
      </c>
    </row>
    <row r="1246" spans="1:4" x14ac:dyDescent="0.2">
      <c r="A1246" s="10">
        <v>1185</v>
      </c>
      <c r="D1246" s="2" t="str">
        <f t="shared" si="18"/>
        <v>OK</v>
      </c>
    </row>
    <row r="1247" spans="1:4" x14ac:dyDescent="0.2">
      <c r="A1247" s="5">
        <v>1186</v>
      </c>
      <c r="B1247" s="138">
        <f>'Expenditures 15-22'!F127</f>
        <v>603884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603884</v>
      </c>
      <c r="C1249" s="2" t="s">
        <v>594</v>
      </c>
      <c r="D1249" s="2" t="str">
        <f t="shared" si="18"/>
        <v>Error?</v>
      </c>
    </row>
    <row r="1250" spans="1:4" x14ac:dyDescent="0.2">
      <c r="A1250" s="5">
        <v>1189</v>
      </c>
      <c r="B1250" s="138">
        <f>'Expenditures 15-22'!F151</f>
        <v>603884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181276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181276</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181276</v>
      </c>
      <c r="C1258" s="2" t="s">
        <v>594</v>
      </c>
      <c r="D1258" s="2" t="str">
        <f t="shared" si="18"/>
        <v>Error?</v>
      </c>
    </row>
    <row r="1259" spans="1:4" x14ac:dyDescent="0.2">
      <c r="A1259" s="5">
        <v>1198</v>
      </c>
      <c r="B1259" s="138">
        <f>'Expenditures 15-22'!G151</f>
        <v>181276</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2370406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2370406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2370406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2370406</v>
      </c>
      <c r="C1288" s="2" t="s">
        <v>594</v>
      </c>
      <c r="D1288" s="2" t="str">
        <f t="shared" si="19"/>
        <v>Error?</v>
      </c>
    </row>
    <row r="1289" spans="1:4" x14ac:dyDescent="0.2">
      <c r="A1289" s="5">
        <v>1228</v>
      </c>
      <c r="B1289" s="138">
        <f>'Expenditures 15-22'!K152</f>
        <v>241672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450</v>
      </c>
      <c r="D1307" s="2" t="str">
        <f t="shared" si="19"/>
        <v>Error?</v>
      </c>
    </row>
    <row r="1308" spans="1:4" x14ac:dyDescent="0.2">
      <c r="A1308" s="5">
        <v>1247</v>
      </c>
      <c r="B1308" s="138">
        <f>'Expenditures 15-22'!E172</f>
        <v>450</v>
      </c>
      <c r="C1308" s="2" t="s">
        <v>594</v>
      </c>
      <c r="D1308" s="2" t="str">
        <f t="shared" si="19"/>
        <v>Error?</v>
      </c>
    </row>
    <row r="1309" spans="1:4" x14ac:dyDescent="0.2">
      <c r="A1309" s="5">
        <v>1248</v>
      </c>
      <c r="B1309" s="138">
        <f>'Expenditures 15-22'!E174</f>
        <v>450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249445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335803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585248</v>
      </c>
      <c r="C1317" s="2" t="s">
        <v>594</v>
      </c>
      <c r="D1317" s="2" t="str">
        <f t="shared" si="19"/>
        <v>Error?</v>
      </c>
    </row>
    <row r="1318" spans="1:4" x14ac:dyDescent="0.2">
      <c r="A1318" s="5">
        <v>1257</v>
      </c>
      <c r="B1318" s="138">
        <f>'Expenditures 15-22'!H174</f>
        <v>585248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249445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335803</v>
      </c>
      <c r="C1329" s="2" t="s">
        <v>594</v>
      </c>
      <c r="D1329" s="2" t="str">
        <f t="shared" si="19"/>
        <v>Error?</v>
      </c>
    </row>
    <row r="1330" spans="1:4" x14ac:dyDescent="0.2">
      <c r="A1330" s="5">
        <v>1269</v>
      </c>
      <c r="B1330" s="138">
        <f>'Expenditures 15-22'!K171</f>
        <v>450</v>
      </c>
      <c r="C1330" s="2" t="s">
        <v>594</v>
      </c>
      <c r="D1330" s="2" t="str">
        <f t="shared" si="19"/>
        <v>Error?</v>
      </c>
    </row>
    <row r="1331" spans="1:4" x14ac:dyDescent="0.2">
      <c r="A1331" s="5">
        <v>1270</v>
      </c>
      <c r="B1331" s="138">
        <f>'Expenditures 15-22'!K172</f>
        <v>585698</v>
      </c>
      <c r="C1331" s="2" t="s">
        <v>594</v>
      </c>
      <c r="D1331" s="2" t="str">
        <f t="shared" si="19"/>
        <v>Error?</v>
      </c>
    </row>
    <row r="1332" spans="1:4" x14ac:dyDescent="0.2">
      <c r="A1332" s="5">
        <v>1271</v>
      </c>
      <c r="B1332" s="138">
        <f>'Expenditures 15-22'!K174</f>
        <v>585698</v>
      </c>
      <c r="C1332" s="2" t="s">
        <v>594</v>
      </c>
      <c r="D1332" s="2" t="str">
        <f t="shared" si="19"/>
        <v>Error?</v>
      </c>
    </row>
    <row r="1333" spans="1:4" x14ac:dyDescent="0.2">
      <c r="A1333" s="5">
        <v>1272</v>
      </c>
      <c r="B1333" s="138">
        <f>'Expenditures 15-22'!K175</f>
        <v>-80016</v>
      </c>
      <c r="C1333" s="2" t="s">
        <v>594</v>
      </c>
      <c r="D1333" s="2" t="str">
        <f t="shared" si="19"/>
        <v>Error?</v>
      </c>
    </row>
    <row r="1334" spans="1:4" x14ac:dyDescent="0.2">
      <c r="A1334" s="10">
        <v>1273</v>
      </c>
      <c r="D1334" s="2" t="str">
        <f t="shared" si="19"/>
        <v>OK</v>
      </c>
    </row>
    <row r="1335" spans="1:4" x14ac:dyDescent="0.2">
      <c r="A1335" s="5">
        <v>1274</v>
      </c>
      <c r="B1335" s="138">
        <f>'Expenditures 15-22'!C182</f>
        <v>33697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33697</v>
      </c>
      <c r="C1339" s="2" t="s">
        <v>594</v>
      </c>
      <c r="D1339" s="2" t="str">
        <f t="shared" si="19"/>
        <v>Error?</v>
      </c>
    </row>
    <row r="1340" spans="1:4" x14ac:dyDescent="0.2">
      <c r="A1340" s="5">
        <v>1279</v>
      </c>
      <c r="B1340" s="138">
        <f>'Expenditures 15-22'!C210</f>
        <v>33697</v>
      </c>
      <c r="C1340" s="2" t="s">
        <v>594</v>
      </c>
      <c r="D1340" s="2" t="str">
        <f t="shared" si="19"/>
        <v>Error?</v>
      </c>
    </row>
    <row r="1341" spans="1:4" x14ac:dyDescent="0.2">
      <c r="A1341" s="5">
        <v>1280</v>
      </c>
      <c r="B1341" s="138">
        <f>'Expenditures 15-22'!D182</f>
        <v>5895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5895</v>
      </c>
      <c r="C1345" s="2" t="s">
        <v>594</v>
      </c>
      <c r="D1345" s="2" t="str">
        <f t="shared" si="20"/>
        <v>Error?</v>
      </c>
    </row>
    <row r="1346" spans="1:4" x14ac:dyDescent="0.2">
      <c r="A1346" s="5">
        <v>1285</v>
      </c>
      <c r="B1346" s="138">
        <f>'Expenditures 15-22'!D210</f>
        <v>5895</v>
      </c>
      <c r="C1346" s="2" t="s">
        <v>594</v>
      </c>
      <c r="D1346" s="2" t="str">
        <f t="shared" si="20"/>
        <v>Error?</v>
      </c>
    </row>
    <row r="1347" spans="1:4" x14ac:dyDescent="0.2">
      <c r="A1347" s="5">
        <v>1286</v>
      </c>
      <c r="B1347" s="138">
        <f>'Expenditures 15-22'!E182</f>
        <v>2682068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2682068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2682068</v>
      </c>
      <c r="C1353" s="2" t="s">
        <v>594</v>
      </c>
      <c r="D1353" s="2" t="str">
        <f t="shared" si="20"/>
        <v>Error?</v>
      </c>
    </row>
    <row r="1354" spans="1:4" x14ac:dyDescent="0.2">
      <c r="A1354" s="5">
        <v>1293</v>
      </c>
      <c r="B1354" s="138">
        <f>'Expenditures 15-22'!F182</f>
        <v>136098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136098</v>
      </c>
      <c r="C1358" s="2" t="s">
        <v>594</v>
      </c>
      <c r="D1358" s="2" t="str">
        <f t="shared" si="20"/>
        <v>Error?</v>
      </c>
    </row>
    <row r="1359" spans="1:4" x14ac:dyDescent="0.2">
      <c r="A1359" s="5">
        <v>1298</v>
      </c>
      <c r="B1359" s="138">
        <f>'Expenditures 15-22'!F210</f>
        <v>136098</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2857758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2857758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2857758</v>
      </c>
      <c r="C1388" s="2" t="s">
        <v>594</v>
      </c>
      <c r="D1388" s="2" t="str">
        <f t="shared" si="20"/>
        <v>Error?</v>
      </c>
    </row>
    <row r="1389" spans="1:4" x14ac:dyDescent="0.2">
      <c r="A1389" s="5">
        <v>1328</v>
      </c>
      <c r="B1389" s="138">
        <f>'Expenditures 15-22'!K211</f>
        <v>180318</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5813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424968</v>
      </c>
      <c r="C1410" s="2" t="s">
        <v>594</v>
      </c>
      <c r="D1410" s="2" t="str">
        <f t="shared" si="21"/>
        <v>Error?</v>
      </c>
    </row>
    <row r="1411" spans="1:4" x14ac:dyDescent="0.2">
      <c r="A1411" s="5">
        <v>1350</v>
      </c>
      <c r="B1411" s="138">
        <f>'Expenditures 15-22'!D232</f>
        <v>2112</v>
      </c>
      <c r="D1411" s="2" t="str">
        <f t="shared" si="21"/>
        <v>Error?</v>
      </c>
    </row>
    <row r="1412" spans="1:4" x14ac:dyDescent="0.2">
      <c r="A1412" s="5">
        <v>1351</v>
      </c>
      <c r="B1412" s="138">
        <f>'Expenditures 15-22'!D233</f>
        <v>5167</v>
      </c>
      <c r="D1412" s="2" t="str">
        <f t="shared" si="21"/>
        <v>Error?</v>
      </c>
    </row>
    <row r="1413" spans="1:4" x14ac:dyDescent="0.2">
      <c r="A1413" s="5">
        <v>1352</v>
      </c>
      <c r="B1413" s="138">
        <f>'Expenditures 15-22'!D234</f>
        <v>30795</v>
      </c>
      <c r="D1413" s="2" t="str">
        <f t="shared" si="21"/>
        <v>Error?</v>
      </c>
    </row>
    <row r="1414" spans="1:4" x14ac:dyDescent="0.2">
      <c r="A1414" s="5">
        <v>1353</v>
      </c>
      <c r="B1414" s="138">
        <f>'Expenditures 15-22'!D235</f>
        <v>1958</v>
      </c>
      <c r="D1414" s="2" t="str">
        <f t="shared" si="21"/>
        <v>Error?</v>
      </c>
    </row>
    <row r="1415" spans="1:4" x14ac:dyDescent="0.2">
      <c r="A1415" s="5">
        <v>1354</v>
      </c>
      <c r="B1415" s="138">
        <f>'Expenditures 15-22'!D236</f>
        <v>8150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48182</v>
      </c>
      <c r="C1417" s="2" t="s">
        <v>594</v>
      </c>
      <c r="D1417" s="2" t="str">
        <f t="shared" si="21"/>
        <v>Error?</v>
      </c>
    </row>
    <row r="1418" spans="1:4" x14ac:dyDescent="0.2">
      <c r="A1418" s="5">
        <v>1357</v>
      </c>
      <c r="B1418" s="138">
        <f>'Expenditures 15-22'!D240</f>
        <v>6128</v>
      </c>
      <c r="D1418" s="2" t="str">
        <f t="shared" si="21"/>
        <v>Error?</v>
      </c>
    </row>
    <row r="1419" spans="1:4" x14ac:dyDescent="0.2">
      <c r="A1419" s="5">
        <v>1358</v>
      </c>
      <c r="B1419" s="138">
        <f>'Expenditures 15-22'!D241</f>
        <v>45553</v>
      </c>
      <c r="D1419" s="2" t="str">
        <f t="shared" si="21"/>
        <v>Error?</v>
      </c>
    </row>
    <row r="1420" spans="1:4" x14ac:dyDescent="0.2">
      <c r="A1420" s="5">
        <v>1359</v>
      </c>
      <c r="B1420" s="138">
        <f>'Expenditures 15-22'!D242</f>
        <v>682</v>
      </c>
      <c r="D1420" s="2" t="str">
        <f t="shared" si="21"/>
        <v>Error?</v>
      </c>
    </row>
    <row r="1421" spans="1:4" x14ac:dyDescent="0.2">
      <c r="A1421" s="5">
        <v>1360</v>
      </c>
      <c r="B1421" s="138">
        <f>'Expenditures 15-22'!D243</f>
        <v>52363</v>
      </c>
      <c r="C1421" s="2" t="s">
        <v>594</v>
      </c>
      <c r="D1421" s="2" t="str">
        <f t="shared" si="21"/>
        <v>Error?</v>
      </c>
    </row>
    <row r="1422" spans="1:4" x14ac:dyDescent="0.2">
      <c r="A1422" s="5">
        <v>1361</v>
      </c>
      <c r="B1422" s="138">
        <f>'Expenditures 15-22'!D245</f>
        <v>1054</v>
      </c>
      <c r="D1422" s="2" t="str">
        <f t="shared" si="21"/>
        <v>Error?</v>
      </c>
    </row>
    <row r="1423" spans="1:4" x14ac:dyDescent="0.2">
      <c r="A1423" s="5">
        <v>1362</v>
      </c>
      <c r="B1423" s="138">
        <f>'Expenditures 15-22'!D246</f>
        <v>19065</v>
      </c>
      <c r="D1423" s="2" t="str">
        <f t="shared" si="21"/>
        <v>Error?</v>
      </c>
    </row>
    <row r="1424" spans="1:4" x14ac:dyDescent="0.2">
      <c r="A1424" s="5">
        <v>1363</v>
      </c>
      <c r="B1424" s="138">
        <f>'Expenditures 15-22'!D257</f>
        <v>40652</v>
      </c>
      <c r="C1424" s="2" t="s">
        <v>594</v>
      </c>
      <c r="D1424" s="2" t="str">
        <f t="shared" si="21"/>
        <v>Error?</v>
      </c>
    </row>
    <row r="1425" spans="1:4" x14ac:dyDescent="0.2">
      <c r="A1425" s="5">
        <v>1364</v>
      </c>
      <c r="B1425" s="138">
        <f>'Expenditures 15-22'!D259</f>
        <v>101640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101640</v>
      </c>
      <c r="C1427" s="2" t="s">
        <v>594</v>
      </c>
      <c r="D1427" s="2" t="str">
        <f t="shared" si="21"/>
        <v>Error?</v>
      </c>
    </row>
    <row r="1428" spans="1:4" x14ac:dyDescent="0.2">
      <c r="A1428" s="5">
        <v>1367</v>
      </c>
      <c r="B1428" s="138">
        <f>'Expenditures 15-22'!D263</f>
        <v>1616</v>
      </c>
      <c r="D1428" s="2" t="str">
        <f t="shared" si="21"/>
        <v>Error?</v>
      </c>
    </row>
    <row r="1429" spans="1:4" x14ac:dyDescent="0.2">
      <c r="A1429" s="5">
        <v>1368</v>
      </c>
      <c r="B1429" s="138">
        <f>'Expenditures 15-22'!D264</f>
        <v>39815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35839</v>
      </c>
      <c r="D1431" s="2" t="str">
        <f t="shared" si="21"/>
        <v>Error?</v>
      </c>
    </row>
    <row r="1432" spans="1:4" x14ac:dyDescent="0.2">
      <c r="A1432" s="5">
        <v>1371</v>
      </c>
      <c r="B1432" s="138">
        <f>'Expenditures 15-22'!D267</f>
        <v>471</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77741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10170</v>
      </c>
      <c r="D1440" s="2" t="str">
        <f t="shared" si="21"/>
        <v>Error?</v>
      </c>
    </row>
    <row r="1441" spans="1:4" x14ac:dyDescent="0.2">
      <c r="A1441" s="10">
        <v>1380</v>
      </c>
      <c r="D1441" s="2" t="str">
        <f t="shared" si="21"/>
        <v>OK</v>
      </c>
    </row>
    <row r="1442" spans="1:4" x14ac:dyDescent="0.2">
      <c r="A1442" s="5">
        <v>1381</v>
      </c>
      <c r="B1442" s="138">
        <f>'Expenditures 15-22'!D276</f>
        <v>51068</v>
      </c>
      <c r="D1442" s="2" t="str">
        <f t="shared" si="21"/>
        <v>Error?</v>
      </c>
    </row>
    <row r="1443" spans="1:4" x14ac:dyDescent="0.2">
      <c r="A1443" s="10">
        <v>1382</v>
      </c>
      <c r="D1443" s="2" t="str">
        <f t="shared" si="21"/>
        <v>OK</v>
      </c>
    </row>
    <row r="1444" spans="1:4" x14ac:dyDescent="0.2">
      <c r="A1444" s="5">
        <v>1383</v>
      </c>
      <c r="B1444" s="138">
        <f>'Expenditures 15-22'!D277</f>
        <v>61238</v>
      </c>
      <c r="C1444" s="2" t="s">
        <v>594</v>
      </c>
      <c r="D1444" s="2" t="str">
        <f t="shared" si="21"/>
        <v>Error?</v>
      </c>
    </row>
    <row r="1445" spans="1:4" x14ac:dyDescent="0.2">
      <c r="A1445" s="5">
        <v>1384</v>
      </c>
      <c r="B1445" s="138">
        <f>'Expenditures 15-22'!D278</f>
        <v>6911</v>
      </c>
      <c r="D1445" s="2" t="str">
        <f t="shared" si="21"/>
        <v>Error?</v>
      </c>
    </row>
    <row r="1446" spans="1:4" x14ac:dyDescent="0.2">
      <c r="A1446" s="5">
        <v>1385</v>
      </c>
      <c r="B1446" s="138">
        <f>'Expenditures 15-22'!D279</f>
        <v>388727</v>
      </c>
      <c r="C1446" s="2" t="s">
        <v>594</v>
      </c>
      <c r="D1446" s="2" t="str">
        <f t="shared" si="21"/>
        <v>Error?</v>
      </c>
    </row>
    <row r="1447" spans="1:4" x14ac:dyDescent="0.2">
      <c r="A1447" s="5">
        <v>1386</v>
      </c>
      <c r="B1447" s="138">
        <f>'Expenditures 15-22'!D280</f>
        <v>21400</v>
      </c>
      <c r="D1447" s="2" t="str">
        <f t="shared" si="21"/>
        <v>Error?</v>
      </c>
    </row>
    <row r="1448" spans="1:4" x14ac:dyDescent="0.2">
      <c r="A1448" s="5">
        <v>1387</v>
      </c>
      <c r="B1448" s="138">
        <f>'Expenditures 15-22'!D295</f>
        <v>835095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5813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424968</v>
      </c>
      <c r="C1474" s="2" t="s">
        <v>594</v>
      </c>
      <c r="D1474" s="2" t="str">
        <f t="shared" si="22"/>
        <v>Error?</v>
      </c>
    </row>
    <row r="1475" spans="1:4" x14ac:dyDescent="0.2">
      <c r="A1475" s="5">
        <v>1414</v>
      </c>
      <c r="B1475" s="138">
        <f>'Expenditures 15-22'!K232</f>
        <v>2112</v>
      </c>
      <c r="C1475" s="2" t="s">
        <v>594</v>
      </c>
      <c r="D1475" s="2" t="str">
        <f t="shared" si="22"/>
        <v>Error?</v>
      </c>
    </row>
    <row r="1476" spans="1:4" x14ac:dyDescent="0.2">
      <c r="A1476" s="5">
        <v>1415</v>
      </c>
      <c r="B1476" s="138">
        <f>'Expenditures 15-22'!K233</f>
        <v>5167</v>
      </c>
      <c r="C1476" s="2" t="s">
        <v>594</v>
      </c>
      <c r="D1476" s="2" t="str">
        <f t="shared" si="22"/>
        <v>Error?</v>
      </c>
    </row>
    <row r="1477" spans="1:4" x14ac:dyDescent="0.2">
      <c r="A1477" s="5">
        <v>1416</v>
      </c>
      <c r="B1477" s="138">
        <f>'Expenditures 15-22'!K234</f>
        <v>30795</v>
      </c>
      <c r="C1477" s="2" t="s">
        <v>594</v>
      </c>
      <c r="D1477" s="2" t="str">
        <f t="shared" si="22"/>
        <v>Error?</v>
      </c>
    </row>
    <row r="1478" spans="1:4" x14ac:dyDescent="0.2">
      <c r="A1478" s="5">
        <v>1417</v>
      </c>
      <c r="B1478" s="138">
        <f>'Expenditures 15-22'!K235</f>
        <v>1958</v>
      </c>
      <c r="C1478" s="2" t="s">
        <v>594</v>
      </c>
      <c r="D1478" s="2" t="str">
        <f t="shared" si="22"/>
        <v>Error?</v>
      </c>
    </row>
    <row r="1479" spans="1:4" x14ac:dyDescent="0.2">
      <c r="A1479" s="5">
        <v>1418</v>
      </c>
      <c r="B1479" s="138">
        <f>'Expenditures 15-22'!K236</f>
        <v>8150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48182</v>
      </c>
      <c r="C1481" s="2" t="s">
        <v>594</v>
      </c>
      <c r="D1481" s="2" t="str">
        <f t="shared" si="22"/>
        <v>Error?</v>
      </c>
    </row>
    <row r="1482" spans="1:4" x14ac:dyDescent="0.2">
      <c r="A1482" s="5">
        <v>1421</v>
      </c>
      <c r="B1482" s="138">
        <f>'Expenditures 15-22'!K240</f>
        <v>6128</v>
      </c>
      <c r="C1482" s="2" t="s">
        <v>594</v>
      </c>
      <c r="D1482" s="2" t="str">
        <f t="shared" si="22"/>
        <v>Error?</v>
      </c>
    </row>
    <row r="1483" spans="1:4" x14ac:dyDescent="0.2">
      <c r="A1483" s="5">
        <v>1422</v>
      </c>
      <c r="B1483" s="138">
        <f>'Expenditures 15-22'!K241</f>
        <v>45553</v>
      </c>
      <c r="C1483" s="2" t="s">
        <v>594</v>
      </c>
      <c r="D1483" s="2" t="str">
        <f t="shared" si="22"/>
        <v>Error?</v>
      </c>
    </row>
    <row r="1484" spans="1:4" x14ac:dyDescent="0.2">
      <c r="A1484" s="5">
        <v>1423</v>
      </c>
      <c r="B1484" s="138">
        <f>'Expenditures 15-22'!K242</f>
        <v>682</v>
      </c>
      <c r="C1484" s="2" t="s">
        <v>594</v>
      </c>
      <c r="D1484" s="2" t="str">
        <f t="shared" si="22"/>
        <v>Error?</v>
      </c>
    </row>
    <row r="1485" spans="1:4" x14ac:dyDescent="0.2">
      <c r="A1485" s="5">
        <v>1424</v>
      </c>
      <c r="B1485" s="138">
        <f>'Expenditures 15-22'!K243</f>
        <v>52363</v>
      </c>
      <c r="C1485" s="2" t="s">
        <v>594</v>
      </c>
      <c r="D1485" s="2" t="str">
        <f t="shared" si="22"/>
        <v>Error?</v>
      </c>
    </row>
    <row r="1486" spans="1:4" x14ac:dyDescent="0.2">
      <c r="A1486" s="5">
        <v>1425</v>
      </c>
      <c r="B1486" s="138">
        <f>'Expenditures 15-22'!K245</f>
        <v>1054</v>
      </c>
      <c r="C1486" s="2" t="s">
        <v>594</v>
      </c>
      <c r="D1486" s="2" t="str">
        <f t="shared" si="22"/>
        <v>Error?</v>
      </c>
    </row>
    <row r="1487" spans="1:4" x14ac:dyDescent="0.2">
      <c r="A1487" s="5">
        <v>1426</v>
      </c>
      <c r="B1487" s="138">
        <f>'Expenditures 15-22'!K246</f>
        <v>19065</v>
      </c>
      <c r="C1487" s="2" t="s">
        <v>594</v>
      </c>
      <c r="D1487" s="2" t="str">
        <f t="shared" si="22"/>
        <v>Error?</v>
      </c>
    </row>
    <row r="1488" spans="1:4" x14ac:dyDescent="0.2">
      <c r="A1488" s="5">
        <v>1427</v>
      </c>
      <c r="B1488" s="138">
        <f>'Expenditures 15-22'!K257</f>
        <v>40652</v>
      </c>
      <c r="C1488" s="2" t="s">
        <v>594</v>
      </c>
      <c r="D1488" s="2" t="str">
        <f t="shared" si="22"/>
        <v>Error?</v>
      </c>
    </row>
    <row r="1489" spans="1:4" x14ac:dyDescent="0.2">
      <c r="A1489" s="5">
        <v>1428</v>
      </c>
      <c r="B1489" s="138">
        <f>'Expenditures 15-22'!K259</f>
        <v>101640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101640</v>
      </c>
      <c r="C1491" s="2" t="s">
        <v>594</v>
      </c>
      <c r="D1491" s="2" t="str">
        <f t="shared" si="22"/>
        <v>Error?</v>
      </c>
    </row>
    <row r="1492" spans="1:4" x14ac:dyDescent="0.2">
      <c r="A1492" s="5">
        <v>1431</v>
      </c>
      <c r="B1492" s="138">
        <f>'Expenditures 15-22'!K263</f>
        <v>1616</v>
      </c>
      <c r="C1492" s="2" t="s">
        <v>594</v>
      </c>
      <c r="D1492" s="2" t="str">
        <f t="shared" si="22"/>
        <v>Error?</v>
      </c>
    </row>
    <row r="1493" spans="1:4" x14ac:dyDescent="0.2">
      <c r="A1493" s="5">
        <v>1432</v>
      </c>
      <c r="B1493" s="138">
        <f>'Expenditures 15-22'!K264</f>
        <v>39815</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35839</v>
      </c>
      <c r="C1495" s="2" t="s">
        <v>594</v>
      </c>
      <c r="D1495" s="2" t="str">
        <f t="shared" si="22"/>
        <v>Error?</v>
      </c>
    </row>
    <row r="1496" spans="1:4" x14ac:dyDescent="0.2">
      <c r="A1496" s="5">
        <v>1435</v>
      </c>
      <c r="B1496" s="138">
        <f>'Expenditures 15-22'!K267</f>
        <v>471</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77741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10170</v>
      </c>
      <c r="C1504" s="2" t="s">
        <v>594</v>
      </c>
      <c r="D1504" s="2" t="str">
        <f t="shared" si="22"/>
        <v>Error?</v>
      </c>
    </row>
    <row r="1505" spans="1:4" x14ac:dyDescent="0.2">
      <c r="A1505" s="10">
        <v>1444</v>
      </c>
      <c r="D1505" s="2" t="str">
        <f t="shared" si="22"/>
        <v>OK</v>
      </c>
    </row>
    <row r="1506" spans="1:4" x14ac:dyDescent="0.2">
      <c r="A1506" s="5">
        <v>1445</v>
      </c>
      <c r="B1506" s="138">
        <f>'Expenditures 15-22'!K276</f>
        <v>51068</v>
      </c>
      <c r="C1506" s="2" t="s">
        <v>594</v>
      </c>
      <c r="D1506" s="2" t="str">
        <f t="shared" si="22"/>
        <v>Error?</v>
      </c>
    </row>
    <row r="1507" spans="1:4" x14ac:dyDescent="0.2">
      <c r="A1507" s="10">
        <v>1446</v>
      </c>
      <c r="D1507" s="2" t="str">
        <f t="shared" si="22"/>
        <v>OK</v>
      </c>
    </row>
    <row r="1508" spans="1:4" x14ac:dyDescent="0.2">
      <c r="A1508" s="5">
        <v>1447</v>
      </c>
      <c r="B1508" s="138">
        <f>'Expenditures 15-22'!K277</f>
        <v>61238</v>
      </c>
      <c r="C1508" s="2" t="s">
        <v>594</v>
      </c>
      <c r="D1508" s="2" t="str">
        <f t="shared" si="22"/>
        <v>Error?</v>
      </c>
    </row>
    <row r="1509" spans="1:4" x14ac:dyDescent="0.2">
      <c r="A1509" s="5">
        <v>1448</v>
      </c>
      <c r="B1509" s="138">
        <f>'Expenditures 15-22'!K278</f>
        <v>6911</v>
      </c>
      <c r="C1509" s="2" t="s">
        <v>594</v>
      </c>
      <c r="D1509" s="2" t="str">
        <f t="shared" si="22"/>
        <v>Error?</v>
      </c>
    </row>
    <row r="1510" spans="1:4" x14ac:dyDescent="0.2">
      <c r="A1510" s="5">
        <v>1449</v>
      </c>
      <c r="B1510" s="138">
        <f>'Expenditures 15-22'!K279</f>
        <v>388727</v>
      </c>
      <c r="C1510" s="2" t="s">
        <v>594</v>
      </c>
      <c r="D1510" s="2" t="str">
        <f t="shared" si="22"/>
        <v>Error?</v>
      </c>
    </row>
    <row r="1511" spans="1:4" x14ac:dyDescent="0.2">
      <c r="A1511" s="5">
        <v>1450</v>
      </c>
      <c r="B1511" s="138">
        <f>'Expenditures 15-22'!K280</f>
        <v>21400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835095</v>
      </c>
      <c r="C1517" s="2" t="s">
        <v>594</v>
      </c>
      <c r="D1517" s="2" t="str">
        <f t="shared" si="22"/>
        <v>Error?</v>
      </c>
    </row>
    <row r="1518" spans="1:4" x14ac:dyDescent="0.2">
      <c r="A1518" s="5">
        <v>1457</v>
      </c>
      <c r="B1518" s="138">
        <f>'Expenditures 15-22'!K296</f>
        <v>61245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-929065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-1071992</v>
      </c>
      <c r="C1630" s="2" t="s">
        <v>594</v>
      </c>
      <c r="D1630" s="2" t="str">
        <f t="shared" si="24"/>
        <v>Error?</v>
      </c>
    </row>
    <row r="1631" spans="1:4" x14ac:dyDescent="0.2">
      <c r="A1631" s="5">
        <v>1570</v>
      </c>
      <c r="B1631" s="138">
        <f>'Acct Summary 7-8'!D79</f>
        <v>-120309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121363</v>
      </c>
      <c r="C1644" s="2" t="s">
        <v>594</v>
      </c>
      <c r="D1644" s="2" t="str">
        <f t="shared" si="24"/>
        <v>Error?</v>
      </c>
    </row>
    <row r="1645" spans="1:4" x14ac:dyDescent="0.2">
      <c r="A1645" s="5">
        <v>1584</v>
      </c>
      <c r="B1645" s="138">
        <f>'Acct Summary 7-8'!E79</f>
        <v>163055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166042</v>
      </c>
      <c r="C1658" s="2" t="s">
        <v>594</v>
      </c>
      <c r="D1658" s="2" t="str">
        <f t="shared" si="24"/>
        <v>Error?</v>
      </c>
    </row>
    <row r="1659" spans="1:4" x14ac:dyDescent="0.2">
      <c r="A1659" s="5">
        <v>1598</v>
      </c>
      <c r="B1659" s="138">
        <f>'Acct Summary 7-8'!F79</f>
        <v>-362991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-182673</v>
      </c>
      <c r="C1672" s="2" t="s">
        <v>594</v>
      </c>
      <c r="D1672" s="2" t="str">
        <f t="shared" si="25"/>
        <v>Error?</v>
      </c>
    </row>
    <row r="1673" spans="1:4" x14ac:dyDescent="0.2">
      <c r="A1673" s="5">
        <v>1612</v>
      </c>
      <c r="B1673" s="138">
        <f>'Acct Summary 7-8'!G79</f>
        <v>180106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241351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11236217</v>
      </c>
      <c r="C1744" s="2" t="s">
        <v>594</v>
      </c>
      <c r="D1744" s="2" t="str">
        <f t="shared" si="26"/>
        <v>Error?</v>
      </c>
    </row>
    <row r="1745" spans="1:5" x14ac:dyDescent="0.2">
      <c r="A1745" s="5">
        <v>1684</v>
      </c>
      <c r="B1745" s="138">
        <f>'Tax Sched 23'!B5</f>
        <v>1549869</v>
      </c>
      <c r="C1745" s="2" t="s">
        <v>594</v>
      </c>
      <c r="D1745" s="2" t="str">
        <f t="shared" si="26"/>
        <v>Error?</v>
      </c>
    </row>
    <row r="1746" spans="1:5" x14ac:dyDescent="0.2">
      <c r="A1746" s="5">
        <v>1685</v>
      </c>
      <c r="B1746" s="138">
        <f>'Tax Sched 23'!B6</f>
        <v>418289</v>
      </c>
      <c r="C1746" s="2" t="s">
        <v>594</v>
      </c>
      <c r="D1746" s="2" t="str">
        <f t="shared" si="26"/>
        <v>Error?</v>
      </c>
    </row>
    <row r="1747" spans="1:5" x14ac:dyDescent="0.2">
      <c r="A1747" s="5">
        <v>1686</v>
      </c>
      <c r="B1747" s="138">
        <f>'Tax Sched 23'!B7</f>
        <v>968704</v>
      </c>
      <c r="C1747" s="2" t="s">
        <v>594</v>
      </c>
      <c r="D1747" s="2" t="str">
        <f t="shared" si="26"/>
        <v>Error?</v>
      </c>
    </row>
    <row r="1748" spans="1:5" x14ac:dyDescent="0.2">
      <c r="A1748" s="5">
        <v>1687</v>
      </c>
      <c r="B1748" s="138">
        <f>'Tax Sched 23'!B8</f>
        <v>241237</v>
      </c>
      <c r="C1748" s="2" t="s">
        <v>594</v>
      </c>
      <c r="D1748" s="2" t="str">
        <f t="shared" si="26"/>
        <v>Error?</v>
      </c>
    </row>
    <row r="1749" spans="1:5" x14ac:dyDescent="0.2">
      <c r="A1749" s="5">
        <v>1688</v>
      </c>
      <c r="B1749" s="138">
        <f>'Tax Sched 23'!B10</f>
        <v>231158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287691</v>
      </c>
      <c r="C1753" s="2" t="s">
        <v>594</v>
      </c>
      <c r="D1753" s="2" t="str">
        <f t="shared" si="26"/>
        <v>Error?</v>
      </c>
    </row>
    <row r="1754" spans="1:5" x14ac:dyDescent="0.2">
      <c r="A1754" s="5">
        <v>1693</v>
      </c>
      <c r="B1754" s="138">
        <f>'Tax Sched 23'!B14</f>
        <v>107544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15207350</v>
      </c>
      <c r="C1759" s="2" t="s">
        <v>594</v>
      </c>
      <c r="D1759" s="2" t="str">
        <f t="shared" si="26"/>
        <v>Error?</v>
      </c>
    </row>
    <row r="1760" spans="1:5" x14ac:dyDescent="0.2">
      <c r="A1760" s="5">
        <v>1699</v>
      </c>
      <c r="B1760" s="138">
        <f>'Tax Sched 23'!D4</f>
        <v>11236217</v>
      </c>
      <c r="C1760" s="2" t="s">
        <v>594</v>
      </c>
      <c r="D1760" s="2" t="str">
        <f t="shared" si="26"/>
        <v>Error?</v>
      </c>
    </row>
    <row r="1761" spans="1:5" x14ac:dyDescent="0.2">
      <c r="A1761" s="5">
        <v>1700</v>
      </c>
      <c r="B1761" s="138">
        <f>'Tax Sched 23'!D5</f>
        <v>1549869</v>
      </c>
      <c r="C1761" s="2" t="s">
        <v>594</v>
      </c>
      <c r="D1761" s="2" t="str">
        <f t="shared" si="26"/>
        <v>Error?</v>
      </c>
    </row>
    <row r="1762" spans="1:5" s="8" customFormat="1" x14ac:dyDescent="0.2">
      <c r="A1762" s="5">
        <v>1701</v>
      </c>
      <c r="B1762" s="138">
        <f>'Tax Sched 23'!D6</f>
        <v>418289</v>
      </c>
      <c r="C1762" s="2" t="s">
        <v>594</v>
      </c>
      <c r="D1762" s="2" t="str">
        <f t="shared" si="26"/>
        <v>Error?</v>
      </c>
      <c r="E1762" s="9"/>
    </row>
    <row r="1763" spans="1:5" x14ac:dyDescent="0.2">
      <c r="A1763" s="5">
        <v>1702</v>
      </c>
      <c r="B1763" s="138">
        <f>'Tax Sched 23'!D7</f>
        <v>968704</v>
      </c>
      <c r="C1763" s="2" t="s">
        <v>594</v>
      </c>
      <c r="D1763" s="2" t="str">
        <f t="shared" si="26"/>
        <v>Error?</v>
      </c>
    </row>
    <row r="1764" spans="1:5" x14ac:dyDescent="0.2">
      <c r="A1764" s="5">
        <v>1703</v>
      </c>
      <c r="B1764" s="138">
        <f>'Tax Sched 23'!D8</f>
        <v>241237</v>
      </c>
      <c r="C1764" s="2" t="s">
        <v>594</v>
      </c>
      <c r="D1764" s="2" t="str">
        <f t="shared" si="26"/>
        <v>Error?</v>
      </c>
    </row>
    <row r="1765" spans="1:5" x14ac:dyDescent="0.2">
      <c r="A1765" s="5">
        <v>1704</v>
      </c>
      <c r="B1765" s="138">
        <f>'Tax Sched 23'!D10</f>
        <v>231158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287691</v>
      </c>
      <c r="C1769" s="2" t="s">
        <v>594</v>
      </c>
      <c r="D1769" s="2" t="str">
        <f t="shared" si="26"/>
        <v>Error?</v>
      </c>
    </row>
    <row r="1770" spans="1:5" x14ac:dyDescent="0.2">
      <c r="A1770" s="5">
        <v>1709</v>
      </c>
      <c r="B1770" s="138">
        <f>'Tax Sched 23'!D14</f>
        <v>107544</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15207350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11486036</v>
      </c>
      <c r="C1792" s="2" t="s">
        <v>594</v>
      </c>
      <c r="D1792" s="2" t="str">
        <f t="shared" si="27"/>
        <v>Error?</v>
      </c>
    </row>
    <row r="1793" spans="1:4" x14ac:dyDescent="0.2">
      <c r="A1793" s="5">
        <v>1732</v>
      </c>
      <c r="B1793" s="138">
        <f>'Tax Sched 23'!F5</f>
        <v>1668986</v>
      </c>
      <c r="C1793" s="2" t="s">
        <v>594</v>
      </c>
      <c r="D1793" s="2" t="str">
        <f t="shared" si="27"/>
        <v>Error?</v>
      </c>
    </row>
    <row r="1794" spans="1:4" x14ac:dyDescent="0.2">
      <c r="A1794" s="5">
        <v>1733</v>
      </c>
      <c r="B1794" s="138">
        <f>'Tax Sched 23'!F6</f>
        <v>416654</v>
      </c>
      <c r="C1794" s="2" t="s">
        <v>594</v>
      </c>
      <c r="D1794" s="2" t="str">
        <f t="shared" si="27"/>
        <v>Error?</v>
      </c>
    </row>
    <row r="1795" spans="1:4" x14ac:dyDescent="0.2">
      <c r="A1795" s="5">
        <v>1734</v>
      </c>
      <c r="B1795" s="138">
        <f>'Tax Sched 23'!F7</f>
        <v>1079935</v>
      </c>
      <c r="C1795" s="2" t="s">
        <v>594</v>
      </c>
      <c r="D1795" s="2" t="str">
        <f t="shared" si="27"/>
        <v>Error?</v>
      </c>
    </row>
    <row r="1796" spans="1:4" x14ac:dyDescent="0.2">
      <c r="A1796" s="5">
        <v>1735</v>
      </c>
      <c r="B1796" s="138">
        <f>'Tax Sched 23'!F8</f>
        <v>245466</v>
      </c>
      <c r="C1796" s="2" t="s">
        <v>594</v>
      </c>
      <c r="D1796" s="2" t="str">
        <f t="shared" si="27"/>
        <v>Error?</v>
      </c>
    </row>
    <row r="1797" spans="1:4" x14ac:dyDescent="0.2">
      <c r="A1797" s="5">
        <v>1736</v>
      </c>
      <c r="B1797" s="138">
        <f>'Tax Sched 23'!F10</f>
        <v>237390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299482</v>
      </c>
      <c r="C1801" s="2" t="s">
        <v>594</v>
      </c>
      <c r="D1801" s="2" t="str">
        <f t="shared" si="27"/>
        <v>Error?</v>
      </c>
    </row>
    <row r="1802" spans="1:4" x14ac:dyDescent="0.2">
      <c r="A1802" s="5">
        <v>1741</v>
      </c>
      <c r="B1802" s="138">
        <f>'Tax Sched 23'!F14</f>
        <v>110015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15713846</v>
      </c>
      <c r="C1807" s="2" t="s">
        <v>594</v>
      </c>
      <c r="D1807" s="2" t="str">
        <f t="shared" si="27"/>
        <v>Error?</v>
      </c>
    </row>
    <row r="1808" spans="1:4" x14ac:dyDescent="0.2">
      <c r="A1808" s="5">
        <v>1747</v>
      </c>
      <c r="B1808" s="138">
        <f>'Tax Sched 23'!E4</f>
        <v>11486036</v>
      </c>
      <c r="D1808" s="2" t="str">
        <f t="shared" si="27"/>
        <v>Error?</v>
      </c>
    </row>
    <row r="1809" spans="1:4" x14ac:dyDescent="0.2">
      <c r="A1809" s="5">
        <v>1748</v>
      </c>
      <c r="B1809" s="138">
        <f>'Tax Sched 23'!E5</f>
        <v>1668986</v>
      </c>
      <c r="D1809" s="2" t="str">
        <f t="shared" si="27"/>
        <v>Error?</v>
      </c>
    </row>
    <row r="1810" spans="1:4" x14ac:dyDescent="0.2">
      <c r="A1810" s="5">
        <v>1749</v>
      </c>
      <c r="B1810" s="138">
        <f>'Tax Sched 23'!E6</f>
        <v>416654</v>
      </c>
      <c r="D1810" s="2" t="str">
        <f t="shared" si="27"/>
        <v>Error?</v>
      </c>
    </row>
    <row r="1811" spans="1:4" x14ac:dyDescent="0.2">
      <c r="A1811" s="5">
        <v>1750</v>
      </c>
      <c r="B1811" s="138">
        <f>'Tax Sched 23'!E7</f>
        <v>1079935</v>
      </c>
      <c r="D1811" s="2" t="str">
        <f t="shared" si="27"/>
        <v>Error?</v>
      </c>
    </row>
    <row r="1812" spans="1:4" x14ac:dyDescent="0.2">
      <c r="A1812" s="5">
        <v>1751</v>
      </c>
      <c r="B1812" s="138">
        <f>'Tax Sched 23'!E8</f>
        <v>245466</v>
      </c>
      <c r="D1812" s="2" t="str">
        <f t="shared" si="27"/>
        <v>Error?</v>
      </c>
    </row>
    <row r="1813" spans="1:4" x14ac:dyDescent="0.2">
      <c r="A1813" s="5">
        <v>1752</v>
      </c>
      <c r="B1813" s="138">
        <f>'Tax Sched 23'!E10</f>
        <v>237390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299482</v>
      </c>
      <c r="D1817" s="2" t="str">
        <f t="shared" si="27"/>
        <v>Error?</v>
      </c>
    </row>
    <row r="1818" spans="1:4" x14ac:dyDescent="0.2">
      <c r="A1818" s="5">
        <v>1757</v>
      </c>
      <c r="B1818" s="138">
        <f>'Tax Sched 23'!E14</f>
        <v>110015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15713846</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4050000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107544</v>
      </c>
      <c r="D1972" s="2" t="str">
        <f t="shared" si="29"/>
        <v>Error?</v>
      </c>
    </row>
    <row r="1973" spans="1:5" x14ac:dyDescent="0.2">
      <c r="A1973" s="5">
        <v>1912</v>
      </c>
      <c r="B1973" s="138">
        <f>'Rest Tax Levies-Tort Im 25'!H6</f>
        <v>77</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107621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107621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378038</v>
      </c>
      <c r="D2008" s="2" t="str">
        <f t="shared" si="30"/>
        <v>Error?</v>
      </c>
    </row>
    <row r="2009" spans="1:4" x14ac:dyDescent="0.2">
      <c r="A2009" s="5">
        <v>1948</v>
      </c>
      <c r="B2009" s="138">
        <f>'Cap Outlay Deprec 26'!C8</f>
        <v>60470912</v>
      </c>
      <c r="D2009" s="2" t="str">
        <f t="shared" si="30"/>
        <v>Error?</v>
      </c>
    </row>
    <row r="2010" spans="1:4" x14ac:dyDescent="0.2">
      <c r="A2010" s="5">
        <v>1949</v>
      </c>
      <c r="B2010" s="138">
        <f>'Cap Outlay Deprec 26'!C10</f>
        <v>237795</v>
      </c>
      <c r="D2010" s="2" t="str">
        <f t="shared" si="30"/>
        <v>Error?</v>
      </c>
    </row>
    <row r="2011" spans="1:4" x14ac:dyDescent="0.2">
      <c r="A2011" s="5">
        <v>1950</v>
      </c>
      <c r="B2011" s="138">
        <f>'Cap Outlay Deprec 26'!C12</f>
        <v>4357946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65444691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245206</v>
      </c>
      <c r="D2015" s="2" t="str">
        <f t="shared" si="30"/>
        <v>Error?</v>
      </c>
    </row>
    <row r="2016" spans="1:4" x14ac:dyDescent="0.2">
      <c r="A2016" s="5">
        <v>1955</v>
      </c>
      <c r="B2016" s="138">
        <f>'Cap Outlay Deprec 26'!D10</f>
        <v>10592</v>
      </c>
      <c r="D2016" s="2" t="str">
        <f t="shared" si="30"/>
        <v>Error?</v>
      </c>
    </row>
    <row r="2017" spans="1:4" x14ac:dyDescent="0.2">
      <c r="A2017" s="5">
        <v>1956</v>
      </c>
      <c r="B2017" s="138">
        <f>'Cap Outlay Deprec 26'!D12</f>
        <v>120046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375844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629955</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629955</v>
      </c>
      <c r="C2025" s="2" t="s">
        <v>594</v>
      </c>
      <c r="D2025" s="2" t="str">
        <f t="shared" si="30"/>
        <v>Error?</v>
      </c>
    </row>
    <row r="2026" spans="1:4" x14ac:dyDescent="0.2">
      <c r="A2026" s="5">
        <v>1965</v>
      </c>
      <c r="B2026" s="138">
        <f>'Cap Outlay Deprec 26'!F5</f>
        <v>378038</v>
      </c>
      <c r="C2026" s="2" t="s">
        <v>594</v>
      </c>
      <c r="D2026" s="2" t="str">
        <f t="shared" si="30"/>
        <v>Error?</v>
      </c>
    </row>
    <row r="2027" spans="1:4" x14ac:dyDescent="0.2">
      <c r="A2027" s="5">
        <v>1966</v>
      </c>
      <c r="B2027" s="138">
        <f>'Cap Outlay Deprec 26'!F8</f>
        <v>60716118</v>
      </c>
      <c r="C2027" s="2" t="s">
        <v>594</v>
      </c>
      <c r="D2027" s="2" t="str">
        <f t="shared" si="30"/>
        <v>Error?</v>
      </c>
    </row>
    <row r="2028" spans="1:4" x14ac:dyDescent="0.2">
      <c r="A2028" s="5">
        <v>1967</v>
      </c>
      <c r="B2028" s="138">
        <f>'Cap Outlay Deprec 26'!F10</f>
        <v>248387</v>
      </c>
      <c r="C2028" s="2" t="s">
        <v>594</v>
      </c>
      <c r="D2028" s="2" t="str">
        <f t="shared" si="30"/>
        <v>Error?</v>
      </c>
    </row>
    <row r="2029" spans="1:4" x14ac:dyDescent="0.2">
      <c r="A2029" s="5">
        <v>1968</v>
      </c>
      <c r="B2029" s="138">
        <f>'Cap Outlay Deprec 26'!F12</f>
        <v>3848037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65190580</v>
      </c>
      <c r="C2031" s="2" t="s">
        <v>594</v>
      </c>
      <c r="D2031" s="2" t="str">
        <f t="shared" si="30"/>
        <v>Error?</v>
      </c>
    </row>
    <row r="2032" spans="1:4" x14ac:dyDescent="0.2">
      <c r="A2032" s="10">
        <v>1971</v>
      </c>
      <c r="D2032" s="2" t="str">
        <f t="shared" si="30"/>
        <v>OK</v>
      </c>
    </row>
    <row r="2033" spans="1:4" x14ac:dyDescent="0.2">
      <c r="A2033" s="5">
        <v>1972</v>
      </c>
      <c r="B2033" s="138">
        <f>'Cap Outlay Deprec 26'!H8</f>
        <v>25292297</v>
      </c>
      <c r="D2033" s="2" t="str">
        <f t="shared" si="30"/>
        <v>Error?</v>
      </c>
    </row>
    <row r="2034" spans="1:4" x14ac:dyDescent="0.2">
      <c r="A2034" s="5">
        <v>1973</v>
      </c>
      <c r="B2034" s="138">
        <f>'Cap Outlay Deprec 26'!H10</f>
        <v>210213</v>
      </c>
      <c r="D2034" s="2" t="str">
        <f t="shared" si="30"/>
        <v>Error?</v>
      </c>
    </row>
    <row r="2035" spans="1:4" x14ac:dyDescent="0.2">
      <c r="A2035" s="5">
        <v>1974</v>
      </c>
      <c r="B2035" s="138">
        <f>'Cap Outlay Deprec 26'!H12</f>
        <v>2903377</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28405887</v>
      </c>
      <c r="C2037" s="2" t="s">
        <v>594</v>
      </c>
      <c r="D2037" s="2" t="str">
        <f t="shared" si="30"/>
        <v>Error?</v>
      </c>
    </row>
    <row r="2038" spans="1:4" x14ac:dyDescent="0.2">
      <c r="A2038" s="10">
        <v>1977</v>
      </c>
      <c r="D2038" s="2" t="str">
        <f t="shared" si="30"/>
        <v>OK</v>
      </c>
    </row>
    <row r="2039" spans="1:4" x14ac:dyDescent="0.2">
      <c r="A2039" s="5">
        <v>1978</v>
      </c>
      <c r="B2039" s="138">
        <f>'Cap Outlay Deprec 26'!I8</f>
        <v>1130806</v>
      </c>
      <c r="D2039" s="2" t="str">
        <f t="shared" si="30"/>
        <v>Error?</v>
      </c>
    </row>
    <row r="2040" spans="1:4" x14ac:dyDescent="0.2">
      <c r="A2040" s="5">
        <v>1979</v>
      </c>
      <c r="B2040" s="138">
        <f>'Cap Outlay Deprec 26'!I10</f>
        <v>2112</v>
      </c>
      <c r="D2040" s="2" t="str">
        <f t="shared" si="30"/>
        <v>Error?</v>
      </c>
    </row>
    <row r="2041" spans="1:4" x14ac:dyDescent="0.2">
      <c r="A2041" s="5">
        <v>1980</v>
      </c>
      <c r="B2041" s="138">
        <f>'Cap Outlay Deprec 26'!I12</f>
        <v>386178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1519096</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629955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629955</v>
      </c>
      <c r="C2049" s="2" t="s">
        <v>594</v>
      </c>
      <c r="D2049" s="2" t="str">
        <f t="shared" si="31"/>
        <v>Error?</v>
      </c>
    </row>
    <row r="2050" spans="1:4" x14ac:dyDescent="0.2">
      <c r="A2050" s="10">
        <v>1989</v>
      </c>
      <c r="D2050" s="2" t="str">
        <f t="shared" si="31"/>
        <v>OK</v>
      </c>
    </row>
    <row r="2051" spans="1:4" x14ac:dyDescent="0.2">
      <c r="A2051" s="5">
        <v>1990</v>
      </c>
      <c r="B2051" s="138">
        <f>'Cap Outlay Deprec 26'!K8</f>
        <v>26423103</v>
      </c>
      <c r="C2051" s="2" t="s">
        <v>594</v>
      </c>
      <c r="D2051" s="2" t="str">
        <f t="shared" si="31"/>
        <v>Error?</v>
      </c>
    </row>
    <row r="2052" spans="1:4" x14ac:dyDescent="0.2">
      <c r="A2052" s="5">
        <v>1991</v>
      </c>
      <c r="B2052" s="138">
        <f>'Cap Outlay Deprec 26'!K10</f>
        <v>212325</v>
      </c>
      <c r="C2052" s="2" t="s">
        <v>594</v>
      </c>
      <c r="D2052" s="2" t="str">
        <f t="shared" si="31"/>
        <v>Error?</v>
      </c>
    </row>
    <row r="2053" spans="1:4" x14ac:dyDescent="0.2">
      <c r="A2053" s="5">
        <v>1992</v>
      </c>
      <c r="B2053" s="138">
        <f>'Cap Outlay Deprec 26'!K12</f>
        <v>2659600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29295028</v>
      </c>
      <c r="C2055" s="2" t="s">
        <v>594</v>
      </c>
      <c r="D2055" s="2" t="str">
        <f t="shared" si="31"/>
        <v>Error?</v>
      </c>
    </row>
    <row r="2056" spans="1:4" x14ac:dyDescent="0.2">
      <c r="A2056" s="5">
        <v>1995</v>
      </c>
      <c r="B2056" s="138">
        <f>'Cap Outlay Deprec 26'!L5</f>
        <v>378038</v>
      </c>
      <c r="C2056" s="2" t="s">
        <v>594</v>
      </c>
      <c r="D2056" s="2" t="str">
        <f t="shared" si="31"/>
        <v>Error?</v>
      </c>
    </row>
    <row r="2057" spans="1:4" x14ac:dyDescent="0.2">
      <c r="A2057" s="5">
        <v>1996</v>
      </c>
      <c r="B2057" s="138">
        <f>'Cap Outlay Deprec 26'!L8</f>
        <v>34293015</v>
      </c>
      <c r="C2057" s="2" t="s">
        <v>594</v>
      </c>
      <c r="D2057" s="2" t="str">
        <f t="shared" si="31"/>
        <v>Error?</v>
      </c>
    </row>
    <row r="2058" spans="1:4" x14ac:dyDescent="0.2">
      <c r="A2058" s="5">
        <v>1997</v>
      </c>
      <c r="B2058" s="138">
        <f>'Cap Outlay Deprec 26'!L10</f>
        <v>36062</v>
      </c>
      <c r="C2058" s="2" t="s">
        <v>594</v>
      </c>
      <c r="D2058" s="2" t="str">
        <f t="shared" si="31"/>
        <v>Error?</v>
      </c>
    </row>
    <row r="2059" spans="1:4" x14ac:dyDescent="0.2">
      <c r="A2059" s="5">
        <v>1998</v>
      </c>
      <c r="B2059" s="138">
        <f>'Cap Outlay Deprec 26'!L12</f>
        <v>1188437</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35895552</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284301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297939</v>
      </c>
      <c r="C2088" s="2" t="s">
        <v>594</v>
      </c>
      <c r="D2088" s="2" t="str">
        <f t="shared" si="31"/>
        <v>Error?</v>
      </c>
    </row>
    <row r="2089" spans="1:4" x14ac:dyDescent="0.2">
      <c r="A2089" s="5">
        <v>2028</v>
      </c>
      <c r="B2089" s="138">
        <f>'Expenditures 15-22'!K92</f>
        <v>188535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12660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15183167</v>
      </c>
      <c r="C2551" s="2" t="s">
        <v>594</v>
      </c>
      <c r="D2551" s="2" t="str">
        <f t="shared" si="38"/>
        <v>Error?</v>
      </c>
    </row>
    <row r="2552" spans="1:4" x14ac:dyDescent="0.2">
      <c r="A2552" s="10">
        <v>2491</v>
      </c>
      <c r="D2552" s="2" t="str">
        <f t="shared" si="38"/>
        <v>OK</v>
      </c>
    </row>
    <row r="2553" spans="1:4" x14ac:dyDescent="0.2">
      <c r="A2553" s="5">
        <v>2492</v>
      </c>
      <c r="B2553" s="138">
        <f>'Acct Summary 7-8'!C6</f>
        <v>11298701</v>
      </c>
      <c r="C2553" s="2" t="s">
        <v>594</v>
      </c>
      <c r="D2553" s="2" t="str">
        <f t="shared" si="38"/>
        <v>Error?</v>
      </c>
    </row>
    <row r="2554" spans="1:4" x14ac:dyDescent="0.2">
      <c r="A2554" s="5">
        <v>2493</v>
      </c>
      <c r="B2554" s="138">
        <f>'Acct Summary 7-8'!C7</f>
        <v>3723700</v>
      </c>
      <c r="C2554" s="2" t="s">
        <v>594</v>
      </c>
      <c r="D2554" s="2" t="str">
        <f t="shared" si="38"/>
        <v>Error?</v>
      </c>
    </row>
    <row r="2555" spans="1:4" x14ac:dyDescent="0.2">
      <c r="A2555" s="5">
        <v>2494</v>
      </c>
      <c r="B2555" s="138">
        <f>'Acct Summary 7-8'!C8</f>
        <v>30205568</v>
      </c>
      <c r="C2555" s="2" t="s">
        <v>594</v>
      </c>
      <c r="D2555" s="2" t="str">
        <f t="shared" si="38"/>
        <v>Error?</v>
      </c>
    </row>
    <row r="2556" spans="1:4" x14ac:dyDescent="0.2">
      <c r="A2556" s="5">
        <v>2495</v>
      </c>
      <c r="B2556" s="138">
        <f>'Acct Summary 7-8'!C12</f>
        <v>19339804</v>
      </c>
      <c r="C2556" s="2" t="s">
        <v>594</v>
      </c>
      <c r="D2556" s="2" t="str">
        <f t="shared" si="38"/>
        <v>Error?</v>
      </c>
    </row>
    <row r="2557" spans="1:4" x14ac:dyDescent="0.2">
      <c r="A2557" s="5">
        <v>2496</v>
      </c>
      <c r="B2557" s="138">
        <f>'Acct Summary 7-8'!C13</f>
        <v>10775551</v>
      </c>
      <c r="C2557" s="2" t="s">
        <v>594</v>
      </c>
      <c r="D2557" s="2" t="str">
        <f t="shared" si="38"/>
        <v>Error?</v>
      </c>
    </row>
    <row r="2558" spans="1:4" x14ac:dyDescent="0.2">
      <c r="A2558" s="5">
        <v>2497</v>
      </c>
      <c r="B2558" s="138">
        <f>'Acct Summary 7-8'!C14</f>
        <v>147965</v>
      </c>
      <c r="C2558" s="2" t="s">
        <v>594</v>
      </c>
      <c r="D2558" s="2" t="str">
        <f t="shared" si="38"/>
        <v>Error?</v>
      </c>
    </row>
    <row r="2559" spans="1:4" x14ac:dyDescent="0.2">
      <c r="A2559" s="5">
        <v>2498</v>
      </c>
      <c r="B2559" s="138">
        <f>'Acct Summary 7-8'!C15</f>
        <v>486474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30749794</v>
      </c>
      <c r="C2561" s="2" t="s">
        <v>594</v>
      </c>
      <c r="D2561" s="2" t="str">
        <f t="shared" si="39"/>
        <v>Error?</v>
      </c>
    </row>
    <row r="2562" spans="1:4" x14ac:dyDescent="0.2">
      <c r="A2562" s="5">
        <v>2501</v>
      </c>
      <c r="B2562" s="138">
        <f>'Acct Summary 7-8'!C20</f>
        <v>-544226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1826091</v>
      </c>
      <c r="C2564" s="2" t="s">
        <v>594</v>
      </c>
      <c r="D2564" s="2" t="str">
        <f t="shared" si="39"/>
        <v>Error?</v>
      </c>
    </row>
    <row r="2565" spans="1:4" x14ac:dyDescent="0.2">
      <c r="A2565" s="10">
        <v>2504</v>
      </c>
      <c r="D2565" s="2" t="str">
        <f t="shared" si="39"/>
        <v>OK</v>
      </c>
    </row>
    <row r="2566" spans="1:4" x14ac:dyDescent="0.2">
      <c r="A2566" s="5">
        <v>2505</v>
      </c>
      <c r="B2566" s="138">
        <f>'Acct Summary 7-8'!D6</f>
        <v>785987</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2612078</v>
      </c>
      <c r="C2568" s="2" t="s">
        <v>594</v>
      </c>
      <c r="D2568" s="2" t="str">
        <f t="shared" si="39"/>
        <v>Error?</v>
      </c>
    </row>
    <row r="2569" spans="1:4" x14ac:dyDescent="0.2">
      <c r="A2569" s="5">
        <v>2508</v>
      </c>
      <c r="B2569" s="138">
        <f>'Acct Summary 7-8'!D13</f>
        <v>2370406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2370406</v>
      </c>
      <c r="C2573" s="2" t="s">
        <v>594</v>
      </c>
      <c r="D2573" s="2" t="str">
        <f t="shared" si="39"/>
        <v>Error?</v>
      </c>
    </row>
    <row r="2574" spans="1:4" x14ac:dyDescent="0.2">
      <c r="A2574" s="5">
        <v>2513</v>
      </c>
      <c r="B2574" s="138">
        <f>'Acct Summary 7-8'!D20</f>
        <v>241672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984474</v>
      </c>
      <c r="C2591" s="2" t="s">
        <v>594</v>
      </c>
      <c r="D2591" s="2" t="str">
        <f t="shared" si="39"/>
        <v>Error?</v>
      </c>
    </row>
    <row r="2592" spans="1:4" x14ac:dyDescent="0.2">
      <c r="A2592" s="10">
        <v>2531</v>
      </c>
      <c r="D2592" s="2" t="str">
        <f t="shared" si="39"/>
        <v>OK</v>
      </c>
    </row>
    <row r="2593" spans="1:4" x14ac:dyDescent="0.2">
      <c r="A2593" s="5">
        <v>2532</v>
      </c>
      <c r="B2593" s="138">
        <f>'Acct Summary 7-8'!F6</f>
        <v>2053602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3038076</v>
      </c>
      <c r="C2595" s="2" t="s">
        <v>594</v>
      </c>
      <c r="D2595" s="2" t="str">
        <f t="shared" si="39"/>
        <v>Error?</v>
      </c>
    </row>
    <row r="2596" spans="1:4" x14ac:dyDescent="0.2">
      <c r="A2596" s="5">
        <v>2535</v>
      </c>
      <c r="B2596" s="138">
        <f>'Acct Summary 7-8'!F13</f>
        <v>2857758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2857758</v>
      </c>
      <c r="C2600" s="2" t="s">
        <v>594</v>
      </c>
      <c r="D2600" s="2" t="str">
        <f t="shared" si="39"/>
        <v>Error?</v>
      </c>
    </row>
    <row r="2601" spans="1:4" x14ac:dyDescent="0.2">
      <c r="A2601" s="5">
        <v>2540</v>
      </c>
      <c r="B2601" s="138">
        <f>'Acct Summary 7-8'!F20</f>
        <v>180318</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758460</v>
      </c>
      <c r="C2603" s="2" t="s">
        <v>594</v>
      </c>
      <c r="D2603" s="2" t="str">
        <f t="shared" si="39"/>
        <v>Error?</v>
      </c>
    </row>
    <row r="2604" spans="1:4" x14ac:dyDescent="0.2">
      <c r="A2604" s="5">
        <v>2543</v>
      </c>
      <c r="B2604" s="138">
        <f>'Acct Summary 7-8'!G6</f>
        <v>32162</v>
      </c>
      <c r="C2604" s="2" t="s">
        <v>594</v>
      </c>
      <c r="D2604" s="2" t="str">
        <f t="shared" si="39"/>
        <v>Error?</v>
      </c>
    </row>
    <row r="2605" spans="1:4" x14ac:dyDescent="0.2">
      <c r="A2605" s="5">
        <v>2544</v>
      </c>
      <c r="B2605" s="138">
        <f>'Acct Summary 7-8'!G7</f>
        <v>105718</v>
      </c>
      <c r="C2605" s="2" t="s">
        <v>594</v>
      </c>
      <c r="D2605" s="2" t="str">
        <f t="shared" si="39"/>
        <v>Error?</v>
      </c>
    </row>
    <row r="2606" spans="1:4" x14ac:dyDescent="0.2">
      <c r="A2606" s="5">
        <v>2545</v>
      </c>
      <c r="B2606" s="138">
        <f>'Acct Summary 7-8'!G8</f>
        <v>896340</v>
      </c>
      <c r="C2606" s="2" t="s">
        <v>594</v>
      </c>
      <c r="D2606" s="2" t="str">
        <f t="shared" si="39"/>
        <v>Error?</v>
      </c>
    </row>
    <row r="2607" spans="1:4" x14ac:dyDescent="0.2">
      <c r="A2607" s="5">
        <v>2546</v>
      </c>
      <c r="B2607" s="138">
        <f>'Acct Summary 7-8'!G12</f>
        <v>424968</v>
      </c>
      <c r="C2607" s="2" t="s">
        <v>594</v>
      </c>
      <c r="D2607" s="2" t="str">
        <f t="shared" si="39"/>
        <v>Error?</v>
      </c>
    </row>
    <row r="2608" spans="1:4" x14ac:dyDescent="0.2">
      <c r="A2608" s="5">
        <v>2547</v>
      </c>
      <c r="B2608" s="138">
        <f>'Acct Summary 7-8'!G13</f>
        <v>388727</v>
      </c>
      <c r="C2608" s="2" t="s">
        <v>594</v>
      </c>
      <c r="D2608" s="2" t="str">
        <f t="shared" si="39"/>
        <v>Error?</v>
      </c>
    </row>
    <row r="2609" spans="1:4" x14ac:dyDescent="0.2">
      <c r="A2609" s="5">
        <v>2548</v>
      </c>
      <c r="B2609" s="138">
        <f>'Acct Summary 7-8'!G14</f>
        <v>21400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835095</v>
      </c>
      <c r="C2612" s="2" t="s">
        <v>594</v>
      </c>
      <c r="D2612" s="2" t="str">
        <f t="shared" si="39"/>
        <v>Error?</v>
      </c>
    </row>
    <row r="2613" spans="1:4" x14ac:dyDescent="0.2">
      <c r="A2613" s="5">
        <v>2552</v>
      </c>
      <c r="B2613" s="138">
        <f>'Acct Summary 7-8'!G20</f>
        <v>61245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424858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505682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585698</v>
      </c>
      <c r="C2634" s="2" t="s">
        <v>594</v>
      </c>
      <c r="D2634" s="2" t="str">
        <f t="shared" si="40"/>
        <v>Error?</v>
      </c>
    </row>
    <row r="2635" spans="1:4" x14ac:dyDescent="0.2">
      <c r="A2635" s="5">
        <v>2574</v>
      </c>
      <c r="B2635" s="138">
        <f>'Acct Summary 7-8'!E17</f>
        <v>585698</v>
      </c>
      <c r="C2635" s="2" t="s">
        <v>594</v>
      </c>
      <c r="D2635" s="2" t="str">
        <f t="shared" si="40"/>
        <v>Error?</v>
      </c>
    </row>
    <row r="2636" spans="1:4" x14ac:dyDescent="0.2">
      <c r="A2636" s="5">
        <v>2575</v>
      </c>
      <c r="B2636" s="138">
        <f>'Acct Summary 7-8'!E20</f>
        <v>-80016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326605</v>
      </c>
      <c r="D2718" s="2" t="str">
        <f t="shared" si="41"/>
        <v>Error?</v>
      </c>
    </row>
    <row r="2719" spans="1:4" x14ac:dyDescent="0.2">
      <c r="A2719" s="5">
        <v>2658</v>
      </c>
      <c r="B2719" s="138">
        <f>'Expenditures 15-22'!D51</f>
        <v>51949</v>
      </c>
      <c r="D2719" s="2" t="str">
        <f t="shared" si="41"/>
        <v>Error?</v>
      </c>
    </row>
    <row r="2720" spans="1:4" x14ac:dyDescent="0.2">
      <c r="A2720" s="5">
        <v>2659</v>
      </c>
      <c r="B2720" s="138">
        <f>'Expenditures 15-22'!E51</f>
        <v>104091</v>
      </c>
      <c r="D2720" s="2" t="str">
        <f t="shared" si="41"/>
        <v>Error?</v>
      </c>
    </row>
    <row r="2721" spans="1:4" x14ac:dyDescent="0.2">
      <c r="A2721" s="5">
        <v>2660</v>
      </c>
      <c r="B2721" s="138">
        <f>'Expenditures 15-22'!F51</f>
        <v>14688</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650</v>
      </c>
      <c r="D2723" s="2" t="str">
        <f t="shared" si="41"/>
        <v>Error?</v>
      </c>
    </row>
    <row r="2724" spans="1:4" x14ac:dyDescent="0.2">
      <c r="A2724" s="5">
        <v>2663</v>
      </c>
      <c r="B2724" s="138">
        <f>'Expenditures 15-22'!K51</f>
        <v>497983</v>
      </c>
      <c r="C2724" s="2" t="s">
        <v>594</v>
      </c>
      <c r="D2724" s="2" t="str">
        <f t="shared" si="41"/>
        <v>Error?</v>
      </c>
    </row>
    <row r="2725" spans="1:4" x14ac:dyDescent="0.2">
      <c r="A2725" s="5">
        <v>2664</v>
      </c>
      <c r="B2725" s="138">
        <f>'Expenditures 15-22'!D247</f>
        <v>20533</v>
      </c>
      <c r="D2725" s="2" t="str">
        <f t="shared" si="41"/>
        <v>Error?</v>
      </c>
    </row>
    <row r="2726" spans="1:4" x14ac:dyDescent="0.2">
      <c r="A2726" s="5">
        <v>2665</v>
      </c>
      <c r="B2726" s="138">
        <f>'Expenditures 15-22'!K247</f>
        <v>20533</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13638</v>
      </c>
      <c r="C2789" s="2" t="s">
        <v>594</v>
      </c>
      <c r="D2789" s="2" t="str">
        <f t="shared" si="42"/>
        <v>Error?</v>
      </c>
    </row>
    <row r="2790" spans="1:4" x14ac:dyDescent="0.2">
      <c r="A2790" s="5">
        <v>2729</v>
      </c>
      <c r="B2790" s="138">
        <f>'Expenditures 15-22'!E102</f>
        <v>13638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695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6287813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18899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6287813</v>
      </c>
      <c r="D2912" s="2" t="str">
        <f t="shared" si="44"/>
        <v>Error?</v>
      </c>
    </row>
    <row r="2913" spans="1:4" x14ac:dyDescent="0.2">
      <c r="A2913" s="5">
        <v>2852</v>
      </c>
      <c r="B2913" s="138">
        <f>'Assets-Liab 5-6'!I41</f>
        <v>6287813</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18899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11238</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2400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284301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11238</v>
      </c>
      <c r="C2973" s="2" t="s">
        <v>594</v>
      </c>
      <c r="D2973" s="2" t="str">
        <f t="shared" si="45"/>
        <v>Error?</v>
      </c>
    </row>
    <row r="2974" spans="1:4" x14ac:dyDescent="0.2">
      <c r="A2974" s="5">
        <v>2913</v>
      </c>
      <c r="B2974" s="138">
        <f>'Expenditures 15-22'!K79</f>
        <v>284301</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2400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234086</v>
      </c>
      <c r="D3055" s="2" t="str">
        <f t="shared" si="46"/>
        <v>Error?</v>
      </c>
    </row>
    <row r="3056" spans="1:4" x14ac:dyDescent="0.2">
      <c r="A3056" s="5">
        <v>2995</v>
      </c>
      <c r="B3056" s="138">
        <f>'Expenditures 15-22'!D10</f>
        <v>54328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288414</v>
      </c>
      <c r="C3062" s="2" t="s">
        <v>594</v>
      </c>
      <c r="D3062" s="2" t="str">
        <f t="shared" si="46"/>
        <v>Error?</v>
      </c>
    </row>
    <row r="3063" spans="1:4" x14ac:dyDescent="0.2">
      <c r="A3063" s="10">
        <v>3002</v>
      </c>
      <c r="D3063" s="2" t="str">
        <f t="shared" si="46"/>
        <v>OK</v>
      </c>
    </row>
    <row r="3064" spans="1:4" x14ac:dyDescent="0.2">
      <c r="A3064" s="5">
        <v>3003</v>
      </c>
      <c r="B3064" s="138">
        <f>'Expenditures 15-22'!D219</f>
        <v>3241</v>
      </c>
      <c r="D3064" s="2" t="str">
        <f t="shared" si="46"/>
        <v>Error?</v>
      </c>
    </row>
    <row r="3065" spans="1:4" x14ac:dyDescent="0.2">
      <c r="A3065" s="5">
        <v>3004</v>
      </c>
      <c r="B3065" s="138">
        <f>'Expenditures 15-22'!K219</f>
        <v>3241</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18899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340572</v>
      </c>
      <c r="C3225" s="2" t="s">
        <v>594</v>
      </c>
      <c r="D3225" s="2" t="str">
        <f t="shared" si="49"/>
        <v>Error?</v>
      </c>
    </row>
    <row r="3226" spans="1:4" x14ac:dyDescent="0.2">
      <c r="A3226" s="5">
        <v>3165</v>
      </c>
      <c r="B3226" s="138">
        <f>'Acct Summary 7-8'!I8</f>
        <v>340572</v>
      </c>
      <c r="C3226" s="2" t="s">
        <v>594</v>
      </c>
      <c r="D3226" s="2" t="str">
        <f t="shared" si="49"/>
        <v>Error?</v>
      </c>
    </row>
    <row r="3227" spans="1:4" x14ac:dyDescent="0.2">
      <c r="A3227" s="5">
        <v>3166</v>
      </c>
      <c r="B3227" s="138">
        <f>'Acct Summary 7-8'!I20</f>
        <v>340572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484302</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83003</v>
      </c>
      <c r="C3231" s="2" t="s">
        <v>594</v>
      </c>
      <c r="D3231" s="2" t="str">
        <f t="shared" si="49"/>
        <v>Error?</v>
      </c>
    </row>
    <row r="3232" spans="1:4" x14ac:dyDescent="0.2">
      <c r="A3232" s="5">
        <v>3171</v>
      </c>
      <c r="B3232" s="138">
        <f>'Acct Summary 7-8'!C77</f>
        <v>401299</v>
      </c>
      <c r="C3232" s="2" t="s">
        <v>594</v>
      </c>
      <c r="D3232" s="2" t="str">
        <f t="shared" si="49"/>
        <v>Error?</v>
      </c>
    </row>
    <row r="3233" spans="1:4" x14ac:dyDescent="0.2">
      <c r="A3233" s="5">
        <v>3172</v>
      </c>
      <c r="B3233" s="138">
        <f>'Acct Summary 7-8'!C78</f>
        <v>-142927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241672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180318</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61245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83003</v>
      </c>
      <c r="D3273" s="2" t="str">
        <f t="shared" si="50"/>
        <v>Error?</v>
      </c>
    </row>
    <row r="3274" spans="1:4" x14ac:dyDescent="0.2">
      <c r="A3274" s="5">
        <v>3213</v>
      </c>
      <c r="B3274" s="138">
        <f>'Acct Summary 7-8'!E44</f>
        <v>83003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83003</v>
      </c>
      <c r="C3277" s="2" t="s">
        <v>594</v>
      </c>
      <c r="D3277" s="2" t="str">
        <f t="shared" si="50"/>
        <v>Error?</v>
      </c>
    </row>
    <row r="3278" spans="1:4" x14ac:dyDescent="0.2">
      <c r="A3278" s="5">
        <v>3217</v>
      </c>
      <c r="B3278" s="138">
        <f>'Acct Summary 7-8'!E78</f>
        <v>2987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340572</v>
      </c>
      <c r="C3320" s="2" t="s">
        <v>594</v>
      </c>
      <c r="D3320" s="2" t="str">
        <f t="shared" si="50"/>
        <v>Error?</v>
      </c>
    </row>
    <row r="3321" spans="1:4" x14ac:dyDescent="0.2">
      <c r="A3321" s="5">
        <v>3260</v>
      </c>
      <c r="B3321" s="138">
        <f>'Acct Summary 7-8'!I79</f>
        <v>5947241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6287813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3132882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670726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610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9930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3814148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151540</v>
      </c>
      <c r="D3387" s="2" t="str">
        <f t="shared" si="51"/>
        <v>Error?</v>
      </c>
    </row>
    <row r="3388" spans="1:4" x14ac:dyDescent="0.2">
      <c r="A3388" s="5">
        <v>3327</v>
      </c>
      <c r="B3388" s="138">
        <f>'Expenditures 15-22'!D217</f>
        <v>236327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151540</v>
      </c>
      <c r="C3390" s="2" t="s">
        <v>594</v>
      </c>
      <c r="D3390" s="2" t="str">
        <f t="shared" si="51"/>
        <v>Error?</v>
      </c>
    </row>
    <row r="3391" spans="1:4" x14ac:dyDescent="0.2">
      <c r="A3391" s="5">
        <v>3330</v>
      </c>
      <c r="B3391" s="138">
        <f>'Expenditures 15-22'!K217</f>
        <v>236327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38063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121363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166020</v>
      </c>
      <c r="D3417" s="2" t="str">
        <f t="shared" si="52"/>
        <v>Error?</v>
      </c>
    </row>
    <row r="3418" spans="1:4" x14ac:dyDescent="0.2">
      <c r="A3418" s="10">
        <v>3357</v>
      </c>
      <c r="D3418" s="2" t="str">
        <f t="shared" si="52"/>
        <v>OK</v>
      </c>
    </row>
    <row r="3419" spans="1:4" x14ac:dyDescent="0.2">
      <c r="A3419" s="5">
        <v>3358</v>
      </c>
      <c r="B3419" s="138">
        <f>'Assets-Liab 5-6'!F4</f>
        <v>297322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241322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4697118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18899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166641</v>
      </c>
      <c r="C3446" s="2" t="s">
        <v>594</v>
      </c>
      <c r="D3446" s="2" t="str">
        <f t="shared" si="52"/>
        <v>Error?</v>
      </c>
    </row>
    <row r="3447" spans="1:4" x14ac:dyDescent="0.2">
      <c r="A3447" s="5">
        <v>3386</v>
      </c>
      <c r="B3447" s="138">
        <f>'Tax Sched 23'!D16</f>
        <v>166641</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169882</v>
      </c>
      <c r="C3449" s="2" t="s">
        <v>594</v>
      </c>
      <c r="D3449" s="2" t="str">
        <f t="shared" si="52"/>
        <v>Error?</v>
      </c>
    </row>
    <row r="3450" spans="1:4" x14ac:dyDescent="0.2">
      <c r="A3450" s="5">
        <v>3389</v>
      </c>
      <c r="B3450" s="138">
        <f>'Tax Sched 23'!E16</f>
        <v>169882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652</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95358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95358</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95358</v>
      </c>
      <c r="D3567" s="2" t="str">
        <f t="shared" si="54"/>
        <v>Error?</v>
      </c>
    </row>
    <row r="3568" spans="1:4" x14ac:dyDescent="0.2">
      <c r="A3568" s="5">
        <v>3507</v>
      </c>
      <c r="B3568" s="138">
        <f>'Assets-Liab 5-6'!K41</f>
        <v>95358</v>
      </c>
      <c r="C3568" s="2" t="s">
        <v>594</v>
      </c>
      <c r="D3568" s="2" t="str">
        <f t="shared" si="54"/>
        <v>Error?</v>
      </c>
    </row>
    <row r="3569" spans="1:4" x14ac:dyDescent="0.2">
      <c r="A3569" s="5">
        <v>3508</v>
      </c>
      <c r="B3569" s="138">
        <f>'Acct Summary 7-8'!K4</f>
        <v>290914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290914</v>
      </c>
      <c r="C3571" s="2" t="s">
        <v>594</v>
      </c>
      <c r="D3571" s="2" t="str">
        <f t="shared" si="54"/>
        <v>Error?</v>
      </c>
    </row>
    <row r="3572" spans="1:4" x14ac:dyDescent="0.2">
      <c r="A3572" s="5">
        <v>3511</v>
      </c>
      <c r="B3572" s="138">
        <f>'Acct Summary 7-8'!K13</f>
        <v>198223</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198223</v>
      </c>
      <c r="C3575" s="2" t="s">
        <v>594</v>
      </c>
      <c r="D3575" s="2" t="str">
        <f t="shared" si="54"/>
        <v>Error?</v>
      </c>
    </row>
    <row r="3576" spans="1:4" x14ac:dyDescent="0.2">
      <c r="A3576" s="5">
        <v>3515</v>
      </c>
      <c r="B3576" s="138">
        <f>'Acct Summary 7-8'!K20</f>
        <v>92691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92691</v>
      </c>
      <c r="C3588" s="2" t="s">
        <v>594</v>
      </c>
      <c r="D3588" s="2" t="str">
        <f t="shared" si="55"/>
        <v>Error?</v>
      </c>
    </row>
    <row r="3589" spans="1:4" x14ac:dyDescent="0.2">
      <c r="A3589" s="5">
        <v>3528</v>
      </c>
      <c r="B3589" s="138">
        <f>'Acct Summary 7-8'!K79</f>
        <v>2667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95358</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6683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6683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6683</v>
      </c>
      <c r="C3635" s="2" t="s">
        <v>594</v>
      </c>
      <c r="D3635" s="2" t="str">
        <f t="shared" si="55"/>
        <v>Error?</v>
      </c>
    </row>
    <row r="3636" spans="1:4" x14ac:dyDescent="0.2">
      <c r="A3636" s="5">
        <v>3575</v>
      </c>
      <c r="B3636" s="138">
        <f>'Expenditures 15-22'!E367</f>
        <v>6683</v>
      </c>
      <c r="C3636" s="2" t="s">
        <v>594</v>
      </c>
      <c r="D3636" s="2" t="str">
        <f t="shared" si="55"/>
        <v>Error?</v>
      </c>
    </row>
    <row r="3637" spans="1:4" x14ac:dyDescent="0.2">
      <c r="A3637" s="10">
        <v>3576</v>
      </c>
      <c r="D3637" s="2" t="str">
        <f t="shared" si="55"/>
        <v>OK</v>
      </c>
    </row>
    <row r="3638" spans="1:4" x14ac:dyDescent="0.2">
      <c r="A3638" s="5">
        <v>3577</v>
      </c>
      <c r="B3638" s="138">
        <f>'Expenditures 15-22'!F348</f>
        <v>9030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9030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9030</v>
      </c>
      <c r="C3642" s="2" t="s">
        <v>594</v>
      </c>
      <c r="D3642" s="2" t="str">
        <f t="shared" si="55"/>
        <v>Error?</v>
      </c>
    </row>
    <row r="3643" spans="1:4" x14ac:dyDescent="0.2">
      <c r="A3643" s="5">
        <v>3582</v>
      </c>
      <c r="B3643" s="138">
        <f>'Expenditures 15-22'!F367</f>
        <v>9030</v>
      </c>
      <c r="C3643" s="2" t="s">
        <v>594</v>
      </c>
      <c r="D3643" s="2" t="str">
        <f t="shared" si="55"/>
        <v>Error?</v>
      </c>
    </row>
    <row r="3644" spans="1:4" x14ac:dyDescent="0.2">
      <c r="A3644" s="10">
        <v>3583</v>
      </c>
      <c r="D3644" s="2" t="str">
        <f t="shared" si="55"/>
        <v>OK</v>
      </c>
    </row>
    <row r="3645" spans="1:4" x14ac:dyDescent="0.2">
      <c r="A3645" s="5">
        <v>3584</v>
      </c>
      <c r="B3645" s="138">
        <f>'Expenditures 15-22'!G348</f>
        <v>182510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182510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182510</v>
      </c>
      <c r="C3649" s="2" t="s">
        <v>594</v>
      </c>
      <c r="D3649" s="2" t="str">
        <f t="shared" si="56"/>
        <v>Error?</v>
      </c>
    </row>
    <row r="3650" spans="1:4" x14ac:dyDescent="0.2">
      <c r="A3650" s="5">
        <v>3589</v>
      </c>
      <c r="B3650" s="138">
        <f>'Expenditures 15-22'!G367</f>
        <v>182510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198223</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198223</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198223</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198223</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92691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13303198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43508766</v>
      </c>
      <c r="C4122" s="2" t="s">
        <v>594</v>
      </c>
      <c r="D4122" s="2" t="str">
        <f t="shared" si="63"/>
        <v>Error?</v>
      </c>
    </row>
    <row r="4123" spans="1:4" x14ac:dyDescent="0.2">
      <c r="A4123" s="5">
        <v>4062</v>
      </c>
      <c r="B4123" s="138">
        <f>'Acct Summary 7-8'!D10</f>
        <v>2612078</v>
      </c>
      <c r="C4123" s="2" t="s">
        <v>594</v>
      </c>
      <c r="D4123" s="2" t="str">
        <f t="shared" si="63"/>
        <v>Error?</v>
      </c>
    </row>
    <row r="4124" spans="1:4" x14ac:dyDescent="0.2">
      <c r="A4124" s="5">
        <v>4063</v>
      </c>
      <c r="B4124" s="138">
        <f>'Acct Summary 7-8'!E10</f>
        <v>505682</v>
      </c>
      <c r="C4124" s="2" t="s">
        <v>594</v>
      </c>
      <c r="D4124" s="2" t="str">
        <f t="shared" si="63"/>
        <v>Error?</v>
      </c>
    </row>
    <row r="4125" spans="1:4" x14ac:dyDescent="0.2">
      <c r="A4125" s="5">
        <v>4064</v>
      </c>
      <c r="B4125" s="138">
        <f>'Acct Summary 7-8'!F10</f>
        <v>3038076</v>
      </c>
      <c r="C4125" s="2" t="s">
        <v>594</v>
      </c>
      <c r="D4125" s="2" t="str">
        <f t="shared" si="63"/>
        <v>Error?</v>
      </c>
    </row>
    <row r="4126" spans="1:4" x14ac:dyDescent="0.2">
      <c r="A4126" s="5">
        <v>4065</v>
      </c>
      <c r="B4126" s="138">
        <f>'Acct Summary 7-8'!G10</f>
        <v>896340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340572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290914</v>
      </c>
      <c r="C4130" s="2" t="s">
        <v>594</v>
      </c>
      <c r="D4130" s="2" t="str">
        <f t="shared" si="63"/>
        <v>Error?</v>
      </c>
    </row>
    <row r="4131" spans="1:4" x14ac:dyDescent="0.2">
      <c r="A4131" s="5">
        <v>4070</v>
      </c>
      <c r="B4131" s="138">
        <f>'Acct Summary 7-8'!C18</f>
        <v>13303198</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44052992</v>
      </c>
      <c r="C4136" s="2" t="s">
        <v>594</v>
      </c>
      <c r="D4136" s="2" t="str">
        <f t="shared" si="63"/>
        <v>Error?</v>
      </c>
    </row>
    <row r="4137" spans="1:4" x14ac:dyDescent="0.2">
      <c r="A4137" s="5">
        <v>4076</v>
      </c>
      <c r="B4137" s="138">
        <f>'Acct Summary 7-8'!D19</f>
        <v>2370406</v>
      </c>
      <c r="C4137" s="2" t="s">
        <v>594</v>
      </c>
      <c r="D4137" s="2" t="str">
        <f t="shared" si="63"/>
        <v>Error?</v>
      </c>
    </row>
    <row r="4138" spans="1:4" x14ac:dyDescent="0.2">
      <c r="A4138" s="5">
        <v>4077</v>
      </c>
      <c r="B4138" s="138">
        <f>'Acct Summary 7-8'!E19</f>
        <v>585698</v>
      </c>
      <c r="C4138" s="2" t="s">
        <v>594</v>
      </c>
      <c r="D4138" s="2" t="str">
        <f t="shared" si="63"/>
        <v>Error?</v>
      </c>
    </row>
    <row r="4139" spans="1:4" x14ac:dyDescent="0.2">
      <c r="A4139" s="5">
        <v>4078</v>
      </c>
      <c r="B4139" s="138">
        <f>'Acct Summary 7-8'!F19</f>
        <v>2857758</v>
      </c>
      <c r="C4139" s="2" t="s">
        <v>594</v>
      </c>
      <c r="D4139" s="2" t="str">
        <f t="shared" si="63"/>
        <v>Error?</v>
      </c>
    </row>
    <row r="4140" spans="1:4" x14ac:dyDescent="0.2">
      <c r="A4140" s="5">
        <v>4079</v>
      </c>
      <c r="B4140" s="138">
        <f>'Acct Summary 7-8'!G19</f>
        <v>835095</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198223</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4197847</v>
      </c>
      <c r="C4171" s="2" t="s">
        <v>594</v>
      </c>
      <c r="D4171" s="2" t="str">
        <f t="shared" si="64"/>
        <v>Error?</v>
      </c>
    </row>
    <row r="4172" spans="1:4" x14ac:dyDescent="0.2">
      <c r="A4172" s="5">
        <v>4111</v>
      </c>
      <c r="B4172" s="138">
        <f>'Short-Term Long-Term Debt 24'!J49</f>
        <v>4031805</v>
      </c>
      <c r="C4172" s="2" t="s">
        <v>594</v>
      </c>
      <c r="D4172" s="2" t="str">
        <f t="shared" si="64"/>
        <v>Error?</v>
      </c>
    </row>
    <row r="4173" spans="1:4" x14ac:dyDescent="0.2">
      <c r="A4173" s="5">
        <v>4112</v>
      </c>
      <c r="B4173" s="138">
        <f>'Short-Term Long-Term Debt 24'!H49</f>
        <v>335803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483650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2375.1999999999998</v>
      </c>
      <c r="C4265" s="2" t="s">
        <v>594</v>
      </c>
      <c r="D4265" s="2" t="str">
        <f t="shared" si="65"/>
        <v>Error?</v>
      </c>
      <c r="E4265" s="128"/>
    </row>
    <row r="4266" spans="1:5" x14ac:dyDescent="0.2">
      <c r="A4266" s="12">
        <v>4205</v>
      </c>
      <c r="B4266" s="138">
        <f>('FP Info 3'!F10)*100000</f>
        <v>345.13</v>
      </c>
      <c r="C4266" s="2" t="s">
        <v>594</v>
      </c>
      <c r="D4266" s="2" t="str">
        <f t="shared" si="65"/>
        <v>Error?</v>
      </c>
      <c r="E4266" s="128"/>
    </row>
    <row r="4267" spans="1:5" x14ac:dyDescent="0.2">
      <c r="A4267" s="12">
        <v>4206</v>
      </c>
      <c r="B4267" s="138">
        <f>('FP Info 3'!H10)*100000</f>
        <v>223.32</v>
      </c>
      <c r="C4267" s="2" t="s">
        <v>594</v>
      </c>
      <c r="D4267" s="2" t="str">
        <f t="shared" si="65"/>
        <v>Error?</v>
      </c>
      <c r="E4267" s="128"/>
    </row>
    <row r="4268" spans="1:5" x14ac:dyDescent="0.2">
      <c r="A4268" s="12">
        <v>4207</v>
      </c>
      <c r="B4268" s="138">
        <f>('FP Info 3'!J10)*100000</f>
        <v>2944</v>
      </c>
      <c r="C4268" s="2" t="s">
        <v>594</v>
      </c>
      <c r="D4268" s="2" t="str">
        <f t="shared" si="65"/>
        <v>Error?</v>
      </c>
    </row>
    <row r="4269" spans="1:5" x14ac:dyDescent="0.2">
      <c r="A4269" s="12">
        <v>4208</v>
      </c>
      <c r="B4269" s="138">
        <f>'FP Info 3'!J16</f>
        <v>5154511</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166369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365900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209910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1645</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80824</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49.089999999999996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80824</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25000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483581854</v>
      </c>
      <c r="D4995" s="2" t="str">
        <f t="shared" si="77"/>
        <v>Error?</v>
      </c>
    </row>
    <row r="4996" spans="1:4" x14ac:dyDescent="0.2">
      <c r="A4996" s="12">
        <v>4935</v>
      </c>
      <c r="B4996" s="138">
        <f>'FP Info 3'!H31</f>
        <v>33367147.926000003</v>
      </c>
      <c r="D4996" s="2" t="str">
        <f t="shared" si="77"/>
        <v>Error?</v>
      </c>
    </row>
    <row r="4997" spans="1:4" x14ac:dyDescent="0.2">
      <c r="A4997" s="12">
        <v>4936</v>
      </c>
      <c r="B4997" s="138">
        <f>'FP Info 3'!H37</f>
        <v>4197847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11236217</v>
      </c>
      <c r="D5061" s="2" t="str">
        <f t="shared" si="78"/>
        <v>Error?</v>
      </c>
    </row>
    <row r="5062" spans="1:4" x14ac:dyDescent="0.2">
      <c r="A5062" s="10">
        <v>5001</v>
      </c>
      <c r="D5062" s="2" t="str">
        <f t="shared" si="78"/>
        <v>OK</v>
      </c>
    </row>
    <row r="5063" spans="1:4" x14ac:dyDescent="0.2">
      <c r="A5063" s="5">
        <v>5002</v>
      </c>
      <c r="B5063" s="138">
        <f>'Revenues 9-14'!C7</f>
        <v>107544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11343761</v>
      </c>
      <c r="C5066" s="2" t="s">
        <v>594</v>
      </c>
      <c r="D5066" s="2" t="str">
        <f t="shared" si="78"/>
        <v>Error?</v>
      </c>
    </row>
    <row r="5067" spans="1:4" x14ac:dyDescent="0.2">
      <c r="A5067" s="5">
        <v>5006</v>
      </c>
      <c r="B5067" s="138">
        <f>'Revenues 9-14'!C14</f>
        <v>231</v>
      </c>
      <c r="D5067" s="2" t="str">
        <f t="shared" si="78"/>
        <v>Error?</v>
      </c>
    </row>
    <row r="5068" spans="1:4" x14ac:dyDescent="0.2">
      <c r="A5068" s="5">
        <v>5007</v>
      </c>
      <c r="B5068" s="138">
        <f>'Revenues 9-14'!C15</f>
        <v>5983</v>
      </c>
      <c r="D5068" s="2" t="str">
        <f t="shared" si="78"/>
        <v>Error?</v>
      </c>
    </row>
    <row r="5069" spans="1:4" x14ac:dyDescent="0.2">
      <c r="A5069" s="5">
        <v>5008</v>
      </c>
      <c r="B5069" s="138">
        <f>'Revenues 9-14'!C16</f>
        <v>2792481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2798695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138788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138788</v>
      </c>
      <c r="C5087" s="2" t="s">
        <v>594</v>
      </c>
      <c r="D5087" s="2" t="str">
        <f t="shared" si="78"/>
        <v>Error?</v>
      </c>
    </row>
    <row r="5088" spans="1:4" x14ac:dyDescent="0.2">
      <c r="A5088" s="5">
        <v>5027</v>
      </c>
      <c r="B5088" s="138">
        <f>'Revenues 9-14'!C65</f>
        <v>64030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64030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1258</v>
      </c>
      <c r="D5094" s="2" t="str">
        <f t="shared" si="78"/>
        <v>Error?</v>
      </c>
    </row>
    <row r="5095" spans="1:4" x14ac:dyDescent="0.2">
      <c r="A5095" s="5">
        <v>5034</v>
      </c>
      <c r="B5095" s="138">
        <f>'Revenues 9-14'!C74</f>
        <v>31846</v>
      </c>
      <c r="D5095" s="2" t="str">
        <f t="shared" si="78"/>
        <v>Error?</v>
      </c>
    </row>
    <row r="5096" spans="1:4" x14ac:dyDescent="0.2">
      <c r="A5096" s="5">
        <v>5035</v>
      </c>
      <c r="B5096" s="138">
        <f>'Revenues 9-14'!C75</f>
        <v>49147</v>
      </c>
      <c r="C5096" s="2" t="s">
        <v>594</v>
      </c>
      <c r="D5096" s="2" t="str">
        <f t="shared" si="78"/>
        <v>Error?</v>
      </c>
    </row>
    <row r="5097" spans="1:4" x14ac:dyDescent="0.2">
      <c r="A5097" s="5">
        <v>5036</v>
      </c>
      <c r="B5097" s="138">
        <f>'Revenues 9-14'!C77</f>
        <v>1262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86196</v>
      </c>
      <c r="D5099" s="2" t="str">
        <f t="shared" si="78"/>
        <v>Error?</v>
      </c>
    </row>
    <row r="5100" spans="1:4" x14ac:dyDescent="0.2">
      <c r="A5100" s="5">
        <v>5039</v>
      </c>
      <c r="B5100" s="138">
        <f>'Revenues 9-14'!C80</f>
        <v>289772</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377230</v>
      </c>
      <c r="C5102" s="2" t="s">
        <v>594</v>
      </c>
      <c r="D5102" s="2" t="str">
        <f t="shared" si="78"/>
        <v>Error?</v>
      </c>
    </row>
    <row r="5103" spans="1:4" x14ac:dyDescent="0.2">
      <c r="A5103" s="5">
        <v>5042</v>
      </c>
      <c r="B5103" s="138">
        <f>'Revenues 9-14'!C84</f>
        <v>102400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102400</v>
      </c>
      <c r="C5112" s="2" t="s">
        <v>594</v>
      </c>
      <c r="D5112" s="2" t="str">
        <f t="shared" si="78"/>
        <v>Error?</v>
      </c>
    </row>
    <row r="5113" spans="1:4" x14ac:dyDescent="0.2">
      <c r="A5113" s="5">
        <v>5052</v>
      </c>
      <c r="B5113" s="138">
        <f>'Revenues 9-14'!C95</f>
        <v>3686</v>
      </c>
      <c r="D5113" s="2" t="str">
        <f t="shared" si="78"/>
        <v>Error?</v>
      </c>
    </row>
    <row r="5114" spans="1:4" x14ac:dyDescent="0.2">
      <c r="A5114" s="5">
        <v>5053</v>
      </c>
      <c r="B5114" s="138">
        <f>'Revenues 9-14'!C96</f>
        <v>6661</v>
      </c>
      <c r="D5114" s="2" t="str">
        <f t="shared" si="78"/>
        <v>Error?</v>
      </c>
    </row>
    <row r="5115" spans="1:4" x14ac:dyDescent="0.2">
      <c r="A5115" s="5">
        <v>5054</v>
      </c>
      <c r="B5115" s="138">
        <f>'Revenues 9-14'!C98</f>
        <v>25265</v>
      </c>
      <c r="D5115" s="2" t="str">
        <f t="shared" si="78"/>
        <v>Error?</v>
      </c>
    </row>
    <row r="5116" spans="1:4" x14ac:dyDescent="0.2">
      <c r="A5116" s="5">
        <v>5055</v>
      </c>
      <c r="B5116" s="138">
        <f>'Revenues 9-14'!C99</f>
        <v>248411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93</v>
      </c>
      <c r="D5119" s="2" t="str">
        <f t="shared" ref="D5119:D5182" si="79">IF(ISBLANK(B5119),"OK",IF(A5119-B5119=0,"OK","Error?"))</f>
        <v>Error?</v>
      </c>
    </row>
    <row r="5120" spans="1:4" x14ac:dyDescent="0.2">
      <c r="A5120" s="5">
        <v>5059</v>
      </c>
      <c r="B5120" s="138">
        <f>'Revenues 9-14'!C108</f>
        <v>309116</v>
      </c>
      <c r="C5120" s="2" t="s">
        <v>594</v>
      </c>
      <c r="D5120" s="2" t="str">
        <f t="shared" si="79"/>
        <v>Error?</v>
      </c>
    </row>
    <row r="5121" spans="1:4" x14ac:dyDescent="0.2">
      <c r="A5121" s="5">
        <v>5060</v>
      </c>
      <c r="B5121" s="138">
        <f>'Revenues 9-14'!C109</f>
        <v>15183167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9479858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9479858</v>
      </c>
      <c r="C5132" s="2" t="s">
        <v>594</v>
      </c>
      <c r="D5132" s="2" t="str">
        <f t="shared" si="79"/>
        <v>Error?</v>
      </c>
    </row>
    <row r="5133" spans="1:4" x14ac:dyDescent="0.2">
      <c r="A5133" s="5">
        <v>5072</v>
      </c>
      <c r="B5133" s="138">
        <f>'Revenues 9-14'!C124</f>
        <v>310988</v>
      </c>
      <c r="D5133" s="2" t="str">
        <f t="shared" si="79"/>
        <v>Error?</v>
      </c>
    </row>
    <row r="5134" spans="1:4" x14ac:dyDescent="0.2">
      <c r="A5134" s="5">
        <v>5073</v>
      </c>
      <c r="B5134" s="138">
        <f>'Revenues 9-14'!C125</f>
        <v>244226</v>
      </c>
      <c r="D5134" s="2" t="str">
        <f t="shared" si="79"/>
        <v>Error?</v>
      </c>
    </row>
    <row r="5135" spans="1:4" x14ac:dyDescent="0.2">
      <c r="A5135" s="5">
        <v>5074</v>
      </c>
      <c r="B5135" s="138">
        <f>'Revenues 9-14'!C126</f>
        <v>368260</v>
      </c>
      <c r="D5135" s="2" t="str">
        <f t="shared" si="79"/>
        <v>Error?</v>
      </c>
    </row>
    <row r="5136" spans="1:4" x14ac:dyDescent="0.2">
      <c r="A5136" s="10">
        <v>5075</v>
      </c>
      <c r="D5136" s="2" t="str">
        <f t="shared" si="79"/>
        <v>OK</v>
      </c>
    </row>
    <row r="5137" spans="1:4" x14ac:dyDescent="0.2">
      <c r="A5137" s="5">
        <v>5076</v>
      </c>
      <c r="B5137" s="138">
        <f>'Revenues 9-14'!C127</f>
        <v>78271</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1807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1003552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22941</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792350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1818843</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11298701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1318372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431733</v>
      </c>
      <c r="D5241" s="2" t="str">
        <f t="shared" si="80"/>
        <v>Error?</v>
      </c>
    </row>
    <row r="5242" spans="1:4" x14ac:dyDescent="0.2">
      <c r="A5242" s="5">
        <v>5181</v>
      </c>
      <c r="B5242" s="138">
        <f>'Revenues 9-14'!C197</f>
        <v>7480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1757585</v>
      </c>
      <c r="C5246" s="2" t="s">
        <v>594</v>
      </c>
      <c r="D5246" s="2" t="str">
        <f t="shared" si="80"/>
        <v>Error?</v>
      </c>
    </row>
    <row r="5247" spans="1:4" x14ac:dyDescent="0.2">
      <c r="A5247" s="5">
        <v>5186</v>
      </c>
      <c r="B5247" s="138">
        <f>'Revenues 9-14'!C203</f>
        <v>728238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728238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51938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438403</v>
      </c>
      <c r="D5278" s="2" t="str">
        <f t="shared" si="81"/>
        <v>Error?</v>
      </c>
    </row>
    <row r="5279" spans="1:4" x14ac:dyDescent="0.2">
      <c r="A5279" s="5">
        <v>5218</v>
      </c>
      <c r="B5279" s="138">
        <f>'Revenues 9-14'!C221</f>
        <v>5357</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495698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3723700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3723700</v>
      </c>
      <c r="C5326" s="2" t="s">
        <v>594</v>
      </c>
      <c r="D5326" s="2" t="str">
        <f t="shared" si="82"/>
        <v>Error?</v>
      </c>
    </row>
    <row r="5327" spans="1:4" x14ac:dyDescent="0.2">
      <c r="A5327" s="5">
        <v>5266</v>
      </c>
      <c r="B5327" s="138">
        <f>'Revenues 9-14'!C275</f>
        <v>30205568</v>
      </c>
      <c r="C5327" s="2" t="s">
        <v>594</v>
      </c>
      <c r="D5327" s="2" t="str">
        <f t="shared" si="82"/>
        <v>Error?</v>
      </c>
    </row>
    <row r="5328" spans="1:4" x14ac:dyDescent="0.2">
      <c r="A5328" s="5">
        <v>5267</v>
      </c>
      <c r="B5328" s="138">
        <f>'Revenues 9-14'!D5</f>
        <v>1549869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1549869</v>
      </c>
      <c r="C5334" s="2" t="s">
        <v>594</v>
      </c>
      <c r="D5334" s="2" t="str">
        <f t="shared" si="82"/>
        <v>Error?</v>
      </c>
    </row>
    <row r="5335" spans="1:4" x14ac:dyDescent="0.2">
      <c r="A5335" s="5">
        <v>5274</v>
      </c>
      <c r="B5335" s="138">
        <f>'Revenues 9-14'!D14</f>
        <v>31</v>
      </c>
      <c r="D5335" s="2" t="str">
        <f t="shared" si="82"/>
        <v>Error?</v>
      </c>
    </row>
    <row r="5336" spans="1:4" x14ac:dyDescent="0.2">
      <c r="A5336" s="5">
        <v>5275</v>
      </c>
      <c r="B5336" s="138">
        <f>'Revenues 9-14'!D15</f>
        <v>828</v>
      </c>
      <c r="D5336" s="2" t="str">
        <f t="shared" si="82"/>
        <v>Error?</v>
      </c>
    </row>
    <row r="5337" spans="1:4" x14ac:dyDescent="0.2">
      <c r="A5337" s="5">
        <v>5276</v>
      </c>
      <c r="B5337" s="138">
        <f>'Revenues 9-14'!D16</f>
        <v>218423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219282</v>
      </c>
      <c r="C5339" s="2" t="s">
        <v>594</v>
      </c>
      <c r="D5339" s="2" t="str">
        <f t="shared" si="82"/>
        <v>Error?</v>
      </c>
    </row>
    <row r="5340" spans="1:4" x14ac:dyDescent="0.2">
      <c r="A5340" s="5">
        <v>5279</v>
      </c>
      <c r="B5340" s="138">
        <f>'Revenues 9-14'!D65</f>
        <v>7940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7940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49000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49000</v>
      </c>
      <c r="C5355" s="2" t="s">
        <v>594</v>
      </c>
      <c r="D5355" s="2" t="str">
        <f t="shared" si="82"/>
        <v>Error?</v>
      </c>
    </row>
    <row r="5356" spans="1:4" x14ac:dyDescent="0.2">
      <c r="A5356" s="5">
        <v>5295</v>
      </c>
      <c r="B5356" s="138">
        <f>'Revenues 9-14'!D109</f>
        <v>1826091</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785987</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785987</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785987</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2612078</v>
      </c>
      <c r="C5508" s="2" t="s">
        <v>594</v>
      </c>
      <c r="D5508" s="2" t="str">
        <f t="shared" si="85"/>
        <v>Error?</v>
      </c>
    </row>
    <row r="5509" spans="1:4" x14ac:dyDescent="0.2">
      <c r="A5509" s="5">
        <v>5448</v>
      </c>
      <c r="B5509" s="138">
        <f>'Revenues 9-14'!E5</f>
        <v>418289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418289</v>
      </c>
      <c r="C5513" s="2" t="s">
        <v>594</v>
      </c>
      <c r="D5513" s="2" t="str">
        <f t="shared" si="85"/>
        <v>Error?</v>
      </c>
    </row>
    <row r="5514" spans="1:4" x14ac:dyDescent="0.2">
      <c r="A5514" s="5">
        <v>5453</v>
      </c>
      <c r="B5514" s="138">
        <f>'Revenues 9-14'!E14</f>
        <v>8</v>
      </c>
      <c r="D5514" s="2" t="str">
        <f t="shared" si="85"/>
        <v>Error?</v>
      </c>
    </row>
    <row r="5515" spans="1:4" x14ac:dyDescent="0.2">
      <c r="A5515" s="5">
        <v>5454</v>
      </c>
      <c r="B5515" s="138">
        <f>'Revenues 9-14'!E15</f>
        <v>228</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236</v>
      </c>
      <c r="C5518" s="2" t="s">
        <v>594</v>
      </c>
      <c r="D5518" s="2" t="str">
        <f t="shared" si="85"/>
        <v>Error?</v>
      </c>
    </row>
    <row r="5519" spans="1:4" x14ac:dyDescent="0.2">
      <c r="A5519" s="5">
        <v>5458</v>
      </c>
      <c r="B5519" s="138">
        <f>'Revenues 9-14'!E65</f>
        <v>6333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6333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424858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505682</v>
      </c>
      <c r="C5552" s="2" t="s">
        <v>594</v>
      </c>
      <c r="D5552" s="2" t="str">
        <f t="shared" si="85"/>
        <v>Error?</v>
      </c>
    </row>
    <row r="5553" spans="1:4" x14ac:dyDescent="0.2">
      <c r="A5553" s="5">
        <v>5492</v>
      </c>
      <c r="B5553" s="138">
        <f>'Revenues 9-14'!F5</f>
        <v>968704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968704</v>
      </c>
      <c r="C5557" s="2" t="s">
        <v>594</v>
      </c>
      <c r="D5557" s="2" t="str">
        <f t="shared" si="85"/>
        <v>Error?</v>
      </c>
    </row>
    <row r="5558" spans="1:4" x14ac:dyDescent="0.2">
      <c r="A5558" s="5">
        <v>5497</v>
      </c>
      <c r="B5558" s="138">
        <f>'Revenues 9-14'!F14</f>
        <v>20</v>
      </c>
      <c r="D5558" s="2" t="str">
        <f t="shared" si="85"/>
        <v>Error?</v>
      </c>
    </row>
    <row r="5559" spans="1:4" x14ac:dyDescent="0.2">
      <c r="A5559" s="5">
        <v>5498</v>
      </c>
      <c r="B5559" s="138">
        <f>'Revenues 9-14'!F15</f>
        <v>519</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539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4123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4123</v>
      </c>
      <c r="C5582" s="2" t="s">
        <v>594</v>
      </c>
      <c r="D5582" s="2" t="str">
        <f t="shared" si="86"/>
        <v>Error?</v>
      </c>
    </row>
    <row r="5583" spans="1:4" x14ac:dyDescent="0.2">
      <c r="A5583" s="5">
        <v>5522</v>
      </c>
      <c r="B5583" s="138">
        <f>'Revenues 9-14'!F96</f>
        <v>200</v>
      </c>
      <c r="D5583" s="2" t="str">
        <f t="shared" si="86"/>
        <v>Error?</v>
      </c>
    </row>
    <row r="5584" spans="1:4" x14ac:dyDescent="0.2">
      <c r="A5584" s="5">
        <v>5523</v>
      </c>
      <c r="B5584" s="138">
        <f>'Revenues 9-14'!F98</f>
        <v>10908</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11108</v>
      </c>
      <c r="C5587" s="2" t="s">
        <v>594</v>
      </c>
      <c r="D5587" s="2" t="str">
        <f t="shared" si="86"/>
        <v>Error?</v>
      </c>
    </row>
    <row r="5588" spans="1:4" x14ac:dyDescent="0.2">
      <c r="A5588" s="5">
        <v>5527</v>
      </c>
      <c r="B5588" s="138">
        <f>'Revenues 9-14'!F109</f>
        <v>984474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1012127</v>
      </c>
      <c r="D5615" s="2" t="str">
        <f t="shared" si="86"/>
        <v>Error?</v>
      </c>
    </row>
    <row r="5616" spans="1:4" x14ac:dyDescent="0.2">
      <c r="A5616" s="10">
        <v>5555</v>
      </c>
      <c r="D5616" s="2" t="str">
        <f t="shared" si="86"/>
        <v>OK</v>
      </c>
    </row>
    <row r="5617" spans="1:4" x14ac:dyDescent="0.2">
      <c r="A5617" s="5">
        <v>5556</v>
      </c>
      <c r="B5617" s="138">
        <f>'Revenues 9-14'!F152</f>
        <v>868831</v>
      </c>
      <c r="D5617" s="2" t="str">
        <f t="shared" si="86"/>
        <v>Error?</v>
      </c>
    </row>
    <row r="5618" spans="1:4" x14ac:dyDescent="0.2">
      <c r="A5618" s="5">
        <v>5557</v>
      </c>
      <c r="B5618" s="138">
        <f>'Revenues 9-14'!F154</f>
        <v>1880958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172644</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2053602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2053602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3038076</v>
      </c>
      <c r="C5720" s="2" t="s">
        <v>594</v>
      </c>
      <c r="D5720" s="2" t="str">
        <f t="shared" si="88"/>
        <v>Error?</v>
      </c>
    </row>
    <row r="5721" spans="1:4" x14ac:dyDescent="0.2">
      <c r="A5721" s="5">
        <v>5660</v>
      </c>
      <c r="B5721" s="138">
        <f>'Revenues 9-14'!G5</f>
        <v>241237</v>
      </c>
      <c r="D5721" s="2" t="str">
        <f t="shared" si="88"/>
        <v>Error?</v>
      </c>
    </row>
    <row r="5722" spans="1:4" x14ac:dyDescent="0.2">
      <c r="A5722" s="5">
        <v>5661</v>
      </c>
      <c r="B5722" s="138">
        <f>'Revenues 9-14'!G7</f>
        <v>0</v>
      </c>
      <c r="D5722" s="2" t="str">
        <f t="shared" si="88"/>
        <v>Error?</v>
      </c>
    </row>
    <row r="5723" spans="1:4" x14ac:dyDescent="0.2">
      <c r="A5723" s="5">
        <v>5662</v>
      </c>
      <c r="B5723" s="138">
        <f>'Revenues 9-14'!G8</f>
        <v>166641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407878</v>
      </c>
      <c r="C5725" s="2" t="s">
        <v>594</v>
      </c>
      <c r="D5725" s="2" t="str">
        <f t="shared" si="88"/>
        <v>Error?</v>
      </c>
    </row>
    <row r="5726" spans="1:4" x14ac:dyDescent="0.2">
      <c r="A5726" s="5">
        <v>5665</v>
      </c>
      <c r="B5726" s="138">
        <f>'Revenues 9-14'!G14</f>
        <v>8</v>
      </c>
      <c r="D5726" s="2" t="str">
        <f t="shared" si="88"/>
        <v>Error?</v>
      </c>
    </row>
    <row r="5727" spans="1:4" x14ac:dyDescent="0.2">
      <c r="A5727" s="5">
        <v>5666</v>
      </c>
      <c r="B5727" s="138">
        <f>'Revenues 9-14'!G15</f>
        <v>216</v>
      </c>
      <c r="D5727" s="2" t="str">
        <f t="shared" si="88"/>
        <v>Error?</v>
      </c>
    </row>
    <row r="5728" spans="1:4" x14ac:dyDescent="0.2">
      <c r="A5728" s="5">
        <v>5667</v>
      </c>
      <c r="B5728" s="138">
        <f>'Revenues 9-14'!G16</f>
        <v>345322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345546</v>
      </c>
      <c r="C5730" s="2" t="s">
        <v>594</v>
      </c>
      <c r="D5730" s="2" t="str">
        <f t="shared" si="88"/>
        <v>Error?</v>
      </c>
    </row>
    <row r="5731" spans="1:4" x14ac:dyDescent="0.2">
      <c r="A5731" s="5">
        <v>5670</v>
      </c>
      <c r="B5731" s="138">
        <f>'Revenues 9-14'!G65</f>
        <v>5036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5036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32162</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32162</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32162</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18650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18650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11164</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74259</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85423</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105718</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105718</v>
      </c>
      <c r="C5869" s="2" t="s">
        <v>594</v>
      </c>
      <c r="D5869" s="2" t="str">
        <f t="shared" si="90"/>
        <v>Error?</v>
      </c>
    </row>
    <row r="5870" spans="1:4" x14ac:dyDescent="0.2">
      <c r="A5870" s="5">
        <v>5809</v>
      </c>
      <c r="B5870" s="138">
        <f>'Revenues 9-14'!G275</f>
        <v>896340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231158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231158</v>
      </c>
      <c r="C5918" s="2" t="s">
        <v>594</v>
      </c>
      <c r="D5918" s="2" t="str">
        <f t="shared" si="91"/>
        <v>Error?</v>
      </c>
    </row>
    <row r="5919" spans="1:4" x14ac:dyDescent="0.2">
      <c r="A5919" s="5">
        <v>5858</v>
      </c>
      <c r="B5919" s="138">
        <f>'Revenues 9-14'!I14</f>
        <v>5</v>
      </c>
      <c r="D5919" s="2" t="str">
        <f t="shared" si="91"/>
        <v>Error?</v>
      </c>
    </row>
    <row r="5920" spans="1:4" x14ac:dyDescent="0.2">
      <c r="A5920" s="5">
        <v>5859</v>
      </c>
      <c r="B5920" s="138">
        <f>'Revenues 9-14'!I15</f>
        <v>117</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122</v>
      </c>
      <c r="C5923" s="2" t="s">
        <v>594</v>
      </c>
      <c r="D5923" s="2" t="str">
        <f t="shared" si="91"/>
        <v>Error?</v>
      </c>
    </row>
    <row r="5924" spans="1:4" x14ac:dyDescent="0.2">
      <c r="A5924" s="5">
        <v>5863</v>
      </c>
      <c r="B5924" s="138">
        <f>'Revenues 9-14'!I65</f>
        <v>109292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109292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340572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287691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287691</v>
      </c>
      <c r="C5987" s="2" t="s">
        <v>594</v>
      </c>
      <c r="D5987" s="2" t="str">
        <f t="shared" si="92"/>
        <v>Error?</v>
      </c>
    </row>
    <row r="5988" spans="1:4" x14ac:dyDescent="0.2">
      <c r="A5988" s="5">
        <v>5927</v>
      </c>
      <c r="B5988" s="138">
        <f>'Revenues 9-14'!K14</f>
        <v>6</v>
      </c>
      <c r="D5988" s="2" t="str">
        <f t="shared" si="92"/>
        <v>Error?</v>
      </c>
    </row>
    <row r="5989" spans="1:4" x14ac:dyDescent="0.2">
      <c r="A5989" s="5">
        <v>5928</v>
      </c>
      <c r="B5989" s="138">
        <f>'Revenues 9-14'!K15</f>
        <v>200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206</v>
      </c>
      <c r="C5992" s="2" t="s">
        <v>594</v>
      </c>
      <c r="D5992" s="2" t="str">
        <f t="shared" si="92"/>
        <v>Error?</v>
      </c>
    </row>
    <row r="5993" spans="1:4" x14ac:dyDescent="0.2">
      <c r="A5993" s="5">
        <v>5932</v>
      </c>
      <c r="B5993" s="138">
        <f>'Revenues 9-14'!K65</f>
        <v>3017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3017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290914</v>
      </c>
      <c r="C6023" s="2" t="s">
        <v>594</v>
      </c>
      <c r="D6023" s="2" t="str">
        <f t="shared" si="93"/>
        <v>Error?</v>
      </c>
    </row>
    <row r="6024" spans="1:5" x14ac:dyDescent="0.2">
      <c r="A6024" s="5">
        <v>5963</v>
      </c>
      <c r="B6024" s="138">
        <f>'Revenues 9-14'!G109</f>
        <v>758460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340572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290914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16043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128748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3262.08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1590000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1110000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480000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135</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83003</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-142927</v>
      </c>
      <c r="D6267" s="2" t="str">
        <f t="shared" si="96"/>
        <v>Error?</v>
      </c>
      <c r="E6267" s="2" t="s">
        <v>199</v>
      </c>
    </row>
    <row r="6268" spans="1:5" x14ac:dyDescent="0.2">
      <c r="A6268">
        <v>6207</v>
      </c>
      <c r="B6268" s="138">
        <f>'Acct Summary 7-8'!D82</f>
        <v>241672</v>
      </c>
      <c r="D6268" s="2" t="str">
        <f t="shared" si="96"/>
        <v>Error?</v>
      </c>
      <c r="E6268" s="2" t="s">
        <v>199</v>
      </c>
    </row>
    <row r="6269" spans="1:5" x14ac:dyDescent="0.2">
      <c r="A6269">
        <v>6208</v>
      </c>
      <c r="B6269" s="138">
        <f>'Acct Summary 7-8'!E82</f>
        <v>2987</v>
      </c>
      <c r="D6269" s="2" t="str">
        <f t="shared" si="96"/>
        <v>Error?</v>
      </c>
      <c r="E6269" s="2" t="s">
        <v>199</v>
      </c>
    </row>
    <row r="6270" spans="1:5" x14ac:dyDescent="0.2">
      <c r="A6270">
        <v>6209</v>
      </c>
      <c r="B6270" s="138">
        <f>'Acct Summary 7-8'!F82</f>
        <v>180318</v>
      </c>
      <c r="D6270" s="2" t="str">
        <f t="shared" si="96"/>
        <v>Error?</v>
      </c>
      <c r="E6270" s="2" t="s">
        <v>199</v>
      </c>
    </row>
    <row r="6271" spans="1:5" x14ac:dyDescent="0.2">
      <c r="A6271">
        <v>6210</v>
      </c>
      <c r="B6271" s="138">
        <f>'Acct Summary 7-8'!G82</f>
        <v>61245</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340572</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92691</v>
      </c>
      <c r="D6275" s="2" t="str">
        <f t="shared" si="97"/>
        <v>Error?</v>
      </c>
      <c r="E6275" s="2" t="s">
        <v>199</v>
      </c>
    </row>
    <row r="6276" spans="1:5" x14ac:dyDescent="0.2">
      <c r="A6276">
        <v>6215</v>
      </c>
      <c r="B6276" s="138">
        <f>'Acct Summary 7-8'!C83</f>
        <v>0.13332842036134598</v>
      </c>
      <c r="D6276" s="2" t="str">
        <f t="shared" si="97"/>
        <v>Error?</v>
      </c>
      <c r="E6276" s="2" t="s">
        <v>199</v>
      </c>
    </row>
    <row r="6277" spans="1:5" x14ac:dyDescent="0.2">
      <c r="A6277">
        <v>6216</v>
      </c>
      <c r="B6277" s="138">
        <f>'Acct Summary 7-8'!D83</f>
        <v>1.9913153102675445</v>
      </c>
      <c r="D6277" s="2" t="str">
        <f t="shared" si="97"/>
        <v>Error?</v>
      </c>
      <c r="E6277" s="2" t="s">
        <v>199</v>
      </c>
    </row>
    <row r="6278" spans="1:5" x14ac:dyDescent="0.2">
      <c r="A6278">
        <v>6217</v>
      </c>
      <c r="B6278" s="138">
        <f>'Acct Summary 7-8'!E83</f>
        <v>1.7989424362510689E-2</v>
      </c>
      <c r="D6278" s="2" t="str">
        <f t="shared" si="97"/>
        <v>Error?</v>
      </c>
      <c r="E6278" s="2" t="s">
        <v>199</v>
      </c>
    </row>
    <row r="6279" spans="1:5" x14ac:dyDescent="0.2">
      <c r="A6279">
        <v>6218</v>
      </c>
      <c r="B6279" s="138">
        <f>'Acct Summary 7-8'!F83</f>
        <v>-0.9871081112151221</v>
      </c>
      <c r="D6279" s="2" t="str">
        <f t="shared" si="97"/>
        <v>Error?</v>
      </c>
      <c r="E6279" s="2" t="s">
        <v>199</v>
      </c>
    </row>
    <row r="6280" spans="1:5" x14ac:dyDescent="0.2">
      <c r="A6280">
        <v>6219</v>
      </c>
      <c r="B6280" s="138">
        <f>'Acct Summary 7-8'!G83</f>
        <v>0.25375904802548982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5.4163824528496635E-2</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0.97203171207449823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483650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383882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80824</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80824</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484424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430126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811579</v>
      </c>
      <c r="D6880" s="2" t="str">
        <f t="shared" si="106"/>
        <v>Error?</v>
      </c>
    </row>
    <row r="6881" spans="1:4" x14ac:dyDescent="0.2">
      <c r="A6881">
        <v>6820</v>
      </c>
      <c r="B6881" s="138">
        <f>'Expenditures 15-22'!K22</f>
        <v>811579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18885</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18885</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18885</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188535</v>
      </c>
      <c r="D6983" s="2" t="str">
        <f t="shared" si="108"/>
        <v>Error?</v>
      </c>
    </row>
    <row r="6984" spans="1:4" x14ac:dyDescent="0.2">
      <c r="A6984">
        <v>6923</v>
      </c>
      <c r="B6984" s="138">
        <f>'Expenditures 15-22'!K86</f>
        <v>188535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188535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18885</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20498</v>
      </c>
      <c r="D7073" s="2" t="str">
        <f t="shared" si="109"/>
        <v>Error?</v>
      </c>
    </row>
    <row r="7074" spans="1:4" x14ac:dyDescent="0.2">
      <c r="A7074">
        <v>7013</v>
      </c>
      <c r="B7074" s="138">
        <f>'Expenditures 15-22'!K216</f>
        <v>20498</v>
      </c>
      <c r="D7074" s="2" t="str">
        <f t="shared" si="109"/>
        <v>Error?</v>
      </c>
    </row>
    <row r="7075" spans="1:4" x14ac:dyDescent="0.2">
      <c r="A7075">
        <v>7014</v>
      </c>
      <c r="B7075" s="138">
        <f>'Expenditures 15-22'!D218</f>
        <v>7549</v>
      </c>
      <c r="D7075" s="2" t="str">
        <f t="shared" si="109"/>
        <v>Error?</v>
      </c>
    </row>
    <row r="7076" spans="1:4" x14ac:dyDescent="0.2">
      <c r="A7076">
        <v>7015</v>
      </c>
      <c r="B7076" s="138">
        <f>'Expenditures 15-22'!K218</f>
        <v>7549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100542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335936</v>
      </c>
      <c r="D7251" s="2" t="str">
        <f t="shared" si="112"/>
        <v>Error?</v>
      </c>
    </row>
    <row r="7252" spans="1:4" x14ac:dyDescent="0.2">
      <c r="A7252">
        <f t="shared" si="113"/>
        <v>7191</v>
      </c>
      <c r="B7252" s="138">
        <f>'Expenditures 15-22'!D9</f>
        <v>94190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1519096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107621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80824</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29'!D141</f>
        <v>2674650</v>
      </c>
      <c r="D7797" s="2" t="str">
        <f t="shared" si="127"/>
        <v>Error?</v>
      </c>
      <c r="E7797" s="4" t="s">
        <v>2014</v>
      </c>
    </row>
    <row r="7798" spans="1:5" x14ac:dyDescent="0.2">
      <c r="A7798">
        <v>7737</v>
      </c>
      <c r="B7798" s="138">
        <f>'Contracts Paid in CY 29'!F141</f>
        <v>25000</v>
      </c>
      <c r="D7798" s="2" t="str">
        <f t="shared" si="127"/>
        <v>Error?</v>
      </c>
      <c r="E7798" s="4" t="s">
        <v>2014</v>
      </c>
    </row>
    <row r="7799" spans="1:5" x14ac:dyDescent="0.2">
      <c r="A7799">
        <v>7738</v>
      </c>
      <c r="B7799" s="138">
        <f>'Contracts Paid in CY 29'!G141</f>
        <v>2649650</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98" t="s">
        <v>1253</v>
      </c>
      <c r="B2" s="2498"/>
      <c r="C2" s="2498"/>
      <c r="D2" s="2498"/>
      <c r="E2" s="2498"/>
      <c r="F2" s="2498"/>
      <c r="G2" s="2498"/>
      <c r="H2" s="2498"/>
      <c r="I2" s="2498"/>
      <c r="J2" s="2498"/>
      <c r="K2" s="2498"/>
      <c r="L2" s="2498"/>
    </row>
    <row r="3" spans="1:29" ht="13.5" customHeight="1" x14ac:dyDescent="0.2">
      <c r="A3" s="2529" t="s">
        <v>1252</v>
      </c>
      <c r="B3" s="2529"/>
      <c r="C3" s="2529"/>
      <c r="D3" s="2529"/>
      <c r="E3" s="2529"/>
      <c r="F3" s="2529"/>
      <c r="G3" s="2529"/>
      <c r="H3" s="2529"/>
      <c r="I3" s="2529"/>
      <c r="J3" s="2529"/>
      <c r="K3" s="2529"/>
      <c r="L3" s="2529"/>
    </row>
    <row r="4" spans="1:29" ht="13.5" customHeight="1" x14ac:dyDescent="0.2">
      <c r="A4" s="2498" t="s">
        <v>1797</v>
      </c>
      <c r="B4" s="2519"/>
      <c r="C4" s="2519"/>
      <c r="D4" s="2519"/>
      <c r="E4" s="2519"/>
      <c r="F4" s="2519"/>
      <c r="G4" s="2519"/>
      <c r="H4" s="2519"/>
      <c r="I4" s="2519"/>
      <c r="J4" s="2519"/>
      <c r="K4" s="2519"/>
      <c r="L4" s="2519"/>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1251</v>
      </c>
      <c r="B6" s="1183"/>
      <c r="C6" s="1184"/>
      <c r="D6" s="1184"/>
      <c r="E6" s="1185" t="s">
        <v>1250</v>
      </c>
      <c r="F6" s="1186"/>
      <c r="G6" s="1187" t="s">
        <v>1249</v>
      </c>
      <c r="H6" s="1184"/>
      <c r="I6" s="1184"/>
      <c r="J6" s="1184"/>
      <c r="K6" s="1184"/>
      <c r="L6" s="1188"/>
      <c r="V6" s="1181"/>
      <c r="W6" s="1181"/>
      <c r="X6" s="1181"/>
      <c r="Y6" s="1181"/>
      <c r="Z6" s="1181"/>
      <c r="AA6" s="1181"/>
      <c r="AB6" s="1181"/>
      <c r="AC6" s="1181"/>
    </row>
    <row r="7" spans="1:29" ht="16.5" customHeight="1" x14ac:dyDescent="0.2">
      <c r="A7" s="2520" t="str">
        <f>COVER!A17</f>
        <v>Pekin PSD 108</v>
      </c>
      <c r="B7" s="2521"/>
      <c r="C7" s="2521"/>
      <c r="D7" s="2522"/>
      <c r="E7" s="2523">
        <f>COVER!A13</f>
        <v>53090108002</v>
      </c>
      <c r="F7" s="2524"/>
      <c r="G7" s="2530" t="str">
        <f>COVER!T23</f>
        <v>066-005027</v>
      </c>
      <c r="H7" s="2531"/>
      <c r="I7" s="2531"/>
      <c r="J7" s="2531"/>
      <c r="K7" s="2531"/>
      <c r="L7" s="2532"/>
    </row>
    <row r="8" spans="1:29" ht="13.5" customHeight="1" x14ac:dyDescent="0.2">
      <c r="A8" s="1182" t="s">
        <v>1597</v>
      </c>
      <c r="B8" s="1183"/>
      <c r="C8" s="1184"/>
      <c r="D8" s="1184"/>
      <c r="E8" s="1189"/>
      <c r="F8" s="1188"/>
      <c r="G8" s="1190" t="s">
        <v>1248</v>
      </c>
      <c r="H8" s="1191"/>
      <c r="I8" s="1191"/>
      <c r="J8" s="1191"/>
      <c r="K8" s="1191"/>
      <c r="L8" s="1192"/>
    </row>
    <row r="9" spans="1:29" ht="13.5" customHeight="1" x14ac:dyDescent="0.2">
      <c r="A9" s="2533"/>
      <c r="B9" s="2534"/>
      <c r="C9" s="2534"/>
      <c r="D9" s="2534"/>
      <c r="E9" s="2534"/>
      <c r="F9" s="2535"/>
      <c r="G9" s="2504" t="str">
        <f>COVER!T13</f>
        <v>Gorenz and Associates, Ltd.</v>
      </c>
      <c r="H9" s="2527"/>
      <c r="I9" s="2527"/>
      <c r="J9" s="2527"/>
      <c r="K9" s="2527"/>
      <c r="L9" s="2528"/>
    </row>
    <row r="10" spans="1:29" ht="13.5" customHeight="1" x14ac:dyDescent="0.2">
      <c r="A10" s="2510" t="str">
        <f>COVER!A38</f>
        <v>Bill Link</v>
      </c>
      <c r="B10" s="2511"/>
      <c r="C10" s="2511"/>
      <c r="D10" s="2511"/>
      <c r="E10" s="2511"/>
      <c r="F10" s="2512"/>
      <c r="G10" s="2504" t="str">
        <f>COVER!T17</f>
        <v>4200 N Knoxville Ave</v>
      </c>
      <c r="H10" s="2505"/>
      <c r="I10" s="2505"/>
      <c r="J10" s="2505"/>
      <c r="K10" s="2505"/>
      <c r="L10" s="2506"/>
    </row>
    <row r="11" spans="1:29" ht="13.5" customHeight="1" x14ac:dyDescent="0.2">
      <c r="A11" s="1182" t="s">
        <v>1599</v>
      </c>
      <c r="B11" s="1183"/>
      <c r="C11" s="1184"/>
      <c r="D11" s="1189"/>
      <c r="E11" s="1184"/>
      <c r="F11" s="1188"/>
      <c r="G11" s="2504" t="str">
        <f>COVER!T19</f>
        <v>Peoria</v>
      </c>
      <c r="H11" s="2505"/>
      <c r="I11" s="2505"/>
      <c r="J11" s="2505"/>
      <c r="K11" s="2505"/>
      <c r="L11" s="2506"/>
    </row>
    <row r="12" spans="1:29" ht="13.5" customHeight="1" x14ac:dyDescent="0.2">
      <c r="A12" s="2513" t="s">
        <v>1598</v>
      </c>
      <c r="B12" s="2514"/>
      <c r="C12" s="2514"/>
      <c r="D12" s="2514"/>
      <c r="E12" s="2514"/>
      <c r="F12" s="2515"/>
      <c r="G12" s="2507"/>
      <c r="H12" s="2508"/>
      <c r="I12" s="2508"/>
      <c r="J12" s="2508"/>
      <c r="K12" s="2508"/>
      <c r="L12" s="2509"/>
    </row>
    <row r="13" spans="1:29" ht="13.5" customHeight="1" x14ac:dyDescent="0.2">
      <c r="A13" s="2504"/>
      <c r="B13" s="2505"/>
      <c r="C13" s="2505"/>
      <c r="D13" s="2505"/>
      <c r="E13" s="2505"/>
      <c r="F13" s="2506"/>
      <c r="G13" s="2499" t="s">
        <v>1600</v>
      </c>
      <c r="H13" s="2500"/>
      <c r="I13" s="2516" t="str">
        <f>COVER!T25</f>
        <v>jhohulin@gorenzcpa.com</v>
      </c>
      <c r="J13" s="2517"/>
      <c r="K13" s="2517"/>
      <c r="L13" s="2518"/>
    </row>
    <row r="14" spans="1:29" ht="13.5" customHeight="1" x14ac:dyDescent="0.2">
      <c r="A14" s="2504" t="str">
        <f>COVER!A19</f>
        <v>501 Washington Street</v>
      </c>
      <c r="B14" s="2505"/>
      <c r="C14" s="2505"/>
      <c r="D14" s="2505"/>
      <c r="E14" s="2505"/>
      <c r="F14" s="2506"/>
      <c r="G14" s="1193" t="s">
        <v>1247</v>
      </c>
      <c r="H14" s="1191"/>
      <c r="I14" s="1191"/>
      <c r="J14" s="1191"/>
      <c r="K14" s="1191"/>
      <c r="L14" s="1192"/>
    </row>
    <row r="15" spans="1:29" ht="13.5" customHeight="1" x14ac:dyDescent="0.2">
      <c r="A15" s="2504" t="s">
        <v>2228</v>
      </c>
      <c r="B15" s="2505"/>
      <c r="C15" s="2505"/>
      <c r="D15" s="2505"/>
      <c r="E15" s="2505"/>
      <c r="F15" s="2506"/>
      <c r="G15" s="2501" t="str">
        <f>COVER!T15</f>
        <v>Jason A. Hohulin, CPA</v>
      </c>
      <c r="H15" s="2502"/>
      <c r="I15" s="2502"/>
      <c r="J15" s="2502"/>
      <c r="K15" s="2502"/>
      <c r="L15" s="2503"/>
    </row>
    <row r="16" spans="1:29" ht="12.2" customHeight="1" x14ac:dyDescent="0.2">
      <c r="A16" s="2526">
        <f>COVER!A25</f>
        <v>61554</v>
      </c>
      <c r="B16" s="2527"/>
      <c r="C16" s="2527"/>
      <c r="D16" s="2527"/>
      <c r="E16" s="2527"/>
      <c r="F16" s="2528"/>
      <c r="G16" s="2536"/>
      <c r="H16" s="2537"/>
      <c r="I16" s="2537"/>
      <c r="J16" s="2537"/>
      <c r="K16" s="2537"/>
      <c r="L16" s="2538"/>
    </row>
    <row r="17" spans="1:13" ht="12.2" customHeight="1" x14ac:dyDescent="0.2">
      <c r="A17" s="2539"/>
      <c r="B17" s="2540"/>
      <c r="C17" s="2540"/>
      <c r="D17" s="2540"/>
      <c r="E17" s="2540"/>
      <c r="F17" s="2541"/>
      <c r="G17" s="1193" t="s">
        <v>1246</v>
      </c>
      <c r="H17" s="1191"/>
      <c r="I17" s="1191"/>
      <c r="J17" s="1191"/>
      <c r="K17" s="1195" t="s">
        <v>1245</v>
      </c>
      <c r="L17" s="1188"/>
      <c r="M17" s="1181"/>
    </row>
    <row r="18" spans="1:13" ht="12.2" customHeight="1" x14ac:dyDescent="0.2">
      <c r="A18" s="2510"/>
      <c r="B18" s="2511"/>
      <c r="C18" s="2511"/>
      <c r="D18" s="2511"/>
      <c r="E18" s="2511"/>
      <c r="F18" s="2512"/>
      <c r="G18" s="2520" t="str">
        <f>COVER!T21</f>
        <v>309-685-7621</v>
      </c>
      <c r="H18" s="2521"/>
      <c r="I18" s="2521"/>
      <c r="J18" s="2521"/>
      <c r="K18" s="2520" t="str">
        <f>COVER!X21</f>
        <v>309-685-4758</v>
      </c>
      <c r="L18" s="2525"/>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1231</v>
      </c>
      <c r="K20" s="1174" t="s">
        <v>1231</v>
      </c>
    </row>
    <row r="21" spans="1:13" ht="12.2" customHeight="1" x14ac:dyDescent="0.2">
      <c r="A21" s="1197" t="s">
        <v>1798</v>
      </c>
    </row>
    <row r="22" spans="1:13" ht="12.2" customHeight="1" x14ac:dyDescent="0.2">
      <c r="A22" s="1198"/>
    </row>
    <row r="23" spans="1:13" ht="12.2" customHeight="1" x14ac:dyDescent="0.2">
      <c r="A23" s="1198"/>
      <c r="B23" s="1199" t="s">
        <v>2089</v>
      </c>
      <c r="C23" s="1200" t="s">
        <v>1244</v>
      </c>
    </row>
    <row r="24" spans="1:13" ht="10.15" customHeight="1" x14ac:dyDescent="0.2">
      <c r="A24" s="1198"/>
      <c r="C24" s="1200" t="s">
        <v>1243</v>
      </c>
    </row>
    <row r="25" spans="1:13" ht="9" customHeight="1" x14ac:dyDescent="0.2">
      <c r="B25" s="1201" t="s">
        <v>1231</v>
      </c>
      <c r="C25" s="1202"/>
    </row>
    <row r="26" spans="1:13" s="1196" customFormat="1" ht="12.2" customHeight="1" x14ac:dyDescent="0.2">
      <c r="B26" s="1199" t="s">
        <v>2089</v>
      </c>
      <c r="C26" s="1200" t="s">
        <v>1799</v>
      </c>
    </row>
    <row r="27" spans="1:13" s="1196" customFormat="1" ht="9" customHeight="1" x14ac:dyDescent="0.2">
      <c r="B27" s="1201"/>
      <c r="C27" s="1200"/>
    </row>
    <row r="28" spans="1:13" s="1196" customFormat="1" ht="12.2" customHeight="1" x14ac:dyDescent="0.2">
      <c r="A28" s="1203"/>
      <c r="B28" s="1199" t="s">
        <v>2089</v>
      </c>
      <c r="C28" s="1200" t="s">
        <v>1800</v>
      </c>
    </row>
    <row r="29" spans="1:13" s="1196" customFormat="1" ht="9" customHeight="1" x14ac:dyDescent="0.2">
      <c r="A29" s="1203"/>
      <c r="B29" s="1201"/>
      <c r="C29" s="1200"/>
    </row>
    <row r="30" spans="1:13" s="1196" customFormat="1" ht="12.2" customHeight="1" x14ac:dyDescent="0.2">
      <c r="B30" s="1199" t="s">
        <v>2089</v>
      </c>
      <c r="C30" s="1200" t="s">
        <v>1641</v>
      </c>
      <c r="D30" s="1194"/>
      <c r="E30" s="1194"/>
    </row>
    <row r="31" spans="1:13" s="1196" customFormat="1" ht="9" customHeight="1" x14ac:dyDescent="0.2">
      <c r="B31" s="1201"/>
      <c r="C31" s="1200"/>
      <c r="D31" s="1194"/>
      <c r="E31" s="1194"/>
    </row>
    <row r="32" spans="1:13" s="1196" customFormat="1" ht="12.2" customHeight="1" x14ac:dyDescent="0.2">
      <c r="B32" s="1199" t="s">
        <v>2089</v>
      </c>
      <c r="C32" s="1200" t="s">
        <v>1642</v>
      </c>
      <c r="D32" s="1194"/>
      <c r="E32" s="1194"/>
    </row>
    <row r="33" spans="1:8" s="1196" customFormat="1" ht="10.9" customHeight="1" x14ac:dyDescent="0.2">
      <c r="B33" s="1201"/>
      <c r="C33" s="1204" t="s">
        <v>1801</v>
      </c>
      <c r="D33" s="1194"/>
      <c r="E33" s="1194"/>
    </row>
    <row r="34" spans="1:8" ht="9" customHeight="1" x14ac:dyDescent="0.2">
      <c r="B34" s="1201"/>
      <c r="C34" s="1204"/>
    </row>
    <row r="35" spans="1:8" s="1196" customFormat="1" ht="13.5" customHeight="1" x14ac:dyDescent="0.2">
      <c r="B35" s="1199" t="s">
        <v>2089</v>
      </c>
      <c r="C35" s="1200" t="s">
        <v>1643</v>
      </c>
    </row>
    <row r="36" spans="1:8" s="1196" customFormat="1" ht="10.9" customHeight="1" x14ac:dyDescent="0.2">
      <c r="B36" s="1201"/>
      <c r="C36" s="1204" t="s">
        <v>1644</v>
      </c>
    </row>
    <row r="37" spans="1:8" ht="9" customHeight="1" x14ac:dyDescent="0.2">
      <c r="B37" s="1201"/>
      <c r="C37" s="1204"/>
    </row>
    <row r="38" spans="1:8" s="1196" customFormat="1" ht="12.2" customHeight="1" x14ac:dyDescent="0.2">
      <c r="B38" s="1199" t="s">
        <v>2089</v>
      </c>
      <c r="C38" s="1200" t="s">
        <v>1645</v>
      </c>
    </row>
    <row r="39" spans="1:8" ht="9" customHeight="1" x14ac:dyDescent="0.2">
      <c r="B39" s="1201"/>
      <c r="C39" s="1204"/>
    </row>
    <row r="40" spans="1:8" s="1196" customFormat="1" ht="13.5" customHeight="1" x14ac:dyDescent="0.2">
      <c r="B40" s="1199" t="s">
        <v>2089</v>
      </c>
      <c r="C40" s="1200" t="s">
        <v>1646</v>
      </c>
    </row>
    <row r="41" spans="1:8" ht="9" customHeight="1" x14ac:dyDescent="0.2">
      <c r="A41" s="1205"/>
      <c r="B41" s="1201"/>
      <c r="C41" s="1204"/>
    </row>
    <row r="42" spans="1:8" s="1196" customFormat="1" ht="13.5" customHeight="1" x14ac:dyDescent="0.2">
      <c r="B42" s="1199" t="s">
        <v>2089</v>
      </c>
      <c r="C42" s="1200" t="s">
        <v>1941</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1242</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t="s">
        <v>2089</v>
      </c>
      <c r="C46" s="1207" t="s">
        <v>1647</v>
      </c>
      <c r="D46" s="1194"/>
      <c r="E46" s="1194"/>
      <c r="F46" s="1194"/>
      <c r="G46" s="1194"/>
      <c r="H46" s="1194"/>
    </row>
    <row r="47" spans="1:8" ht="9" customHeight="1" x14ac:dyDescent="0.2"/>
    <row r="48" spans="1:8" ht="12.2" customHeight="1" x14ac:dyDescent="0.2">
      <c r="B48" s="1208"/>
      <c r="C48" s="1209" t="s">
        <v>1648</v>
      </c>
    </row>
    <row r="49" spans="1:12" ht="9" customHeight="1" x14ac:dyDescent="0.2"/>
    <row r="50" spans="1:12" ht="6" customHeight="1" x14ac:dyDescent="0.2">
      <c r="C50" s="1209"/>
    </row>
    <row r="51" spans="1:12" ht="12.2" customHeight="1" x14ac:dyDescent="0.2">
      <c r="A51" s="1211" t="s">
        <v>1802</v>
      </c>
    </row>
    <row r="52" spans="1:12" ht="12.2" customHeight="1" x14ac:dyDescent="0.2">
      <c r="A52" s="1206"/>
    </row>
    <row r="53" spans="1:12" ht="12.2" customHeight="1" x14ac:dyDescent="0.2"/>
    <row r="54" spans="1:12" ht="12.2" customHeight="1" x14ac:dyDescent="0.2"/>
    <row r="55" spans="1:12" ht="12.2" customHeight="1" x14ac:dyDescent="0.2"/>
    <row r="56" spans="1:12" ht="12.2" customHeight="1" x14ac:dyDescent="0.2">
      <c r="A56" s="1210"/>
    </row>
    <row r="59" spans="1:12" ht="12.75" customHeight="1" x14ac:dyDescent="0.2"/>
    <row r="60" spans="1:12" ht="36" customHeight="1" x14ac:dyDescent="0.2">
      <c r="L60" s="1176"/>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542" t="str">
        <f>'Single Audit Cover'!A7</f>
        <v>Pekin PSD 108</v>
      </c>
      <c r="B1" s="2519"/>
      <c r="C1" s="2519"/>
      <c r="D1" s="2519"/>
    </row>
    <row r="2" spans="1:11" s="1212" customFormat="1" ht="12.75" x14ac:dyDescent="0.2">
      <c r="A2" s="2543">
        <f>'Single Audit Cover'!E7</f>
        <v>53090108002</v>
      </c>
      <c r="B2" s="2544"/>
      <c r="C2" s="2544"/>
      <c r="D2" s="2544"/>
    </row>
    <row r="3" spans="1:11" s="1212" customFormat="1" ht="12.75" x14ac:dyDescent="0.2">
      <c r="A3" s="2542" t="s">
        <v>1593</v>
      </c>
      <c r="B3" s="2519"/>
      <c r="C3" s="2519"/>
      <c r="D3" s="2519"/>
    </row>
    <row r="4" spans="1:11" s="1212" customFormat="1" ht="4.5" customHeight="1" x14ac:dyDescent="0.2">
      <c r="A4" s="1213"/>
      <c r="B4" s="1214"/>
      <c r="C4" s="1214"/>
      <c r="D4" s="1214"/>
    </row>
    <row r="5" spans="1:11" x14ac:dyDescent="0.2">
      <c r="B5" s="1216" t="s">
        <v>1594</v>
      </c>
      <c r="C5" s="1217"/>
      <c r="D5" s="1218"/>
    </row>
    <row r="6" spans="1:11" x14ac:dyDescent="0.2">
      <c r="B6" s="1216" t="s">
        <v>1287</v>
      </c>
      <c r="C6" s="1217"/>
      <c r="D6" s="1218"/>
    </row>
    <row r="7" spans="1:11" x14ac:dyDescent="0.2">
      <c r="B7" s="1216" t="s">
        <v>1595</v>
      </c>
      <c r="C7" s="1217"/>
      <c r="D7" s="1218"/>
    </row>
    <row r="8" spans="1:11" ht="4.5" customHeight="1" x14ac:dyDescent="0.2">
      <c r="B8" s="1216"/>
      <c r="C8" s="1217"/>
      <c r="D8" s="1218"/>
    </row>
    <row r="9" spans="1:11" x14ac:dyDescent="0.2">
      <c r="B9" s="1220" t="s">
        <v>1286</v>
      </c>
      <c r="C9" s="1221"/>
      <c r="D9" s="1218"/>
    </row>
    <row r="10" spans="1:11" ht="4.5" customHeight="1" x14ac:dyDescent="0.2">
      <c r="B10" s="1220"/>
      <c r="C10" s="1221"/>
      <c r="D10" s="1218"/>
    </row>
    <row r="11" spans="1:11" x14ac:dyDescent="0.2">
      <c r="B11" s="1222"/>
      <c r="C11" s="1223">
        <v>1</v>
      </c>
      <c r="D11" s="1224" t="s">
        <v>1803</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1804</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1805</v>
      </c>
      <c r="E15" s="1225"/>
      <c r="F15" s="1225"/>
      <c r="G15" s="1225"/>
      <c r="H15" s="1225"/>
      <c r="I15" s="1225"/>
      <c r="J15" s="1225"/>
      <c r="K15" s="1225"/>
    </row>
    <row r="16" spans="1:11" ht="10.5" customHeight="1" x14ac:dyDescent="0.2">
      <c r="B16" s="1228"/>
      <c r="D16" s="1227" t="s">
        <v>1285</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1806</v>
      </c>
      <c r="E18" s="1225"/>
      <c r="F18" s="1225"/>
      <c r="G18" s="1225"/>
      <c r="H18" s="1225"/>
      <c r="I18" s="1225"/>
      <c r="J18" s="1225"/>
      <c r="K18" s="1225"/>
    </row>
    <row r="19" spans="1:11" ht="9.75" customHeight="1" x14ac:dyDescent="0.2">
      <c r="A19" s="1219"/>
      <c r="B19" s="1228"/>
      <c r="D19" s="1227" t="s">
        <v>1284</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1283</v>
      </c>
      <c r="E21" s="1225"/>
      <c r="F21" s="1225"/>
      <c r="G21" s="1225"/>
      <c r="H21" s="1225"/>
      <c r="I21" s="1225"/>
      <c r="J21" s="1225"/>
      <c r="K21" s="1225"/>
    </row>
    <row r="22" spans="1:11" ht="10.5" customHeight="1" x14ac:dyDescent="0.2">
      <c r="A22" s="1219"/>
      <c r="B22" s="1228"/>
      <c r="D22" s="1227" t="s">
        <v>1282</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1827</v>
      </c>
      <c r="E24" s="1225"/>
      <c r="F24" s="1225"/>
      <c r="G24" s="1225"/>
      <c r="H24" s="1225"/>
      <c r="I24" s="1225"/>
      <c r="J24" s="1225"/>
      <c r="K24" s="1225"/>
    </row>
    <row r="25" spans="1:11" x14ac:dyDescent="0.2">
      <c r="A25" s="1219"/>
      <c r="B25" s="1228"/>
      <c r="D25" s="1227" t="s">
        <v>1807</v>
      </c>
      <c r="E25" s="1225"/>
      <c r="F25" s="1225"/>
      <c r="G25" s="1225"/>
      <c r="H25" s="1225"/>
      <c r="I25" s="1225"/>
      <c r="J25" s="1225"/>
      <c r="K25" s="1225"/>
    </row>
    <row r="26" spans="1:11" x14ac:dyDescent="0.2">
      <c r="A26" s="1219"/>
      <c r="B26" s="1228"/>
      <c r="D26" s="1232" t="s">
        <v>1808</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1649</v>
      </c>
      <c r="E28" s="1225"/>
      <c r="F28" s="1225"/>
      <c r="G28" s="1225"/>
      <c r="H28" s="1225"/>
      <c r="I28" s="1225"/>
      <c r="J28" s="1225"/>
      <c r="K28" s="1225"/>
    </row>
    <row r="29" spans="1:11" ht="10.5" customHeight="1" x14ac:dyDescent="0.2">
      <c r="A29" s="1219"/>
      <c r="D29" s="1233" t="s">
        <v>1650</v>
      </c>
    </row>
    <row r="30" spans="1:11" ht="6" customHeight="1" x14ac:dyDescent="0.2">
      <c r="A30" s="1219"/>
      <c r="D30" s="1218"/>
    </row>
    <row r="31" spans="1:11" x14ac:dyDescent="0.2">
      <c r="A31" s="1219"/>
      <c r="B31" s="1220" t="s">
        <v>1281</v>
      </c>
      <c r="C31" s="1221"/>
      <c r="D31" s="1218"/>
    </row>
    <row r="32" spans="1:11" ht="4.5" customHeight="1" x14ac:dyDescent="0.2">
      <c r="A32" s="1219"/>
      <c r="B32" s="1220"/>
      <c r="C32" s="1221"/>
      <c r="D32" s="1218"/>
    </row>
    <row r="33" spans="1:5" x14ac:dyDescent="0.2">
      <c r="A33" s="1219"/>
      <c r="B33" s="1222"/>
      <c r="C33" s="1223">
        <v>8</v>
      </c>
      <c r="D33" s="1234" t="s">
        <v>1280</v>
      </c>
    </row>
    <row r="34" spans="1:5" ht="10.5" customHeight="1" x14ac:dyDescent="0.2">
      <c r="A34" s="1219"/>
      <c r="B34" s="1235"/>
      <c r="C34" s="1223"/>
      <c r="D34" s="1234" t="s">
        <v>1651</v>
      </c>
    </row>
    <row r="35" spans="1:5" ht="3" customHeight="1" x14ac:dyDescent="0.2">
      <c r="A35" s="1219"/>
      <c r="B35" s="1228"/>
      <c r="D35" s="1218"/>
    </row>
    <row r="36" spans="1:5" x14ac:dyDescent="0.2">
      <c r="A36" s="1219"/>
      <c r="B36" s="1222"/>
      <c r="C36" s="1223">
        <f>C33+1</f>
        <v>9</v>
      </c>
      <c r="D36" s="1234" t="s">
        <v>1279</v>
      </c>
    </row>
    <row r="37" spans="1:5" ht="10.5" customHeight="1" x14ac:dyDescent="0.2">
      <c r="A37" s="1219"/>
      <c r="B37" s="1228"/>
      <c r="D37" s="1234" t="s">
        <v>1651</v>
      </c>
    </row>
    <row r="38" spans="1:5" ht="3" customHeight="1" x14ac:dyDescent="0.2">
      <c r="A38" s="1219"/>
      <c r="B38" s="1236"/>
      <c r="C38" s="1237"/>
      <c r="D38" s="1218"/>
    </row>
    <row r="39" spans="1:5" x14ac:dyDescent="0.2">
      <c r="A39" s="1219"/>
      <c r="B39" s="1238"/>
      <c r="C39" s="1229">
        <f>C36+1</f>
        <v>10</v>
      </c>
      <c r="D39" s="1218" t="s">
        <v>1278</v>
      </c>
    </row>
    <row r="40" spans="1:5" ht="10.5" customHeight="1" x14ac:dyDescent="0.2">
      <c r="A40" s="1219"/>
      <c r="B40" s="1239"/>
      <c r="C40" s="1237"/>
      <c r="D40" s="1218" t="s">
        <v>1652</v>
      </c>
    </row>
    <row r="41" spans="1:5" ht="3" customHeight="1" x14ac:dyDescent="0.2">
      <c r="A41" s="1219"/>
      <c r="B41" s="1236"/>
      <c r="C41" s="1237"/>
      <c r="D41" s="1218"/>
    </row>
    <row r="42" spans="1:5" ht="10.5" customHeight="1" x14ac:dyDescent="0.2">
      <c r="A42" s="1219"/>
      <c r="B42" s="1238"/>
      <c r="C42" s="1229">
        <v>11</v>
      </c>
      <c r="D42" s="1240" t="s">
        <v>1653</v>
      </c>
      <c r="E42" s="312"/>
    </row>
    <row r="43" spans="1:5" ht="3" customHeight="1" x14ac:dyDescent="0.2">
      <c r="A43" s="1219"/>
      <c r="B43" s="1236"/>
      <c r="C43" s="1237"/>
      <c r="D43" s="1218"/>
    </row>
    <row r="44" spans="1:5" x14ac:dyDescent="0.2">
      <c r="A44" s="1219"/>
      <c r="B44" s="1222"/>
      <c r="C44" s="1223">
        <f>C42+1</f>
        <v>12</v>
      </c>
      <c r="D44" s="1234" t="s">
        <v>1277</v>
      </c>
    </row>
    <row r="45" spans="1:5" ht="10.5" customHeight="1" x14ac:dyDescent="0.2">
      <c r="A45" s="1219"/>
      <c r="B45" s="1235"/>
      <c r="C45" s="1223"/>
      <c r="D45" s="1234" t="s">
        <v>1276</v>
      </c>
    </row>
    <row r="46" spans="1:5" ht="10.5" customHeight="1" x14ac:dyDescent="0.2">
      <c r="A46" s="1219"/>
      <c r="B46" s="1236"/>
      <c r="C46" s="1237"/>
      <c r="D46" s="1234" t="s">
        <v>1275</v>
      </c>
    </row>
    <row r="47" spans="1:5" ht="3" customHeight="1" x14ac:dyDescent="0.2">
      <c r="A47" s="1219"/>
      <c r="B47" s="1236"/>
      <c r="C47" s="1237"/>
      <c r="D47" s="1234"/>
    </row>
    <row r="48" spans="1:5" x14ac:dyDescent="0.2">
      <c r="A48" s="1219"/>
      <c r="B48" s="1222"/>
      <c r="C48" s="1223">
        <f>C44+1</f>
        <v>13</v>
      </c>
      <c r="D48" s="1234" t="s">
        <v>1654</v>
      </c>
    </row>
    <row r="49" spans="1:4" ht="3" customHeight="1" x14ac:dyDescent="0.2">
      <c r="A49" s="1219"/>
      <c r="B49" s="1226"/>
      <c r="C49" s="1223"/>
      <c r="D49" s="1234"/>
    </row>
    <row r="50" spans="1:4" x14ac:dyDescent="0.2">
      <c r="A50" s="1219"/>
      <c r="B50" s="1222"/>
      <c r="C50" s="1223">
        <f>C48+1</f>
        <v>14</v>
      </c>
      <c r="D50" s="1234" t="s">
        <v>1274</v>
      </c>
    </row>
    <row r="51" spans="1:4" ht="3" customHeight="1" x14ac:dyDescent="0.2">
      <c r="A51" s="1219"/>
      <c r="B51" s="1226"/>
      <c r="C51" s="1223"/>
      <c r="D51" s="1234"/>
    </row>
    <row r="52" spans="1:4" x14ac:dyDescent="0.2">
      <c r="A52" s="1219"/>
      <c r="B52" s="1222"/>
      <c r="C52" s="1223">
        <f>C50+1</f>
        <v>15</v>
      </c>
      <c r="D52" s="1234" t="s">
        <v>1273</v>
      </c>
    </row>
    <row r="53" spans="1:4" ht="3" customHeight="1" x14ac:dyDescent="0.2">
      <c r="A53" s="1219"/>
      <c r="B53" s="1226"/>
      <c r="C53" s="1223"/>
      <c r="D53" s="1234"/>
    </row>
    <row r="54" spans="1:4" x14ac:dyDescent="0.2">
      <c r="A54" s="1219"/>
      <c r="B54" s="1222"/>
      <c r="C54" s="1223">
        <f>C52+1</f>
        <v>16</v>
      </c>
      <c r="D54" s="1234" t="s">
        <v>1272</v>
      </c>
    </row>
    <row r="55" spans="1:4" ht="3" customHeight="1" x14ac:dyDescent="0.2">
      <c r="A55" s="1219"/>
      <c r="B55" s="1226"/>
      <c r="C55" s="1223"/>
      <c r="D55" s="1234"/>
    </row>
    <row r="56" spans="1:4" x14ac:dyDescent="0.2">
      <c r="A56" s="1219"/>
      <c r="B56" s="1222"/>
      <c r="C56" s="1223">
        <f>C54+1</f>
        <v>17</v>
      </c>
      <c r="D56" s="1218" t="s">
        <v>1809</v>
      </c>
    </row>
    <row r="57" spans="1:4" ht="10.5" customHeight="1" x14ac:dyDescent="0.2">
      <c r="A57" s="1219"/>
      <c r="D57" s="1234" t="s">
        <v>1810</v>
      </c>
    </row>
    <row r="58" spans="1:4" x14ac:dyDescent="0.2">
      <c r="A58" s="1219"/>
      <c r="C58" s="1241"/>
      <c r="D58" s="1234" t="s">
        <v>1811</v>
      </c>
    </row>
    <row r="59" spans="1:4" ht="10.5" customHeight="1" x14ac:dyDescent="0.2">
      <c r="A59" s="1219"/>
      <c r="D59" s="1218" t="s">
        <v>1271</v>
      </c>
    </row>
    <row r="60" spans="1:4" ht="10.5" customHeight="1" x14ac:dyDescent="0.2">
      <c r="A60" s="1219"/>
      <c r="D60" s="1242" t="s">
        <v>1679</v>
      </c>
    </row>
    <row r="61" spans="1:4" ht="10.5" customHeight="1" x14ac:dyDescent="0.2">
      <c r="A61" s="1219"/>
      <c r="C61" s="1241"/>
      <c r="D61" s="1234" t="s">
        <v>1812</v>
      </c>
    </row>
    <row r="62" spans="1:4" ht="10.5" customHeight="1" x14ac:dyDescent="0.2">
      <c r="A62" s="1219"/>
      <c r="D62" s="1243" t="s">
        <v>1270</v>
      </c>
    </row>
    <row r="63" spans="1:4" ht="10.5" customHeight="1" x14ac:dyDescent="0.2">
      <c r="A63" s="1219"/>
      <c r="D63" s="1218" t="s">
        <v>1655</v>
      </c>
    </row>
    <row r="64" spans="1:4" ht="10.5" customHeight="1" x14ac:dyDescent="0.2">
      <c r="A64" s="1219"/>
      <c r="D64" s="1242" t="s">
        <v>1678</v>
      </c>
    </row>
    <row r="65" spans="1:4" x14ac:dyDescent="0.2">
      <c r="A65" s="1219"/>
      <c r="C65" s="1241"/>
      <c r="D65" s="1234" t="s">
        <v>1813</v>
      </c>
    </row>
    <row r="66" spans="1:4" ht="10.5" customHeight="1" x14ac:dyDescent="0.2">
      <c r="A66" s="1219"/>
      <c r="D66" s="1244" t="s">
        <v>1269</v>
      </c>
    </row>
    <row r="67" spans="1:4" ht="10.5" customHeight="1" x14ac:dyDescent="0.2">
      <c r="A67" s="1219"/>
      <c r="D67" s="1218" t="s">
        <v>1656</v>
      </c>
    </row>
    <row r="68" spans="1:4" ht="10.5" customHeight="1" x14ac:dyDescent="0.2">
      <c r="A68" s="1219"/>
      <c r="D68" s="1242" t="s">
        <v>1678</v>
      </c>
    </row>
    <row r="69" spans="1:4" ht="10.5" customHeight="1" x14ac:dyDescent="0.2">
      <c r="A69" s="1219"/>
      <c r="C69" s="1241"/>
      <c r="D69" s="1234" t="s">
        <v>1814</v>
      </c>
    </row>
    <row r="70" spans="1:4" x14ac:dyDescent="0.2">
      <c r="A70" s="1219"/>
      <c r="D70" s="1243" t="s">
        <v>1268</v>
      </c>
    </row>
    <row r="71" spans="1:4" ht="3" customHeight="1" x14ac:dyDescent="0.2">
      <c r="A71" s="1219"/>
      <c r="D71" s="1218"/>
    </row>
    <row r="72" spans="1:4" x14ac:dyDescent="0.2">
      <c r="A72" s="1219"/>
      <c r="B72" s="1222"/>
      <c r="C72" s="1223">
        <f>C56+1</f>
        <v>18</v>
      </c>
      <c r="D72" s="1244" t="s">
        <v>1815</v>
      </c>
    </row>
    <row r="73" spans="1:4" ht="3" customHeight="1" x14ac:dyDescent="0.2">
      <c r="A73" s="1219"/>
      <c r="B73" s="1226"/>
      <c r="C73" s="1223"/>
      <c r="D73" s="1244"/>
    </row>
    <row r="74" spans="1:4" x14ac:dyDescent="0.2">
      <c r="A74" s="1219"/>
      <c r="B74" s="1222"/>
      <c r="C74" s="1223">
        <f>C72+1</f>
        <v>19</v>
      </c>
      <c r="D74" s="1234" t="s">
        <v>1267</v>
      </c>
    </row>
    <row r="75" spans="1:4" ht="3" customHeight="1" x14ac:dyDescent="0.2">
      <c r="A75" s="1219"/>
      <c r="B75" s="1226"/>
      <c r="C75" s="1223"/>
      <c r="D75" s="1234"/>
    </row>
    <row r="76" spans="1:4" x14ac:dyDescent="0.2">
      <c r="A76" s="1219"/>
      <c r="B76" s="1222"/>
      <c r="C76" s="1223">
        <f>C74+1</f>
        <v>20</v>
      </c>
      <c r="D76" s="1245" t="s">
        <v>1816</v>
      </c>
    </row>
    <row r="77" spans="1:4" ht="3" customHeight="1" x14ac:dyDescent="0.2">
      <c r="A77" s="1219"/>
      <c r="B77" s="1226"/>
      <c r="C77" s="1223"/>
      <c r="D77" s="1245"/>
    </row>
    <row r="78" spans="1:4" x14ac:dyDescent="0.2">
      <c r="A78" s="1219"/>
      <c r="B78" s="1222"/>
      <c r="C78" s="1223">
        <f>C76+1</f>
        <v>21</v>
      </c>
      <c r="D78" s="1218" t="s">
        <v>1817</v>
      </c>
    </row>
    <row r="79" spans="1:4" ht="3" customHeight="1" x14ac:dyDescent="0.2">
      <c r="A79" s="1219"/>
      <c r="B79" s="1226"/>
      <c r="C79" s="1223"/>
      <c r="D79" s="1218"/>
    </row>
    <row r="80" spans="1:4" x14ac:dyDescent="0.2">
      <c r="A80" s="1219"/>
      <c r="B80" s="1222"/>
      <c r="C80" s="1223">
        <f>C78+1</f>
        <v>22</v>
      </c>
      <c r="D80" s="1246" t="s">
        <v>1818</v>
      </c>
    </row>
    <row r="81" spans="1:4" ht="3" customHeight="1" x14ac:dyDescent="0.2">
      <c r="A81" s="1219"/>
      <c r="B81" s="1226"/>
      <c r="C81" s="1223"/>
      <c r="D81" s="1246"/>
    </row>
    <row r="82" spans="1:4" x14ac:dyDescent="0.2">
      <c r="A82" s="1219"/>
      <c r="B82" s="1222"/>
      <c r="C82" s="1223">
        <f>C80+1</f>
        <v>23</v>
      </c>
      <c r="D82" s="1245" t="s">
        <v>1819</v>
      </c>
    </row>
    <row r="83" spans="1:4" ht="10.5" customHeight="1" x14ac:dyDescent="0.2">
      <c r="A83" s="1219"/>
      <c r="B83" s="1228"/>
      <c r="D83" s="1234" t="s">
        <v>1266</v>
      </c>
    </row>
    <row r="84" spans="1:4" ht="3" customHeight="1" x14ac:dyDescent="0.2">
      <c r="A84" s="1219"/>
      <c r="B84" s="1228"/>
      <c r="D84" s="1234"/>
    </row>
    <row r="85" spans="1:4" x14ac:dyDescent="0.2">
      <c r="A85" s="1219"/>
      <c r="B85" s="1222"/>
      <c r="C85" s="1223">
        <f>C82+1</f>
        <v>24</v>
      </c>
      <c r="D85" s="1234" t="s">
        <v>1265</v>
      </c>
    </row>
    <row r="86" spans="1:4" ht="3" customHeight="1" x14ac:dyDescent="0.2">
      <c r="A86" s="1219"/>
      <c r="B86" s="1226"/>
      <c r="C86" s="1223"/>
      <c r="D86" s="1234"/>
    </row>
    <row r="87" spans="1:4" x14ac:dyDescent="0.2">
      <c r="A87" s="1219"/>
      <c r="B87" s="1222"/>
      <c r="C87" s="1223">
        <f>C85+1</f>
        <v>25</v>
      </c>
      <c r="D87" s="1234" t="s">
        <v>1264</v>
      </c>
    </row>
    <row r="88" spans="1:4" ht="3" customHeight="1" x14ac:dyDescent="0.2">
      <c r="A88" s="1219"/>
      <c r="B88" s="1226"/>
      <c r="C88" s="1223"/>
      <c r="D88" s="1234"/>
    </row>
    <row r="89" spans="1:4" x14ac:dyDescent="0.2">
      <c r="A89" s="1219"/>
      <c r="B89" s="1222"/>
      <c r="C89" s="1223">
        <f>C87+1</f>
        <v>26</v>
      </c>
      <c r="D89" s="1234" t="s">
        <v>1263</v>
      </c>
    </row>
    <row r="90" spans="1:4" ht="3" customHeight="1" x14ac:dyDescent="0.2">
      <c r="A90" s="1219"/>
      <c r="B90" s="1226"/>
      <c r="C90" s="1223"/>
      <c r="D90" s="1234"/>
    </row>
    <row r="91" spans="1:4" x14ac:dyDescent="0.2">
      <c r="A91" s="1219"/>
      <c r="B91" s="1222"/>
      <c r="C91" s="1223">
        <f>C89+1</f>
        <v>27</v>
      </c>
      <c r="D91" s="1234" t="s">
        <v>1820</v>
      </c>
    </row>
    <row r="92" spans="1:4" x14ac:dyDescent="0.2">
      <c r="A92" s="1219"/>
      <c r="B92" s="1247"/>
      <c r="C92" s="1241"/>
      <c r="D92" s="1234" t="s">
        <v>1262</v>
      </c>
    </row>
    <row r="93" spans="1:4" ht="4.5" customHeight="1" x14ac:dyDescent="0.2">
      <c r="A93" s="1219"/>
      <c r="D93" s="1218"/>
    </row>
    <row r="94" spans="1:4" x14ac:dyDescent="0.2">
      <c r="A94" s="1219"/>
      <c r="B94" s="1220" t="s">
        <v>1657</v>
      </c>
      <c r="C94" s="1221"/>
      <c r="D94" s="1218"/>
    </row>
    <row r="95" spans="1:4" ht="4.5" customHeight="1" x14ac:dyDescent="0.2">
      <c r="A95" s="1219"/>
      <c r="B95" s="1220"/>
      <c r="C95" s="1221"/>
      <c r="D95" s="1218"/>
    </row>
    <row r="96" spans="1:4" x14ac:dyDescent="0.2">
      <c r="A96" s="1219"/>
      <c r="B96" s="1222"/>
      <c r="C96" s="1223">
        <f>C91+1</f>
        <v>28</v>
      </c>
      <c r="D96" s="1234" t="s">
        <v>1821</v>
      </c>
    </row>
    <row r="97" spans="1:4" ht="3" customHeight="1" x14ac:dyDescent="0.2">
      <c r="A97" s="1219"/>
      <c r="B97" s="1226"/>
      <c r="C97" s="1223"/>
      <c r="D97" s="1234"/>
    </row>
    <row r="98" spans="1:4" x14ac:dyDescent="0.2">
      <c r="A98" s="1219"/>
      <c r="B98" s="1222"/>
      <c r="C98" s="1223">
        <f>C96+1</f>
        <v>29</v>
      </c>
      <c r="D98" s="1248" t="s">
        <v>1822</v>
      </c>
    </row>
    <row r="99" spans="1:4" ht="3" customHeight="1" x14ac:dyDescent="0.2">
      <c r="A99" s="1219"/>
      <c r="B99" s="1226"/>
      <c r="C99" s="1223"/>
      <c r="D99" s="1248"/>
    </row>
    <row r="100" spans="1:4" x14ac:dyDescent="0.2">
      <c r="A100" s="1219"/>
      <c r="B100" s="1222"/>
      <c r="C100" s="1223">
        <f>C98+1</f>
        <v>30</v>
      </c>
      <c r="D100" s="1234" t="s">
        <v>1823</v>
      </c>
    </row>
    <row r="101" spans="1:4" ht="3" customHeight="1" x14ac:dyDescent="0.2">
      <c r="A101" s="1219"/>
      <c r="B101" s="1226"/>
      <c r="C101" s="1223"/>
      <c r="D101" s="1249"/>
    </row>
    <row r="102" spans="1:4" x14ac:dyDescent="0.2">
      <c r="A102" s="1219"/>
      <c r="B102" s="1222"/>
      <c r="C102" s="1223">
        <f>C100+1</f>
        <v>31</v>
      </c>
      <c r="D102" s="1234" t="s">
        <v>1658</v>
      </c>
    </row>
    <row r="103" spans="1:4" ht="4.5" customHeight="1" x14ac:dyDescent="0.2">
      <c r="A103" s="1219"/>
      <c r="B103" s="312"/>
      <c r="C103" s="1223"/>
      <c r="D103" s="1234"/>
    </row>
    <row r="104" spans="1:4" ht="14.1" customHeight="1" x14ac:dyDescent="0.2">
      <c r="A104" s="1219"/>
      <c r="B104" s="1250" t="s">
        <v>1261</v>
      </c>
    </row>
    <row r="105" spans="1:4" ht="4.5" customHeight="1" x14ac:dyDescent="0.2">
      <c r="A105" s="1219"/>
      <c r="B105" s="1250"/>
    </row>
    <row r="106" spans="1:4" x14ac:dyDescent="0.2">
      <c r="A106" s="1219"/>
      <c r="B106" s="1222"/>
      <c r="C106" s="1223">
        <f>C102+1</f>
        <v>32</v>
      </c>
      <c r="D106" s="1218" t="s">
        <v>1659</v>
      </c>
    </row>
    <row r="107" spans="1:4" ht="3" customHeight="1" x14ac:dyDescent="0.2">
      <c r="A107" s="1219"/>
      <c r="B107" s="1226"/>
      <c r="C107" s="1223"/>
      <c r="D107" s="1218"/>
    </row>
    <row r="108" spans="1:4" x14ac:dyDescent="0.2">
      <c r="A108" s="1219"/>
      <c r="B108" s="1222"/>
      <c r="C108" s="1223">
        <v>33</v>
      </c>
      <c r="D108" s="1218" t="s">
        <v>1824</v>
      </c>
    </row>
    <row r="109" spans="1:4" ht="3" customHeight="1" x14ac:dyDescent="0.2">
      <c r="A109" s="1219"/>
      <c r="B109" s="1226"/>
      <c r="C109" s="1223"/>
      <c r="D109" s="1218"/>
    </row>
    <row r="110" spans="1:4" x14ac:dyDescent="0.2">
      <c r="A110" s="1219"/>
      <c r="B110" s="1222"/>
      <c r="C110" s="1223">
        <f>C108+1</f>
        <v>34</v>
      </c>
      <c r="D110" s="1218" t="s">
        <v>1260</v>
      </c>
    </row>
    <row r="111" spans="1:4" ht="3" customHeight="1" x14ac:dyDescent="0.2">
      <c r="A111" s="1219"/>
      <c r="B111" s="1226"/>
      <c r="C111" s="1223"/>
      <c r="D111" s="1218"/>
    </row>
    <row r="112" spans="1:4" x14ac:dyDescent="0.2">
      <c r="A112" s="1219"/>
      <c r="B112" s="1222"/>
      <c r="C112" s="1223">
        <f>C110+1</f>
        <v>35</v>
      </c>
      <c r="D112" s="1218" t="s">
        <v>1259</v>
      </c>
    </row>
    <row r="113" spans="1:4" ht="11.25" customHeight="1" x14ac:dyDescent="0.2">
      <c r="A113" s="1219"/>
      <c r="B113" s="1251"/>
      <c r="C113" s="1223"/>
      <c r="D113" s="1252" t="s">
        <v>1258</v>
      </c>
    </row>
    <row r="114" spans="1:4" ht="3" customHeight="1" x14ac:dyDescent="0.2">
      <c r="A114" s="1219"/>
      <c r="B114" s="1253"/>
      <c r="C114" s="1223"/>
      <c r="D114" s="1252"/>
    </row>
    <row r="115" spans="1:4" x14ac:dyDescent="0.2">
      <c r="A115" s="1219"/>
      <c r="B115" s="1222"/>
      <c r="C115" s="1223">
        <f>C112+1</f>
        <v>36</v>
      </c>
      <c r="D115" s="1234" t="s">
        <v>1257</v>
      </c>
    </row>
    <row r="116" spans="1:4" ht="3" customHeight="1" x14ac:dyDescent="0.2">
      <c r="A116" s="1219"/>
      <c r="B116" s="1226"/>
      <c r="C116" s="1223"/>
      <c r="D116" s="1234"/>
    </row>
    <row r="117" spans="1:4" x14ac:dyDescent="0.2">
      <c r="A117" s="1219"/>
      <c r="B117" s="1222"/>
      <c r="C117" s="1223">
        <f>C115+1</f>
        <v>37</v>
      </c>
      <c r="D117" s="1234" t="s">
        <v>1825</v>
      </c>
    </row>
    <row r="118" spans="1:4" ht="3" customHeight="1" x14ac:dyDescent="0.2">
      <c r="A118" s="1219"/>
      <c r="B118" s="1226"/>
      <c r="C118" s="1223"/>
      <c r="D118" s="1234"/>
    </row>
    <row r="119" spans="1:4" x14ac:dyDescent="0.2">
      <c r="A119" s="1219"/>
      <c r="B119" s="1222"/>
      <c r="C119" s="1223">
        <f>C117+1</f>
        <v>38</v>
      </c>
      <c r="D119" s="1234" t="s">
        <v>1826</v>
      </c>
    </row>
    <row r="120" spans="1:4" ht="10.5" customHeight="1" x14ac:dyDescent="0.2">
      <c r="A120" s="1219"/>
      <c r="B120" s="1247"/>
      <c r="C120" s="1223"/>
      <c r="D120" s="1234" t="s">
        <v>1256</v>
      </c>
    </row>
    <row r="121" spans="1:4" ht="10.5" customHeight="1" x14ac:dyDescent="0.2">
      <c r="A121" s="1219"/>
      <c r="B121" s="1247"/>
      <c r="C121" s="1223"/>
      <c r="D121" s="1234" t="s">
        <v>1255</v>
      </c>
    </row>
    <row r="122" spans="1:4" ht="3" customHeight="1" x14ac:dyDescent="0.2">
      <c r="A122" s="1219"/>
      <c r="B122" s="1247"/>
      <c r="C122" s="1223"/>
      <c r="D122" s="1234"/>
    </row>
    <row r="123" spans="1:4" x14ac:dyDescent="0.2">
      <c r="A123" s="1219"/>
      <c r="B123" s="1222"/>
      <c r="C123" s="1223">
        <f>C119+1</f>
        <v>39</v>
      </c>
      <c r="D123" s="1244" t="s">
        <v>1942</v>
      </c>
    </row>
    <row r="124" spans="1:4" x14ac:dyDescent="0.2">
      <c r="A124" s="1219"/>
      <c r="B124" s="312"/>
      <c r="C124" s="1223"/>
      <c r="D124" s="1234" t="s">
        <v>1254</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546" t="str">
        <f>'Single Audit Cover'!A7</f>
        <v>Pekin PSD 108</v>
      </c>
      <c r="B1" s="2546"/>
      <c r="C1" s="2546"/>
      <c r="D1" s="2546"/>
      <c r="E1" s="2546"/>
    </row>
    <row r="2" spans="1:5" x14ac:dyDescent="0.2">
      <c r="A2" s="2547">
        <f>'Single Audit Cover'!E7</f>
        <v>53090108002</v>
      </c>
      <c r="B2" s="2547"/>
      <c r="C2" s="2547"/>
      <c r="D2" s="2547"/>
      <c r="E2" s="2547"/>
    </row>
    <row r="3" spans="1:5" ht="4.5" customHeight="1" x14ac:dyDescent="0.2"/>
    <row r="4" spans="1:5" x14ac:dyDescent="0.2">
      <c r="A4" s="2546" t="s">
        <v>1307</v>
      </c>
      <c r="B4" s="2546"/>
      <c r="C4" s="2546"/>
      <c r="D4" s="2546"/>
      <c r="E4" s="2546"/>
    </row>
    <row r="5" spans="1:5" x14ac:dyDescent="0.2">
      <c r="A5" s="2549" t="str">
        <f>'Single Audit Cover'!A4</f>
        <v>Year Ending June 30, 2018</v>
      </c>
      <c r="B5" s="2549"/>
      <c r="C5" s="2549"/>
      <c r="D5" s="2549"/>
      <c r="E5" s="2549"/>
    </row>
    <row r="6" spans="1:5" x14ac:dyDescent="0.2">
      <c r="A6" s="2546" t="s">
        <v>1306</v>
      </c>
      <c r="B6" s="2546"/>
      <c r="C6" s="2546"/>
      <c r="D6" s="2546"/>
      <c r="E6" s="2546"/>
    </row>
    <row r="8" spans="1:5" x14ac:dyDescent="0.2">
      <c r="A8" s="1257" t="s">
        <v>1305</v>
      </c>
    </row>
    <row r="10" spans="1:5" x14ac:dyDescent="0.2">
      <c r="A10" s="1258" t="s">
        <v>1304</v>
      </c>
      <c r="B10" s="1259" t="s">
        <v>1303</v>
      </c>
      <c r="C10" s="1259"/>
      <c r="D10" s="1260">
        <f>SUM('Acct Summary 7-8'!C7:K7)</f>
        <v>3910242</v>
      </c>
    </row>
    <row r="11" spans="1:5" ht="18" customHeight="1" x14ac:dyDescent="0.2">
      <c r="A11" s="1258" t="s">
        <v>1302</v>
      </c>
      <c r="B11" s="1259"/>
      <c r="C11" s="1259"/>
    </row>
    <row r="12" spans="1:5" x14ac:dyDescent="0.2">
      <c r="A12" s="1258" t="s">
        <v>1301</v>
      </c>
      <c r="B12" s="1259" t="s">
        <v>1300</v>
      </c>
      <c r="C12" s="1259"/>
      <c r="D12" s="1261">
        <f>SUM('Revenues 9-14'!C112:D112,'Revenues 9-14'!F112:G112)</f>
        <v>0</v>
      </c>
    </row>
    <row r="13" spans="1:5" x14ac:dyDescent="0.2">
      <c r="A13" s="1258" t="s">
        <v>1299</v>
      </c>
      <c r="B13" s="1259"/>
      <c r="C13" s="1259"/>
    </row>
    <row r="14" spans="1:5" x14ac:dyDescent="0.2">
      <c r="A14" s="1258" t="s">
        <v>1828</v>
      </c>
      <c r="B14" s="1259"/>
      <c r="C14" s="1259"/>
      <c r="D14" s="1261">
        <f>'ICR Computation 30'!E11</f>
        <v>128748</v>
      </c>
    </row>
    <row r="15" spans="1:5" x14ac:dyDescent="0.2">
      <c r="A15" s="1258"/>
      <c r="B15" s="1259"/>
      <c r="C15" s="1259"/>
    </row>
    <row r="16" spans="1:5" x14ac:dyDescent="0.2">
      <c r="A16" s="1258" t="s">
        <v>1950</v>
      </c>
      <c r="B16" s="1259"/>
      <c r="C16" s="1259"/>
    </row>
    <row r="17" spans="1:4" x14ac:dyDescent="0.2">
      <c r="A17" s="1258" t="s">
        <v>1601</v>
      </c>
      <c r="B17" s="1259" t="s">
        <v>1298</v>
      </c>
      <c r="C17" s="1259"/>
      <c r="D17" s="1261">
        <f>-SUM('Revenues 9-14'!C271:D271,'Revenues 9-14'!F271:G271)</f>
        <v>-365900</v>
      </c>
    </row>
    <row r="19" spans="1:4" ht="13.5" thickBot="1" x14ac:dyDescent="0.25">
      <c r="A19" s="1262" t="s">
        <v>1297</v>
      </c>
      <c r="D19" s="1263">
        <f>SUM(D10:D17)</f>
        <v>3673090</v>
      </c>
    </row>
    <row r="20" spans="1:4" ht="21.75" customHeight="1" thickTop="1" x14ac:dyDescent="0.2"/>
    <row r="21" spans="1:4" x14ac:dyDescent="0.2">
      <c r="A21" s="1257" t="s">
        <v>1296</v>
      </c>
    </row>
    <row r="22" spans="1:4" ht="8.25" customHeight="1" x14ac:dyDescent="0.2"/>
    <row r="23" spans="1:4" x14ac:dyDescent="0.2">
      <c r="A23" s="1264" t="s">
        <v>1290</v>
      </c>
    </row>
    <row r="24" spans="1:4" x14ac:dyDescent="0.2">
      <c r="A24" s="2548" t="s">
        <v>2100</v>
      </c>
      <c r="B24" s="2548"/>
      <c r="D24" s="1265">
        <v>-128748</v>
      </c>
    </row>
    <row r="25" spans="1:4" x14ac:dyDescent="0.2">
      <c r="A25" s="2545" t="s">
        <v>2101</v>
      </c>
      <c r="B25" s="2545"/>
      <c r="D25" s="1265">
        <v>-80824</v>
      </c>
    </row>
    <row r="26" spans="1:4" x14ac:dyDescent="0.2">
      <c r="A26" s="2545"/>
      <c r="B26" s="2545"/>
      <c r="D26" s="1265"/>
    </row>
    <row r="27" spans="1:4" x14ac:dyDescent="0.2">
      <c r="A27" s="2545"/>
      <c r="B27" s="2545"/>
      <c r="D27" s="1265"/>
    </row>
    <row r="28" spans="1:4" x14ac:dyDescent="0.2">
      <c r="A28" s="2545"/>
      <c r="B28" s="2545"/>
      <c r="D28" s="1265"/>
    </row>
    <row r="29" spans="1:4" x14ac:dyDescent="0.2">
      <c r="A29" s="2545"/>
      <c r="B29" s="2545"/>
      <c r="D29" s="1265"/>
    </row>
    <row r="30" spans="1:4" x14ac:dyDescent="0.2">
      <c r="A30" s="2545"/>
      <c r="B30" s="2545"/>
      <c r="D30" s="1265"/>
    </row>
    <row r="32" spans="1:4" x14ac:dyDescent="0.2">
      <c r="A32" s="1257" t="s">
        <v>1295</v>
      </c>
      <c r="D32" s="1260">
        <f>SUM(D19:D30)</f>
        <v>3463518</v>
      </c>
    </row>
    <row r="33" spans="1:4" x14ac:dyDescent="0.2">
      <c r="D33" s="1266"/>
    </row>
    <row r="34" spans="1:4" x14ac:dyDescent="0.2">
      <c r="A34" s="317" t="s">
        <v>1294</v>
      </c>
    </row>
    <row r="35" spans="1:4" x14ac:dyDescent="0.2">
      <c r="A35" s="317" t="s">
        <v>1293</v>
      </c>
      <c r="B35" s="1255" t="s">
        <v>1292</v>
      </c>
      <c r="D35" s="1267">
        <v>3463518</v>
      </c>
    </row>
    <row r="37" spans="1:4" x14ac:dyDescent="0.2">
      <c r="A37" s="1257" t="s">
        <v>1291</v>
      </c>
    </row>
    <row r="39" spans="1:4" ht="13.35" customHeight="1" x14ac:dyDescent="0.2">
      <c r="A39" s="1264" t="s">
        <v>1290</v>
      </c>
    </row>
    <row r="40" spans="1:4" x14ac:dyDescent="0.2">
      <c r="A40" s="2545"/>
      <c r="B40" s="2545"/>
      <c r="D40" s="1265"/>
    </row>
    <row r="41" spans="1:4" x14ac:dyDescent="0.2">
      <c r="A41" s="2545"/>
      <c r="B41" s="2545"/>
      <c r="D41" s="1268"/>
    </row>
    <row r="42" spans="1:4" x14ac:dyDescent="0.2">
      <c r="A42" s="2545"/>
      <c r="B42" s="2545"/>
      <c r="D42" s="1268"/>
    </row>
    <row r="43" spans="1:4" x14ac:dyDescent="0.2">
      <c r="A43" s="2545"/>
      <c r="B43" s="2545"/>
      <c r="D43" s="1268"/>
    </row>
    <row r="44" spans="1:4" x14ac:dyDescent="0.2">
      <c r="A44" s="2545"/>
      <c r="B44" s="2545"/>
      <c r="D44" s="1268"/>
    </row>
    <row r="45" spans="1:4" x14ac:dyDescent="0.2">
      <c r="A45" s="2545"/>
      <c r="B45" s="2545"/>
      <c r="D45" s="1268"/>
    </row>
    <row r="47" spans="1:4" x14ac:dyDescent="0.2">
      <c r="B47" s="1269" t="s">
        <v>1289</v>
      </c>
      <c r="C47" s="1269"/>
      <c r="D47" s="1270">
        <f>SUM(D35:D45)</f>
        <v>3463518</v>
      </c>
    </row>
    <row r="49" spans="2:4" x14ac:dyDescent="0.2">
      <c r="B49" s="1269" t="s">
        <v>1288</v>
      </c>
      <c r="C49" s="1269"/>
      <c r="D49" s="1270">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529" t="str">
        <f>'Single Audit Cover'!A7</f>
        <v>Pekin PSD 108</v>
      </c>
      <c r="C1" s="2550"/>
      <c r="D1" s="2550"/>
      <c r="E1" s="2550"/>
      <c r="F1" s="2550"/>
      <c r="G1" s="2550"/>
      <c r="H1" s="2550"/>
      <c r="I1" s="2550"/>
      <c r="J1" s="2550"/>
      <c r="K1" s="2550"/>
      <c r="L1" s="2550"/>
      <c r="M1" s="2550"/>
    </row>
    <row r="2" spans="2:14" ht="15" x14ac:dyDescent="0.2">
      <c r="B2" s="2551">
        <f>'Single Audit Cover'!E7</f>
        <v>53090108002</v>
      </c>
      <c r="C2" s="2551"/>
      <c r="D2" s="2551"/>
      <c r="E2" s="2551"/>
      <c r="F2" s="2551"/>
      <c r="G2" s="2551"/>
      <c r="H2" s="2551"/>
      <c r="I2" s="2551"/>
      <c r="J2" s="2551"/>
      <c r="K2" s="2551"/>
      <c r="L2" s="2551"/>
      <c r="M2" s="2551"/>
      <c r="N2" s="1299"/>
    </row>
    <row r="3" spans="2:14" ht="15" x14ac:dyDescent="0.2">
      <c r="B3" s="2552" t="s">
        <v>1281</v>
      </c>
      <c r="C3" s="2552"/>
      <c r="D3" s="2552"/>
      <c r="E3" s="2552"/>
      <c r="F3" s="2552"/>
      <c r="G3" s="2552"/>
      <c r="H3" s="2552"/>
      <c r="I3" s="2552"/>
      <c r="J3" s="2552"/>
      <c r="K3" s="2552"/>
      <c r="L3" s="2552"/>
      <c r="M3" s="2552"/>
      <c r="N3" s="1299"/>
    </row>
    <row r="4" spans="2:14" ht="15" x14ac:dyDescent="0.2">
      <c r="B4" s="2553" t="str">
        <f>'Single Audit Cover'!A4</f>
        <v>Year Ending June 30, 2018</v>
      </c>
      <c r="C4" s="2553"/>
      <c r="D4" s="2553"/>
      <c r="E4" s="2553"/>
      <c r="F4" s="2553"/>
      <c r="G4" s="2553"/>
      <c r="H4" s="2553"/>
      <c r="I4" s="2553"/>
      <c r="J4" s="2553"/>
      <c r="K4" s="2553"/>
      <c r="L4" s="2553"/>
      <c r="M4" s="2553"/>
      <c r="N4" s="1299"/>
    </row>
    <row r="6" spans="2:14" x14ac:dyDescent="0.2">
      <c r="B6" s="1300"/>
      <c r="C6" s="1301"/>
      <c r="D6" s="1302" t="s">
        <v>1327</v>
      </c>
      <c r="E6" s="1303" t="s">
        <v>548</v>
      </c>
      <c r="F6" s="1304"/>
      <c r="G6" s="1305" t="s">
        <v>1832</v>
      </c>
      <c r="H6" s="1303"/>
      <c r="I6" s="1303"/>
      <c r="J6" s="1303"/>
      <c r="K6" s="1306"/>
      <c r="L6" s="1307"/>
      <c r="M6" s="1308"/>
    </row>
    <row r="7" spans="2:14" x14ac:dyDescent="0.2">
      <c r="B7" s="1309" t="s">
        <v>1660</v>
      </c>
      <c r="C7" s="1310"/>
      <c r="D7" s="1311"/>
      <c r="E7" s="1312"/>
      <c r="F7" s="1313"/>
      <c r="G7" s="1312"/>
      <c r="H7" s="1314" t="s">
        <v>1324</v>
      </c>
      <c r="I7" s="1312"/>
      <c r="J7" s="1315" t="s">
        <v>1324</v>
      </c>
      <c r="K7" s="1316"/>
      <c r="L7" s="1317" t="s">
        <v>1322</v>
      </c>
      <c r="M7" s="1318"/>
    </row>
    <row r="8" spans="2:14" x14ac:dyDescent="0.2">
      <c r="B8" s="1684"/>
      <c r="C8" s="1310" t="s">
        <v>1326</v>
      </c>
      <c r="D8" s="1311" t="s">
        <v>1325</v>
      </c>
      <c r="E8" s="1319" t="s">
        <v>1324</v>
      </c>
      <c r="F8" s="1320" t="s">
        <v>1324</v>
      </c>
      <c r="G8" s="1321" t="s">
        <v>1324</v>
      </c>
      <c r="H8" s="1314" t="s">
        <v>1661</v>
      </c>
      <c r="I8" s="1316" t="s">
        <v>1324</v>
      </c>
      <c r="J8" s="1315" t="s">
        <v>1944</v>
      </c>
      <c r="K8" s="1316" t="s">
        <v>1323</v>
      </c>
      <c r="L8" s="1317" t="s">
        <v>1319</v>
      </c>
      <c r="M8" s="1318" t="s">
        <v>30</v>
      </c>
    </row>
    <row r="9" spans="2:14" ht="14.25" x14ac:dyDescent="0.2">
      <c r="B9" s="1322" t="s">
        <v>1321</v>
      </c>
      <c r="C9" s="1310" t="s">
        <v>1833</v>
      </c>
      <c r="D9" s="1311" t="s">
        <v>1834</v>
      </c>
      <c r="E9" s="1319" t="s">
        <v>1661</v>
      </c>
      <c r="F9" s="1320" t="s">
        <v>1944</v>
      </c>
      <c r="G9" s="1321" t="s">
        <v>1661</v>
      </c>
      <c r="H9" s="1314" t="s">
        <v>1662</v>
      </c>
      <c r="I9" s="1316" t="s">
        <v>1944</v>
      </c>
      <c r="J9" s="1315" t="s">
        <v>1662</v>
      </c>
      <c r="K9" s="1316" t="s">
        <v>1320</v>
      </c>
      <c r="L9" s="1323" t="s">
        <v>1663</v>
      </c>
      <c r="M9" s="1318"/>
    </row>
    <row r="10" spans="2:14" ht="11.85" customHeight="1" x14ac:dyDescent="0.2">
      <c r="B10" s="1322" t="s">
        <v>1318</v>
      </c>
      <c r="C10" s="1324" t="s">
        <v>1317</v>
      </c>
      <c r="D10" s="1325" t="s">
        <v>1316</v>
      </c>
      <c r="E10" s="1326" t="s">
        <v>1315</v>
      </c>
      <c r="F10" s="1327" t="s">
        <v>1314</v>
      </c>
      <c r="G10" s="1328" t="s">
        <v>1313</v>
      </c>
      <c r="H10" s="1329" t="s">
        <v>1328</v>
      </c>
      <c r="I10" s="1330" t="s">
        <v>1312</v>
      </c>
      <c r="J10" s="1331" t="s">
        <v>1328</v>
      </c>
      <c r="K10" s="1332" t="s">
        <v>1311</v>
      </c>
      <c r="L10" s="1332" t="s">
        <v>1310</v>
      </c>
      <c r="M10" s="1333" t="s">
        <v>1309</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t="s">
        <v>2079</v>
      </c>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1231</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1835</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1945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1308</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1836</v>
      </c>
      <c r="C37" s="1362"/>
      <c r="D37" s="1362"/>
      <c r="E37" s="1362"/>
      <c r="F37" s="1362"/>
      <c r="G37" s="1362"/>
      <c r="H37" s="1362"/>
      <c r="I37" s="1363"/>
      <c r="J37" s="1363"/>
      <c r="K37" s="1363"/>
      <c r="L37" s="1363"/>
      <c r="M37" s="1363"/>
    </row>
    <row r="38" spans="2:13" ht="11.25" customHeight="1" x14ac:dyDescent="0.2">
      <c r="B38" s="1364" t="s">
        <v>1664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1837</v>
      </c>
      <c r="C40" s="1363"/>
      <c r="D40" s="1363"/>
      <c r="E40" s="1363"/>
      <c r="F40" s="1363"/>
      <c r="G40" s="1363"/>
      <c r="H40" s="1363"/>
      <c r="I40" s="1363"/>
      <c r="J40" s="1363"/>
      <c r="K40" s="1363"/>
      <c r="L40" s="1363"/>
      <c r="M40" s="1363"/>
    </row>
    <row r="41" spans="2:13" ht="11.25" customHeight="1" x14ac:dyDescent="0.2">
      <c r="B41" s="1297" t="s">
        <v>1665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1838</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1839</v>
      </c>
      <c r="C45" s="1365"/>
      <c r="D45" s="1366"/>
      <c r="E45" s="1297"/>
      <c r="F45" s="1297"/>
      <c r="G45" s="1297"/>
      <c r="H45" s="1297"/>
      <c r="I45" s="1297"/>
      <c r="J45" s="1297"/>
      <c r="K45" s="1367"/>
      <c r="L45" s="1367"/>
      <c r="M45" s="1297"/>
    </row>
    <row r="46" spans="2:13" ht="11.25" customHeight="1" x14ac:dyDescent="0.2">
      <c r="B46" s="1297" t="s">
        <v>1666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03"/>
  <sheetViews>
    <sheetView showGridLines="0" topLeftCell="A3" zoomScaleNormal="100" zoomScaleSheetLayoutView="85" workbookViewId="0">
      <pane xSplit="6" ySplit="13" topLeftCell="G16" activePane="bottomRight" state="frozen"/>
      <selection activeCell="A3" sqref="A3"/>
      <selection pane="topRight" activeCell="G3" sqref="G3"/>
      <selection pane="bottomLeft" activeCell="A16" sqref="A16"/>
      <selection pane="bottomRight" activeCell="G16" sqref="G16"/>
    </sheetView>
  </sheetViews>
  <sheetFormatPr defaultColWidth="16.5703125" defaultRowHeight="15" x14ac:dyDescent="0.2"/>
  <cols>
    <col min="1" max="1" width="6.42578125" style="1981" customWidth="1"/>
    <col min="2" max="2" width="48.7109375" style="1963" customWidth="1"/>
    <col min="3" max="3" width="9.7109375" style="1963" customWidth="1"/>
    <col min="4" max="4" width="1.7109375" style="1963" customWidth="1"/>
    <col min="5" max="5" width="10.85546875" style="1963" customWidth="1"/>
    <col min="6" max="6" width="5.140625" style="2022" customWidth="1"/>
    <col min="7" max="7" width="12.42578125" style="1963" customWidth="1"/>
    <col min="8" max="8" width="2.85546875" style="1963" customWidth="1"/>
    <col min="9" max="9" width="13" style="1960" customWidth="1"/>
    <col min="10" max="10" width="3.85546875" style="2022" customWidth="1"/>
    <col min="11" max="11" width="13.7109375" style="1963" bestFit="1" customWidth="1"/>
    <col min="12" max="12" width="1.7109375" style="1963" customWidth="1"/>
    <col min="13" max="13" width="13.140625" style="1963" customWidth="1"/>
    <col min="14" max="14" width="1.7109375" style="1963" customWidth="1"/>
    <col min="15" max="15" width="10.85546875" style="1963" customWidth="1"/>
    <col min="16" max="16" width="4.5703125" style="2022" bestFit="1" customWidth="1"/>
    <col min="17" max="17" width="13.140625" style="1963" bestFit="1" customWidth="1"/>
    <col min="18" max="18" width="2.85546875" style="1963" customWidth="1"/>
    <col min="19" max="19" width="12.42578125" style="1963" bestFit="1" customWidth="1"/>
    <col min="20" max="247" width="16.5703125" style="1963"/>
    <col min="248" max="248" width="6.42578125" style="1963" customWidth="1"/>
    <col min="249" max="249" width="48.7109375" style="1963" customWidth="1"/>
    <col min="250" max="250" width="9.7109375" style="1963" customWidth="1"/>
    <col min="251" max="251" width="1.7109375" style="1963" customWidth="1"/>
    <col min="252" max="252" width="10.85546875" style="1963" customWidth="1"/>
    <col min="253" max="253" width="5.140625" style="1963" customWidth="1"/>
    <col min="254" max="254" width="12.42578125" style="1963" customWidth="1"/>
    <col min="255" max="255" width="2.85546875" style="1963" customWidth="1"/>
    <col min="256" max="256" width="13" style="1963" customWidth="1"/>
    <col min="257" max="257" width="3.85546875" style="1963" customWidth="1"/>
    <col min="258" max="258" width="13.7109375" style="1963" bestFit="1" customWidth="1"/>
    <col min="259" max="259" width="1.7109375" style="1963" customWidth="1"/>
    <col min="260" max="260" width="13.140625" style="1963" customWidth="1"/>
    <col min="261" max="261" width="1.7109375" style="1963" customWidth="1"/>
    <col min="262" max="262" width="10.85546875" style="1963" customWidth="1"/>
    <col min="263" max="263" width="4.5703125" style="1963" bestFit="1" customWidth="1"/>
    <col min="264" max="264" width="13.140625" style="1963" bestFit="1" customWidth="1"/>
    <col min="265" max="265" width="2.85546875" style="1963" customWidth="1"/>
    <col min="266" max="266" width="12.42578125" style="1963" bestFit="1" customWidth="1"/>
    <col min="267" max="272" width="16.5703125" style="1963"/>
    <col min="273" max="273" width="6.42578125" style="1963" customWidth="1"/>
    <col min="274" max="503" width="16.5703125" style="1963"/>
    <col min="504" max="504" width="6.42578125" style="1963" customWidth="1"/>
    <col min="505" max="505" width="48.7109375" style="1963" customWidth="1"/>
    <col min="506" max="506" width="9.7109375" style="1963" customWidth="1"/>
    <col min="507" max="507" width="1.7109375" style="1963" customWidth="1"/>
    <col min="508" max="508" width="10.85546875" style="1963" customWidth="1"/>
    <col min="509" max="509" width="5.140625" style="1963" customWidth="1"/>
    <col min="510" max="510" width="12.42578125" style="1963" customWidth="1"/>
    <col min="511" max="511" width="2.85546875" style="1963" customWidth="1"/>
    <col min="512" max="512" width="13" style="1963" customWidth="1"/>
    <col min="513" max="513" width="3.85546875" style="1963" customWidth="1"/>
    <col min="514" max="514" width="13.7109375" style="1963" bestFit="1" customWidth="1"/>
    <col min="515" max="515" width="1.7109375" style="1963" customWidth="1"/>
    <col min="516" max="516" width="13.140625" style="1963" customWidth="1"/>
    <col min="517" max="517" width="1.7109375" style="1963" customWidth="1"/>
    <col min="518" max="518" width="10.85546875" style="1963" customWidth="1"/>
    <col min="519" max="519" width="4.5703125" style="1963" bestFit="1" customWidth="1"/>
    <col min="520" max="520" width="13.140625" style="1963" bestFit="1" customWidth="1"/>
    <col min="521" max="521" width="2.85546875" style="1963" customWidth="1"/>
    <col min="522" max="522" width="12.42578125" style="1963" bestFit="1" customWidth="1"/>
    <col min="523" max="528" width="16.5703125" style="1963"/>
    <col min="529" max="529" width="6.42578125" style="1963" customWidth="1"/>
    <col min="530" max="759" width="16.5703125" style="1963"/>
    <col min="760" max="760" width="6.42578125" style="1963" customWidth="1"/>
    <col min="761" max="761" width="48.7109375" style="1963" customWidth="1"/>
    <col min="762" max="762" width="9.7109375" style="1963" customWidth="1"/>
    <col min="763" max="763" width="1.7109375" style="1963" customWidth="1"/>
    <col min="764" max="764" width="10.85546875" style="1963" customWidth="1"/>
    <col min="765" max="765" width="5.140625" style="1963" customWidth="1"/>
    <col min="766" max="766" width="12.42578125" style="1963" customWidth="1"/>
    <col min="767" max="767" width="2.85546875" style="1963" customWidth="1"/>
    <col min="768" max="768" width="13" style="1963" customWidth="1"/>
    <col min="769" max="769" width="3.85546875" style="1963" customWidth="1"/>
    <col min="770" max="770" width="13.7109375" style="1963" bestFit="1" customWidth="1"/>
    <col min="771" max="771" width="1.7109375" style="1963" customWidth="1"/>
    <col min="772" max="772" width="13.140625" style="1963" customWidth="1"/>
    <col min="773" max="773" width="1.7109375" style="1963" customWidth="1"/>
    <col min="774" max="774" width="10.85546875" style="1963" customWidth="1"/>
    <col min="775" max="775" width="4.5703125" style="1963" bestFit="1" customWidth="1"/>
    <col min="776" max="776" width="13.140625" style="1963" bestFit="1" customWidth="1"/>
    <col min="777" max="777" width="2.85546875" style="1963" customWidth="1"/>
    <col min="778" max="778" width="12.42578125" style="1963" bestFit="1" customWidth="1"/>
    <col min="779" max="784" width="16.5703125" style="1963"/>
    <col min="785" max="785" width="6.42578125" style="1963" customWidth="1"/>
    <col min="786" max="1015" width="16.5703125" style="1963"/>
    <col min="1016" max="1016" width="6.42578125" style="1963" customWidth="1"/>
    <col min="1017" max="1017" width="48.7109375" style="1963" customWidth="1"/>
    <col min="1018" max="1018" width="9.7109375" style="1963" customWidth="1"/>
    <col min="1019" max="1019" width="1.7109375" style="1963" customWidth="1"/>
    <col min="1020" max="1020" width="10.85546875" style="1963" customWidth="1"/>
    <col min="1021" max="1021" width="5.140625" style="1963" customWidth="1"/>
    <col min="1022" max="1022" width="12.42578125" style="1963" customWidth="1"/>
    <col min="1023" max="1023" width="2.85546875" style="1963" customWidth="1"/>
    <col min="1024" max="1024" width="13" style="1963" customWidth="1"/>
    <col min="1025" max="1025" width="3.85546875" style="1963" customWidth="1"/>
    <col min="1026" max="1026" width="13.7109375" style="1963" bestFit="1" customWidth="1"/>
    <col min="1027" max="1027" width="1.7109375" style="1963" customWidth="1"/>
    <col min="1028" max="1028" width="13.140625" style="1963" customWidth="1"/>
    <col min="1029" max="1029" width="1.7109375" style="1963" customWidth="1"/>
    <col min="1030" max="1030" width="10.85546875" style="1963" customWidth="1"/>
    <col min="1031" max="1031" width="4.5703125" style="1963" bestFit="1" customWidth="1"/>
    <col min="1032" max="1032" width="13.140625" style="1963" bestFit="1" customWidth="1"/>
    <col min="1033" max="1033" width="2.85546875" style="1963" customWidth="1"/>
    <col min="1034" max="1034" width="12.42578125" style="1963" bestFit="1" customWidth="1"/>
    <col min="1035" max="1040" width="16.5703125" style="1963"/>
    <col min="1041" max="1041" width="6.42578125" style="1963" customWidth="1"/>
    <col min="1042" max="1271" width="16.5703125" style="1963"/>
    <col min="1272" max="1272" width="6.42578125" style="1963" customWidth="1"/>
    <col min="1273" max="1273" width="48.7109375" style="1963" customWidth="1"/>
    <col min="1274" max="1274" width="9.7109375" style="1963" customWidth="1"/>
    <col min="1275" max="1275" width="1.7109375" style="1963" customWidth="1"/>
    <col min="1276" max="1276" width="10.85546875" style="1963" customWidth="1"/>
    <col min="1277" max="1277" width="5.140625" style="1963" customWidth="1"/>
    <col min="1278" max="1278" width="12.42578125" style="1963" customWidth="1"/>
    <col min="1279" max="1279" width="2.85546875" style="1963" customWidth="1"/>
    <col min="1280" max="1280" width="13" style="1963" customWidth="1"/>
    <col min="1281" max="1281" width="3.85546875" style="1963" customWidth="1"/>
    <col min="1282" max="1282" width="13.7109375" style="1963" bestFit="1" customWidth="1"/>
    <col min="1283" max="1283" width="1.7109375" style="1963" customWidth="1"/>
    <col min="1284" max="1284" width="13.140625" style="1963" customWidth="1"/>
    <col min="1285" max="1285" width="1.7109375" style="1963" customWidth="1"/>
    <col min="1286" max="1286" width="10.85546875" style="1963" customWidth="1"/>
    <col min="1287" max="1287" width="4.5703125" style="1963" bestFit="1" customWidth="1"/>
    <col min="1288" max="1288" width="13.140625" style="1963" bestFit="1" customWidth="1"/>
    <col min="1289" max="1289" width="2.85546875" style="1963" customWidth="1"/>
    <col min="1290" max="1290" width="12.42578125" style="1963" bestFit="1" customWidth="1"/>
    <col min="1291" max="1296" width="16.5703125" style="1963"/>
    <col min="1297" max="1297" width="6.42578125" style="1963" customWidth="1"/>
    <col min="1298" max="1527" width="16.5703125" style="1963"/>
    <col min="1528" max="1528" width="6.42578125" style="1963" customWidth="1"/>
    <col min="1529" max="1529" width="48.7109375" style="1963" customWidth="1"/>
    <col min="1530" max="1530" width="9.7109375" style="1963" customWidth="1"/>
    <col min="1531" max="1531" width="1.7109375" style="1963" customWidth="1"/>
    <col min="1532" max="1532" width="10.85546875" style="1963" customWidth="1"/>
    <col min="1533" max="1533" width="5.140625" style="1963" customWidth="1"/>
    <col min="1534" max="1534" width="12.42578125" style="1963" customWidth="1"/>
    <col min="1535" max="1535" width="2.85546875" style="1963" customWidth="1"/>
    <col min="1536" max="1536" width="13" style="1963" customWidth="1"/>
    <col min="1537" max="1537" width="3.85546875" style="1963" customWidth="1"/>
    <col min="1538" max="1538" width="13.7109375" style="1963" bestFit="1" customWidth="1"/>
    <col min="1539" max="1539" width="1.7109375" style="1963" customWidth="1"/>
    <col min="1540" max="1540" width="13.140625" style="1963" customWidth="1"/>
    <col min="1541" max="1541" width="1.7109375" style="1963" customWidth="1"/>
    <col min="1542" max="1542" width="10.85546875" style="1963" customWidth="1"/>
    <col min="1543" max="1543" width="4.5703125" style="1963" bestFit="1" customWidth="1"/>
    <col min="1544" max="1544" width="13.140625" style="1963" bestFit="1" customWidth="1"/>
    <col min="1545" max="1545" width="2.85546875" style="1963" customWidth="1"/>
    <col min="1546" max="1546" width="12.42578125" style="1963" bestFit="1" customWidth="1"/>
    <col min="1547" max="1552" width="16.5703125" style="1963"/>
    <col min="1553" max="1553" width="6.42578125" style="1963" customWidth="1"/>
    <col min="1554" max="1783" width="16.5703125" style="1963"/>
    <col min="1784" max="1784" width="6.42578125" style="1963" customWidth="1"/>
    <col min="1785" max="1785" width="48.7109375" style="1963" customWidth="1"/>
    <col min="1786" max="1786" width="9.7109375" style="1963" customWidth="1"/>
    <col min="1787" max="1787" width="1.7109375" style="1963" customWidth="1"/>
    <col min="1788" max="1788" width="10.85546875" style="1963" customWidth="1"/>
    <col min="1789" max="1789" width="5.140625" style="1963" customWidth="1"/>
    <col min="1790" max="1790" width="12.42578125" style="1963" customWidth="1"/>
    <col min="1791" max="1791" width="2.85546875" style="1963" customWidth="1"/>
    <col min="1792" max="1792" width="13" style="1963" customWidth="1"/>
    <col min="1793" max="1793" width="3.85546875" style="1963" customWidth="1"/>
    <col min="1794" max="1794" width="13.7109375" style="1963" bestFit="1" customWidth="1"/>
    <col min="1795" max="1795" width="1.7109375" style="1963" customWidth="1"/>
    <col min="1796" max="1796" width="13.140625" style="1963" customWidth="1"/>
    <col min="1797" max="1797" width="1.7109375" style="1963" customWidth="1"/>
    <col min="1798" max="1798" width="10.85546875" style="1963" customWidth="1"/>
    <col min="1799" max="1799" width="4.5703125" style="1963" bestFit="1" customWidth="1"/>
    <col min="1800" max="1800" width="13.140625" style="1963" bestFit="1" customWidth="1"/>
    <col min="1801" max="1801" width="2.85546875" style="1963" customWidth="1"/>
    <col min="1802" max="1802" width="12.42578125" style="1963" bestFit="1" customWidth="1"/>
    <col min="1803" max="1808" width="16.5703125" style="1963"/>
    <col min="1809" max="1809" width="6.42578125" style="1963" customWidth="1"/>
    <col min="1810" max="2039" width="16.5703125" style="1963"/>
    <col min="2040" max="2040" width="6.42578125" style="1963" customWidth="1"/>
    <col min="2041" max="2041" width="48.7109375" style="1963" customWidth="1"/>
    <col min="2042" max="2042" width="9.7109375" style="1963" customWidth="1"/>
    <col min="2043" max="2043" width="1.7109375" style="1963" customWidth="1"/>
    <col min="2044" max="2044" width="10.85546875" style="1963" customWidth="1"/>
    <col min="2045" max="2045" width="5.140625" style="1963" customWidth="1"/>
    <col min="2046" max="2046" width="12.42578125" style="1963" customWidth="1"/>
    <col min="2047" max="2047" width="2.85546875" style="1963" customWidth="1"/>
    <col min="2048" max="2048" width="13" style="1963" customWidth="1"/>
    <col min="2049" max="2049" width="3.85546875" style="1963" customWidth="1"/>
    <col min="2050" max="2050" width="13.7109375" style="1963" bestFit="1" customWidth="1"/>
    <col min="2051" max="2051" width="1.7109375" style="1963" customWidth="1"/>
    <col min="2052" max="2052" width="13.140625" style="1963" customWidth="1"/>
    <col min="2053" max="2053" width="1.7109375" style="1963" customWidth="1"/>
    <col min="2054" max="2054" width="10.85546875" style="1963" customWidth="1"/>
    <col min="2055" max="2055" width="4.5703125" style="1963" bestFit="1" customWidth="1"/>
    <col min="2056" max="2056" width="13.140625" style="1963" bestFit="1" customWidth="1"/>
    <col min="2057" max="2057" width="2.85546875" style="1963" customWidth="1"/>
    <col min="2058" max="2058" width="12.42578125" style="1963" bestFit="1" customWidth="1"/>
    <col min="2059" max="2064" width="16.5703125" style="1963"/>
    <col min="2065" max="2065" width="6.42578125" style="1963" customWidth="1"/>
    <col min="2066" max="2295" width="16.5703125" style="1963"/>
    <col min="2296" max="2296" width="6.42578125" style="1963" customWidth="1"/>
    <col min="2297" max="2297" width="48.7109375" style="1963" customWidth="1"/>
    <col min="2298" max="2298" width="9.7109375" style="1963" customWidth="1"/>
    <col min="2299" max="2299" width="1.7109375" style="1963" customWidth="1"/>
    <col min="2300" max="2300" width="10.85546875" style="1963" customWidth="1"/>
    <col min="2301" max="2301" width="5.140625" style="1963" customWidth="1"/>
    <col min="2302" max="2302" width="12.42578125" style="1963" customWidth="1"/>
    <col min="2303" max="2303" width="2.85546875" style="1963" customWidth="1"/>
    <col min="2304" max="2304" width="13" style="1963" customWidth="1"/>
    <col min="2305" max="2305" width="3.85546875" style="1963" customWidth="1"/>
    <col min="2306" max="2306" width="13.7109375" style="1963" bestFit="1" customWidth="1"/>
    <col min="2307" max="2307" width="1.7109375" style="1963" customWidth="1"/>
    <col min="2308" max="2308" width="13.140625" style="1963" customWidth="1"/>
    <col min="2309" max="2309" width="1.7109375" style="1963" customWidth="1"/>
    <col min="2310" max="2310" width="10.85546875" style="1963" customWidth="1"/>
    <col min="2311" max="2311" width="4.5703125" style="1963" bestFit="1" customWidth="1"/>
    <col min="2312" max="2312" width="13.140625" style="1963" bestFit="1" customWidth="1"/>
    <col min="2313" max="2313" width="2.85546875" style="1963" customWidth="1"/>
    <col min="2314" max="2314" width="12.42578125" style="1963" bestFit="1" customWidth="1"/>
    <col min="2315" max="2320" width="16.5703125" style="1963"/>
    <col min="2321" max="2321" width="6.42578125" style="1963" customWidth="1"/>
    <col min="2322" max="2551" width="16.5703125" style="1963"/>
    <col min="2552" max="2552" width="6.42578125" style="1963" customWidth="1"/>
    <col min="2553" max="2553" width="48.7109375" style="1963" customWidth="1"/>
    <col min="2554" max="2554" width="9.7109375" style="1963" customWidth="1"/>
    <col min="2555" max="2555" width="1.7109375" style="1963" customWidth="1"/>
    <col min="2556" max="2556" width="10.85546875" style="1963" customWidth="1"/>
    <col min="2557" max="2557" width="5.140625" style="1963" customWidth="1"/>
    <col min="2558" max="2558" width="12.42578125" style="1963" customWidth="1"/>
    <col min="2559" max="2559" width="2.85546875" style="1963" customWidth="1"/>
    <col min="2560" max="2560" width="13" style="1963" customWidth="1"/>
    <col min="2561" max="2561" width="3.85546875" style="1963" customWidth="1"/>
    <col min="2562" max="2562" width="13.7109375" style="1963" bestFit="1" customWidth="1"/>
    <col min="2563" max="2563" width="1.7109375" style="1963" customWidth="1"/>
    <col min="2564" max="2564" width="13.140625" style="1963" customWidth="1"/>
    <col min="2565" max="2565" width="1.7109375" style="1963" customWidth="1"/>
    <col min="2566" max="2566" width="10.85546875" style="1963" customWidth="1"/>
    <col min="2567" max="2567" width="4.5703125" style="1963" bestFit="1" customWidth="1"/>
    <col min="2568" max="2568" width="13.140625" style="1963" bestFit="1" customWidth="1"/>
    <col min="2569" max="2569" width="2.85546875" style="1963" customWidth="1"/>
    <col min="2570" max="2570" width="12.42578125" style="1963" bestFit="1" customWidth="1"/>
    <col min="2571" max="2576" width="16.5703125" style="1963"/>
    <col min="2577" max="2577" width="6.42578125" style="1963" customWidth="1"/>
    <col min="2578" max="2807" width="16.5703125" style="1963"/>
    <col min="2808" max="2808" width="6.42578125" style="1963" customWidth="1"/>
    <col min="2809" max="2809" width="48.7109375" style="1963" customWidth="1"/>
    <col min="2810" max="2810" width="9.7109375" style="1963" customWidth="1"/>
    <col min="2811" max="2811" width="1.7109375" style="1963" customWidth="1"/>
    <col min="2812" max="2812" width="10.85546875" style="1963" customWidth="1"/>
    <col min="2813" max="2813" width="5.140625" style="1963" customWidth="1"/>
    <col min="2814" max="2814" width="12.42578125" style="1963" customWidth="1"/>
    <col min="2815" max="2815" width="2.85546875" style="1963" customWidth="1"/>
    <col min="2816" max="2816" width="13" style="1963" customWidth="1"/>
    <col min="2817" max="2817" width="3.85546875" style="1963" customWidth="1"/>
    <col min="2818" max="2818" width="13.7109375" style="1963" bestFit="1" customWidth="1"/>
    <col min="2819" max="2819" width="1.7109375" style="1963" customWidth="1"/>
    <col min="2820" max="2820" width="13.140625" style="1963" customWidth="1"/>
    <col min="2821" max="2821" width="1.7109375" style="1963" customWidth="1"/>
    <col min="2822" max="2822" width="10.85546875" style="1963" customWidth="1"/>
    <col min="2823" max="2823" width="4.5703125" style="1963" bestFit="1" customWidth="1"/>
    <col min="2824" max="2824" width="13.140625" style="1963" bestFit="1" customWidth="1"/>
    <col min="2825" max="2825" width="2.85546875" style="1963" customWidth="1"/>
    <col min="2826" max="2826" width="12.42578125" style="1963" bestFit="1" customWidth="1"/>
    <col min="2827" max="2832" width="16.5703125" style="1963"/>
    <col min="2833" max="2833" width="6.42578125" style="1963" customWidth="1"/>
    <col min="2834" max="3063" width="16.5703125" style="1963"/>
    <col min="3064" max="3064" width="6.42578125" style="1963" customWidth="1"/>
    <col min="3065" max="3065" width="48.7109375" style="1963" customWidth="1"/>
    <col min="3066" max="3066" width="9.7109375" style="1963" customWidth="1"/>
    <col min="3067" max="3067" width="1.7109375" style="1963" customWidth="1"/>
    <col min="3068" max="3068" width="10.85546875" style="1963" customWidth="1"/>
    <col min="3069" max="3069" width="5.140625" style="1963" customWidth="1"/>
    <col min="3070" max="3070" width="12.42578125" style="1963" customWidth="1"/>
    <col min="3071" max="3071" width="2.85546875" style="1963" customWidth="1"/>
    <col min="3072" max="3072" width="13" style="1963" customWidth="1"/>
    <col min="3073" max="3073" width="3.85546875" style="1963" customWidth="1"/>
    <col min="3074" max="3074" width="13.7109375" style="1963" bestFit="1" customWidth="1"/>
    <col min="3075" max="3075" width="1.7109375" style="1963" customWidth="1"/>
    <col min="3076" max="3076" width="13.140625" style="1963" customWidth="1"/>
    <col min="3077" max="3077" width="1.7109375" style="1963" customWidth="1"/>
    <col min="3078" max="3078" width="10.85546875" style="1963" customWidth="1"/>
    <col min="3079" max="3079" width="4.5703125" style="1963" bestFit="1" customWidth="1"/>
    <col min="3080" max="3080" width="13.140625" style="1963" bestFit="1" customWidth="1"/>
    <col min="3081" max="3081" width="2.85546875" style="1963" customWidth="1"/>
    <col min="3082" max="3082" width="12.42578125" style="1963" bestFit="1" customWidth="1"/>
    <col min="3083" max="3088" width="16.5703125" style="1963"/>
    <col min="3089" max="3089" width="6.42578125" style="1963" customWidth="1"/>
    <col min="3090" max="3319" width="16.5703125" style="1963"/>
    <col min="3320" max="3320" width="6.42578125" style="1963" customWidth="1"/>
    <col min="3321" max="3321" width="48.7109375" style="1963" customWidth="1"/>
    <col min="3322" max="3322" width="9.7109375" style="1963" customWidth="1"/>
    <col min="3323" max="3323" width="1.7109375" style="1963" customWidth="1"/>
    <col min="3324" max="3324" width="10.85546875" style="1963" customWidth="1"/>
    <col min="3325" max="3325" width="5.140625" style="1963" customWidth="1"/>
    <col min="3326" max="3326" width="12.42578125" style="1963" customWidth="1"/>
    <col min="3327" max="3327" width="2.85546875" style="1963" customWidth="1"/>
    <col min="3328" max="3328" width="13" style="1963" customWidth="1"/>
    <col min="3329" max="3329" width="3.85546875" style="1963" customWidth="1"/>
    <col min="3330" max="3330" width="13.7109375" style="1963" bestFit="1" customWidth="1"/>
    <col min="3331" max="3331" width="1.7109375" style="1963" customWidth="1"/>
    <col min="3332" max="3332" width="13.140625" style="1963" customWidth="1"/>
    <col min="3333" max="3333" width="1.7109375" style="1963" customWidth="1"/>
    <col min="3334" max="3334" width="10.85546875" style="1963" customWidth="1"/>
    <col min="3335" max="3335" width="4.5703125" style="1963" bestFit="1" customWidth="1"/>
    <col min="3336" max="3336" width="13.140625" style="1963" bestFit="1" customWidth="1"/>
    <col min="3337" max="3337" width="2.85546875" style="1963" customWidth="1"/>
    <col min="3338" max="3338" width="12.42578125" style="1963" bestFit="1" customWidth="1"/>
    <col min="3339" max="3344" width="16.5703125" style="1963"/>
    <col min="3345" max="3345" width="6.42578125" style="1963" customWidth="1"/>
    <col min="3346" max="3575" width="16.5703125" style="1963"/>
    <col min="3576" max="3576" width="6.42578125" style="1963" customWidth="1"/>
    <col min="3577" max="3577" width="48.7109375" style="1963" customWidth="1"/>
    <col min="3578" max="3578" width="9.7109375" style="1963" customWidth="1"/>
    <col min="3579" max="3579" width="1.7109375" style="1963" customWidth="1"/>
    <col min="3580" max="3580" width="10.85546875" style="1963" customWidth="1"/>
    <col min="3581" max="3581" width="5.140625" style="1963" customWidth="1"/>
    <col min="3582" max="3582" width="12.42578125" style="1963" customWidth="1"/>
    <col min="3583" max="3583" width="2.85546875" style="1963" customWidth="1"/>
    <col min="3584" max="3584" width="13" style="1963" customWidth="1"/>
    <col min="3585" max="3585" width="3.85546875" style="1963" customWidth="1"/>
    <col min="3586" max="3586" width="13.7109375" style="1963" bestFit="1" customWidth="1"/>
    <col min="3587" max="3587" width="1.7109375" style="1963" customWidth="1"/>
    <col min="3588" max="3588" width="13.140625" style="1963" customWidth="1"/>
    <col min="3589" max="3589" width="1.7109375" style="1963" customWidth="1"/>
    <col min="3590" max="3590" width="10.85546875" style="1963" customWidth="1"/>
    <col min="3591" max="3591" width="4.5703125" style="1963" bestFit="1" customWidth="1"/>
    <col min="3592" max="3592" width="13.140625" style="1963" bestFit="1" customWidth="1"/>
    <col min="3593" max="3593" width="2.85546875" style="1963" customWidth="1"/>
    <col min="3594" max="3594" width="12.42578125" style="1963" bestFit="1" customWidth="1"/>
    <col min="3595" max="3600" width="16.5703125" style="1963"/>
    <col min="3601" max="3601" width="6.42578125" style="1963" customWidth="1"/>
    <col min="3602" max="3831" width="16.5703125" style="1963"/>
    <col min="3832" max="3832" width="6.42578125" style="1963" customWidth="1"/>
    <col min="3833" max="3833" width="48.7109375" style="1963" customWidth="1"/>
    <col min="3834" max="3834" width="9.7109375" style="1963" customWidth="1"/>
    <col min="3835" max="3835" width="1.7109375" style="1963" customWidth="1"/>
    <col min="3836" max="3836" width="10.85546875" style="1963" customWidth="1"/>
    <col min="3837" max="3837" width="5.140625" style="1963" customWidth="1"/>
    <col min="3838" max="3838" width="12.42578125" style="1963" customWidth="1"/>
    <col min="3839" max="3839" width="2.85546875" style="1963" customWidth="1"/>
    <col min="3840" max="3840" width="13" style="1963" customWidth="1"/>
    <col min="3841" max="3841" width="3.85546875" style="1963" customWidth="1"/>
    <col min="3842" max="3842" width="13.7109375" style="1963" bestFit="1" customWidth="1"/>
    <col min="3843" max="3843" width="1.7109375" style="1963" customWidth="1"/>
    <col min="3844" max="3844" width="13.140625" style="1963" customWidth="1"/>
    <col min="3845" max="3845" width="1.7109375" style="1963" customWidth="1"/>
    <col min="3846" max="3846" width="10.85546875" style="1963" customWidth="1"/>
    <col min="3847" max="3847" width="4.5703125" style="1963" bestFit="1" customWidth="1"/>
    <col min="3848" max="3848" width="13.140625" style="1963" bestFit="1" customWidth="1"/>
    <col min="3849" max="3849" width="2.85546875" style="1963" customWidth="1"/>
    <col min="3850" max="3850" width="12.42578125" style="1963" bestFit="1" customWidth="1"/>
    <col min="3851" max="3856" width="16.5703125" style="1963"/>
    <col min="3857" max="3857" width="6.42578125" style="1963" customWidth="1"/>
    <col min="3858" max="4087" width="16.5703125" style="1963"/>
    <col min="4088" max="4088" width="6.42578125" style="1963" customWidth="1"/>
    <col min="4089" max="4089" width="48.7109375" style="1963" customWidth="1"/>
    <col min="4090" max="4090" width="9.7109375" style="1963" customWidth="1"/>
    <col min="4091" max="4091" width="1.7109375" style="1963" customWidth="1"/>
    <col min="4092" max="4092" width="10.85546875" style="1963" customWidth="1"/>
    <col min="4093" max="4093" width="5.140625" style="1963" customWidth="1"/>
    <col min="4094" max="4094" width="12.42578125" style="1963" customWidth="1"/>
    <col min="4095" max="4095" width="2.85546875" style="1963" customWidth="1"/>
    <col min="4096" max="4096" width="13" style="1963" customWidth="1"/>
    <col min="4097" max="4097" width="3.85546875" style="1963" customWidth="1"/>
    <col min="4098" max="4098" width="13.7109375" style="1963" bestFit="1" customWidth="1"/>
    <col min="4099" max="4099" width="1.7109375" style="1963" customWidth="1"/>
    <col min="4100" max="4100" width="13.140625" style="1963" customWidth="1"/>
    <col min="4101" max="4101" width="1.7109375" style="1963" customWidth="1"/>
    <col min="4102" max="4102" width="10.85546875" style="1963" customWidth="1"/>
    <col min="4103" max="4103" width="4.5703125" style="1963" bestFit="1" customWidth="1"/>
    <col min="4104" max="4104" width="13.140625" style="1963" bestFit="1" customWidth="1"/>
    <col min="4105" max="4105" width="2.85546875" style="1963" customWidth="1"/>
    <col min="4106" max="4106" width="12.42578125" style="1963" bestFit="1" customWidth="1"/>
    <col min="4107" max="4112" width="16.5703125" style="1963"/>
    <col min="4113" max="4113" width="6.42578125" style="1963" customWidth="1"/>
    <col min="4114" max="4343" width="16.5703125" style="1963"/>
    <col min="4344" max="4344" width="6.42578125" style="1963" customWidth="1"/>
    <col min="4345" max="4345" width="48.7109375" style="1963" customWidth="1"/>
    <col min="4346" max="4346" width="9.7109375" style="1963" customWidth="1"/>
    <col min="4347" max="4347" width="1.7109375" style="1963" customWidth="1"/>
    <col min="4348" max="4348" width="10.85546875" style="1963" customWidth="1"/>
    <col min="4349" max="4349" width="5.140625" style="1963" customWidth="1"/>
    <col min="4350" max="4350" width="12.42578125" style="1963" customWidth="1"/>
    <col min="4351" max="4351" width="2.85546875" style="1963" customWidth="1"/>
    <col min="4352" max="4352" width="13" style="1963" customWidth="1"/>
    <col min="4353" max="4353" width="3.85546875" style="1963" customWidth="1"/>
    <col min="4354" max="4354" width="13.7109375" style="1963" bestFit="1" customWidth="1"/>
    <col min="4355" max="4355" width="1.7109375" style="1963" customWidth="1"/>
    <col min="4356" max="4356" width="13.140625" style="1963" customWidth="1"/>
    <col min="4357" max="4357" width="1.7109375" style="1963" customWidth="1"/>
    <col min="4358" max="4358" width="10.85546875" style="1963" customWidth="1"/>
    <col min="4359" max="4359" width="4.5703125" style="1963" bestFit="1" customWidth="1"/>
    <col min="4360" max="4360" width="13.140625" style="1963" bestFit="1" customWidth="1"/>
    <col min="4361" max="4361" width="2.85546875" style="1963" customWidth="1"/>
    <col min="4362" max="4362" width="12.42578125" style="1963" bestFit="1" customWidth="1"/>
    <col min="4363" max="4368" width="16.5703125" style="1963"/>
    <col min="4369" max="4369" width="6.42578125" style="1963" customWidth="1"/>
    <col min="4370" max="4599" width="16.5703125" style="1963"/>
    <col min="4600" max="4600" width="6.42578125" style="1963" customWidth="1"/>
    <col min="4601" max="4601" width="48.7109375" style="1963" customWidth="1"/>
    <col min="4602" max="4602" width="9.7109375" style="1963" customWidth="1"/>
    <col min="4603" max="4603" width="1.7109375" style="1963" customWidth="1"/>
    <col min="4604" max="4604" width="10.85546875" style="1963" customWidth="1"/>
    <col min="4605" max="4605" width="5.140625" style="1963" customWidth="1"/>
    <col min="4606" max="4606" width="12.42578125" style="1963" customWidth="1"/>
    <col min="4607" max="4607" width="2.85546875" style="1963" customWidth="1"/>
    <col min="4608" max="4608" width="13" style="1963" customWidth="1"/>
    <col min="4609" max="4609" width="3.85546875" style="1963" customWidth="1"/>
    <col min="4610" max="4610" width="13.7109375" style="1963" bestFit="1" customWidth="1"/>
    <col min="4611" max="4611" width="1.7109375" style="1963" customWidth="1"/>
    <col min="4612" max="4612" width="13.140625" style="1963" customWidth="1"/>
    <col min="4613" max="4613" width="1.7109375" style="1963" customWidth="1"/>
    <col min="4614" max="4614" width="10.85546875" style="1963" customWidth="1"/>
    <col min="4615" max="4615" width="4.5703125" style="1963" bestFit="1" customWidth="1"/>
    <col min="4616" max="4616" width="13.140625" style="1963" bestFit="1" customWidth="1"/>
    <col min="4617" max="4617" width="2.85546875" style="1963" customWidth="1"/>
    <col min="4618" max="4618" width="12.42578125" style="1963" bestFit="1" customWidth="1"/>
    <col min="4619" max="4624" width="16.5703125" style="1963"/>
    <col min="4625" max="4625" width="6.42578125" style="1963" customWidth="1"/>
    <col min="4626" max="4855" width="16.5703125" style="1963"/>
    <col min="4856" max="4856" width="6.42578125" style="1963" customWidth="1"/>
    <col min="4857" max="4857" width="48.7109375" style="1963" customWidth="1"/>
    <col min="4858" max="4858" width="9.7109375" style="1963" customWidth="1"/>
    <col min="4859" max="4859" width="1.7109375" style="1963" customWidth="1"/>
    <col min="4860" max="4860" width="10.85546875" style="1963" customWidth="1"/>
    <col min="4861" max="4861" width="5.140625" style="1963" customWidth="1"/>
    <col min="4862" max="4862" width="12.42578125" style="1963" customWidth="1"/>
    <col min="4863" max="4863" width="2.85546875" style="1963" customWidth="1"/>
    <col min="4864" max="4864" width="13" style="1963" customWidth="1"/>
    <col min="4865" max="4865" width="3.85546875" style="1963" customWidth="1"/>
    <col min="4866" max="4866" width="13.7109375" style="1963" bestFit="1" customWidth="1"/>
    <col min="4867" max="4867" width="1.7109375" style="1963" customWidth="1"/>
    <col min="4868" max="4868" width="13.140625" style="1963" customWidth="1"/>
    <col min="4869" max="4869" width="1.7109375" style="1963" customWidth="1"/>
    <col min="4870" max="4870" width="10.85546875" style="1963" customWidth="1"/>
    <col min="4871" max="4871" width="4.5703125" style="1963" bestFit="1" customWidth="1"/>
    <col min="4872" max="4872" width="13.140625" style="1963" bestFit="1" customWidth="1"/>
    <col min="4873" max="4873" width="2.85546875" style="1963" customWidth="1"/>
    <col min="4874" max="4874" width="12.42578125" style="1963" bestFit="1" customWidth="1"/>
    <col min="4875" max="4880" width="16.5703125" style="1963"/>
    <col min="4881" max="4881" width="6.42578125" style="1963" customWidth="1"/>
    <col min="4882" max="5111" width="16.5703125" style="1963"/>
    <col min="5112" max="5112" width="6.42578125" style="1963" customWidth="1"/>
    <col min="5113" max="5113" width="48.7109375" style="1963" customWidth="1"/>
    <col min="5114" max="5114" width="9.7109375" style="1963" customWidth="1"/>
    <col min="5115" max="5115" width="1.7109375" style="1963" customWidth="1"/>
    <col min="5116" max="5116" width="10.85546875" style="1963" customWidth="1"/>
    <col min="5117" max="5117" width="5.140625" style="1963" customWidth="1"/>
    <col min="5118" max="5118" width="12.42578125" style="1963" customWidth="1"/>
    <col min="5119" max="5119" width="2.85546875" style="1963" customWidth="1"/>
    <col min="5120" max="5120" width="13" style="1963" customWidth="1"/>
    <col min="5121" max="5121" width="3.85546875" style="1963" customWidth="1"/>
    <col min="5122" max="5122" width="13.7109375" style="1963" bestFit="1" customWidth="1"/>
    <col min="5123" max="5123" width="1.7109375" style="1963" customWidth="1"/>
    <col min="5124" max="5124" width="13.140625" style="1963" customWidth="1"/>
    <col min="5125" max="5125" width="1.7109375" style="1963" customWidth="1"/>
    <col min="5126" max="5126" width="10.85546875" style="1963" customWidth="1"/>
    <col min="5127" max="5127" width="4.5703125" style="1963" bestFit="1" customWidth="1"/>
    <col min="5128" max="5128" width="13.140625" style="1963" bestFit="1" customWidth="1"/>
    <col min="5129" max="5129" width="2.85546875" style="1963" customWidth="1"/>
    <col min="5130" max="5130" width="12.42578125" style="1963" bestFit="1" customWidth="1"/>
    <col min="5131" max="5136" width="16.5703125" style="1963"/>
    <col min="5137" max="5137" width="6.42578125" style="1963" customWidth="1"/>
    <col min="5138" max="5367" width="16.5703125" style="1963"/>
    <col min="5368" max="5368" width="6.42578125" style="1963" customWidth="1"/>
    <col min="5369" max="5369" width="48.7109375" style="1963" customWidth="1"/>
    <col min="5370" max="5370" width="9.7109375" style="1963" customWidth="1"/>
    <col min="5371" max="5371" width="1.7109375" style="1963" customWidth="1"/>
    <col min="5372" max="5372" width="10.85546875" style="1963" customWidth="1"/>
    <col min="5373" max="5373" width="5.140625" style="1963" customWidth="1"/>
    <col min="5374" max="5374" width="12.42578125" style="1963" customWidth="1"/>
    <col min="5375" max="5375" width="2.85546875" style="1963" customWidth="1"/>
    <col min="5376" max="5376" width="13" style="1963" customWidth="1"/>
    <col min="5377" max="5377" width="3.85546875" style="1963" customWidth="1"/>
    <col min="5378" max="5378" width="13.7109375" style="1963" bestFit="1" customWidth="1"/>
    <col min="5379" max="5379" width="1.7109375" style="1963" customWidth="1"/>
    <col min="5380" max="5380" width="13.140625" style="1963" customWidth="1"/>
    <col min="5381" max="5381" width="1.7109375" style="1963" customWidth="1"/>
    <col min="5382" max="5382" width="10.85546875" style="1963" customWidth="1"/>
    <col min="5383" max="5383" width="4.5703125" style="1963" bestFit="1" customWidth="1"/>
    <col min="5384" max="5384" width="13.140625" style="1963" bestFit="1" customWidth="1"/>
    <col min="5385" max="5385" width="2.85546875" style="1963" customWidth="1"/>
    <col min="5386" max="5386" width="12.42578125" style="1963" bestFit="1" customWidth="1"/>
    <col min="5387" max="5392" width="16.5703125" style="1963"/>
    <col min="5393" max="5393" width="6.42578125" style="1963" customWidth="1"/>
    <col min="5394" max="5623" width="16.5703125" style="1963"/>
    <col min="5624" max="5624" width="6.42578125" style="1963" customWidth="1"/>
    <col min="5625" max="5625" width="48.7109375" style="1963" customWidth="1"/>
    <col min="5626" max="5626" width="9.7109375" style="1963" customWidth="1"/>
    <col min="5627" max="5627" width="1.7109375" style="1963" customWidth="1"/>
    <col min="5628" max="5628" width="10.85546875" style="1963" customWidth="1"/>
    <col min="5629" max="5629" width="5.140625" style="1963" customWidth="1"/>
    <col min="5630" max="5630" width="12.42578125" style="1963" customWidth="1"/>
    <col min="5631" max="5631" width="2.85546875" style="1963" customWidth="1"/>
    <col min="5632" max="5632" width="13" style="1963" customWidth="1"/>
    <col min="5633" max="5633" width="3.85546875" style="1963" customWidth="1"/>
    <col min="5634" max="5634" width="13.7109375" style="1963" bestFit="1" customWidth="1"/>
    <col min="5635" max="5635" width="1.7109375" style="1963" customWidth="1"/>
    <col min="5636" max="5636" width="13.140625" style="1963" customWidth="1"/>
    <col min="5637" max="5637" width="1.7109375" style="1963" customWidth="1"/>
    <col min="5638" max="5638" width="10.85546875" style="1963" customWidth="1"/>
    <col min="5639" max="5639" width="4.5703125" style="1963" bestFit="1" customWidth="1"/>
    <col min="5640" max="5640" width="13.140625" style="1963" bestFit="1" customWidth="1"/>
    <col min="5641" max="5641" width="2.85546875" style="1963" customWidth="1"/>
    <col min="5642" max="5642" width="12.42578125" style="1963" bestFit="1" customWidth="1"/>
    <col min="5643" max="5648" width="16.5703125" style="1963"/>
    <col min="5649" max="5649" width="6.42578125" style="1963" customWidth="1"/>
    <col min="5650" max="5879" width="16.5703125" style="1963"/>
    <col min="5880" max="5880" width="6.42578125" style="1963" customWidth="1"/>
    <col min="5881" max="5881" width="48.7109375" style="1963" customWidth="1"/>
    <col min="5882" max="5882" width="9.7109375" style="1963" customWidth="1"/>
    <col min="5883" max="5883" width="1.7109375" style="1963" customWidth="1"/>
    <col min="5884" max="5884" width="10.85546875" style="1963" customWidth="1"/>
    <col min="5885" max="5885" width="5.140625" style="1963" customWidth="1"/>
    <col min="5886" max="5886" width="12.42578125" style="1963" customWidth="1"/>
    <col min="5887" max="5887" width="2.85546875" style="1963" customWidth="1"/>
    <col min="5888" max="5888" width="13" style="1963" customWidth="1"/>
    <col min="5889" max="5889" width="3.85546875" style="1963" customWidth="1"/>
    <col min="5890" max="5890" width="13.7109375" style="1963" bestFit="1" customWidth="1"/>
    <col min="5891" max="5891" width="1.7109375" style="1963" customWidth="1"/>
    <col min="5892" max="5892" width="13.140625" style="1963" customWidth="1"/>
    <col min="5893" max="5893" width="1.7109375" style="1963" customWidth="1"/>
    <col min="5894" max="5894" width="10.85546875" style="1963" customWidth="1"/>
    <col min="5895" max="5895" width="4.5703125" style="1963" bestFit="1" customWidth="1"/>
    <col min="5896" max="5896" width="13.140625" style="1963" bestFit="1" customWidth="1"/>
    <col min="5897" max="5897" width="2.85546875" style="1963" customWidth="1"/>
    <col min="5898" max="5898" width="12.42578125" style="1963" bestFit="1" customWidth="1"/>
    <col min="5899" max="5904" width="16.5703125" style="1963"/>
    <col min="5905" max="5905" width="6.42578125" style="1963" customWidth="1"/>
    <col min="5906" max="6135" width="16.5703125" style="1963"/>
    <col min="6136" max="6136" width="6.42578125" style="1963" customWidth="1"/>
    <col min="6137" max="6137" width="48.7109375" style="1963" customWidth="1"/>
    <col min="6138" max="6138" width="9.7109375" style="1963" customWidth="1"/>
    <col min="6139" max="6139" width="1.7109375" style="1963" customWidth="1"/>
    <col min="6140" max="6140" width="10.85546875" style="1963" customWidth="1"/>
    <col min="6141" max="6141" width="5.140625" style="1963" customWidth="1"/>
    <col min="6142" max="6142" width="12.42578125" style="1963" customWidth="1"/>
    <col min="6143" max="6143" width="2.85546875" style="1963" customWidth="1"/>
    <col min="6144" max="6144" width="13" style="1963" customWidth="1"/>
    <col min="6145" max="6145" width="3.85546875" style="1963" customWidth="1"/>
    <col min="6146" max="6146" width="13.7109375" style="1963" bestFit="1" customWidth="1"/>
    <col min="6147" max="6147" width="1.7109375" style="1963" customWidth="1"/>
    <col min="6148" max="6148" width="13.140625" style="1963" customWidth="1"/>
    <col min="6149" max="6149" width="1.7109375" style="1963" customWidth="1"/>
    <col min="6150" max="6150" width="10.85546875" style="1963" customWidth="1"/>
    <col min="6151" max="6151" width="4.5703125" style="1963" bestFit="1" customWidth="1"/>
    <col min="6152" max="6152" width="13.140625" style="1963" bestFit="1" customWidth="1"/>
    <col min="6153" max="6153" width="2.85546875" style="1963" customWidth="1"/>
    <col min="6154" max="6154" width="12.42578125" style="1963" bestFit="1" customWidth="1"/>
    <col min="6155" max="6160" width="16.5703125" style="1963"/>
    <col min="6161" max="6161" width="6.42578125" style="1963" customWidth="1"/>
    <col min="6162" max="6391" width="16.5703125" style="1963"/>
    <col min="6392" max="6392" width="6.42578125" style="1963" customWidth="1"/>
    <col min="6393" max="6393" width="48.7109375" style="1963" customWidth="1"/>
    <col min="6394" max="6394" width="9.7109375" style="1963" customWidth="1"/>
    <col min="6395" max="6395" width="1.7109375" style="1963" customWidth="1"/>
    <col min="6396" max="6396" width="10.85546875" style="1963" customWidth="1"/>
    <col min="6397" max="6397" width="5.140625" style="1963" customWidth="1"/>
    <col min="6398" max="6398" width="12.42578125" style="1963" customWidth="1"/>
    <col min="6399" max="6399" width="2.85546875" style="1963" customWidth="1"/>
    <col min="6400" max="6400" width="13" style="1963" customWidth="1"/>
    <col min="6401" max="6401" width="3.85546875" style="1963" customWidth="1"/>
    <col min="6402" max="6402" width="13.7109375" style="1963" bestFit="1" customWidth="1"/>
    <col min="6403" max="6403" width="1.7109375" style="1963" customWidth="1"/>
    <col min="6404" max="6404" width="13.140625" style="1963" customWidth="1"/>
    <col min="6405" max="6405" width="1.7109375" style="1963" customWidth="1"/>
    <col min="6406" max="6406" width="10.85546875" style="1963" customWidth="1"/>
    <col min="6407" max="6407" width="4.5703125" style="1963" bestFit="1" customWidth="1"/>
    <col min="6408" max="6408" width="13.140625" style="1963" bestFit="1" customWidth="1"/>
    <col min="6409" max="6409" width="2.85546875" style="1963" customWidth="1"/>
    <col min="6410" max="6410" width="12.42578125" style="1963" bestFit="1" customWidth="1"/>
    <col min="6411" max="6416" width="16.5703125" style="1963"/>
    <col min="6417" max="6417" width="6.42578125" style="1963" customWidth="1"/>
    <col min="6418" max="6647" width="16.5703125" style="1963"/>
    <col min="6648" max="6648" width="6.42578125" style="1963" customWidth="1"/>
    <col min="6649" max="6649" width="48.7109375" style="1963" customWidth="1"/>
    <col min="6650" max="6650" width="9.7109375" style="1963" customWidth="1"/>
    <col min="6651" max="6651" width="1.7109375" style="1963" customWidth="1"/>
    <col min="6652" max="6652" width="10.85546875" style="1963" customWidth="1"/>
    <col min="6653" max="6653" width="5.140625" style="1963" customWidth="1"/>
    <col min="6654" max="6654" width="12.42578125" style="1963" customWidth="1"/>
    <col min="6655" max="6655" width="2.85546875" style="1963" customWidth="1"/>
    <col min="6656" max="6656" width="13" style="1963" customWidth="1"/>
    <col min="6657" max="6657" width="3.85546875" style="1963" customWidth="1"/>
    <col min="6658" max="6658" width="13.7109375" style="1963" bestFit="1" customWidth="1"/>
    <col min="6659" max="6659" width="1.7109375" style="1963" customWidth="1"/>
    <col min="6660" max="6660" width="13.140625" style="1963" customWidth="1"/>
    <col min="6661" max="6661" width="1.7109375" style="1963" customWidth="1"/>
    <col min="6662" max="6662" width="10.85546875" style="1963" customWidth="1"/>
    <col min="6663" max="6663" width="4.5703125" style="1963" bestFit="1" customWidth="1"/>
    <col min="6664" max="6664" width="13.140625" style="1963" bestFit="1" customWidth="1"/>
    <col min="6665" max="6665" width="2.85546875" style="1963" customWidth="1"/>
    <col min="6666" max="6666" width="12.42578125" style="1963" bestFit="1" customWidth="1"/>
    <col min="6667" max="6672" width="16.5703125" style="1963"/>
    <col min="6673" max="6673" width="6.42578125" style="1963" customWidth="1"/>
    <col min="6674" max="6903" width="16.5703125" style="1963"/>
    <col min="6904" max="6904" width="6.42578125" style="1963" customWidth="1"/>
    <col min="6905" max="6905" width="48.7109375" style="1963" customWidth="1"/>
    <col min="6906" max="6906" width="9.7109375" style="1963" customWidth="1"/>
    <col min="6907" max="6907" width="1.7109375" style="1963" customWidth="1"/>
    <col min="6908" max="6908" width="10.85546875" style="1963" customWidth="1"/>
    <col min="6909" max="6909" width="5.140625" style="1963" customWidth="1"/>
    <col min="6910" max="6910" width="12.42578125" style="1963" customWidth="1"/>
    <col min="6911" max="6911" width="2.85546875" style="1963" customWidth="1"/>
    <col min="6912" max="6912" width="13" style="1963" customWidth="1"/>
    <col min="6913" max="6913" width="3.85546875" style="1963" customWidth="1"/>
    <col min="6914" max="6914" width="13.7109375" style="1963" bestFit="1" customWidth="1"/>
    <col min="6915" max="6915" width="1.7109375" style="1963" customWidth="1"/>
    <col min="6916" max="6916" width="13.140625" style="1963" customWidth="1"/>
    <col min="6917" max="6917" width="1.7109375" style="1963" customWidth="1"/>
    <col min="6918" max="6918" width="10.85546875" style="1963" customWidth="1"/>
    <col min="6919" max="6919" width="4.5703125" style="1963" bestFit="1" customWidth="1"/>
    <col min="6920" max="6920" width="13.140625" style="1963" bestFit="1" customWidth="1"/>
    <col min="6921" max="6921" width="2.85546875" style="1963" customWidth="1"/>
    <col min="6922" max="6922" width="12.42578125" style="1963" bestFit="1" customWidth="1"/>
    <col min="6923" max="6928" width="16.5703125" style="1963"/>
    <col min="6929" max="6929" width="6.42578125" style="1963" customWidth="1"/>
    <col min="6930" max="7159" width="16.5703125" style="1963"/>
    <col min="7160" max="7160" width="6.42578125" style="1963" customWidth="1"/>
    <col min="7161" max="7161" width="48.7109375" style="1963" customWidth="1"/>
    <col min="7162" max="7162" width="9.7109375" style="1963" customWidth="1"/>
    <col min="7163" max="7163" width="1.7109375" style="1963" customWidth="1"/>
    <col min="7164" max="7164" width="10.85546875" style="1963" customWidth="1"/>
    <col min="7165" max="7165" width="5.140625" style="1963" customWidth="1"/>
    <col min="7166" max="7166" width="12.42578125" style="1963" customWidth="1"/>
    <col min="7167" max="7167" width="2.85546875" style="1963" customWidth="1"/>
    <col min="7168" max="7168" width="13" style="1963" customWidth="1"/>
    <col min="7169" max="7169" width="3.85546875" style="1963" customWidth="1"/>
    <col min="7170" max="7170" width="13.7109375" style="1963" bestFit="1" customWidth="1"/>
    <col min="7171" max="7171" width="1.7109375" style="1963" customWidth="1"/>
    <col min="7172" max="7172" width="13.140625" style="1963" customWidth="1"/>
    <col min="7173" max="7173" width="1.7109375" style="1963" customWidth="1"/>
    <col min="7174" max="7174" width="10.85546875" style="1963" customWidth="1"/>
    <col min="7175" max="7175" width="4.5703125" style="1963" bestFit="1" customWidth="1"/>
    <col min="7176" max="7176" width="13.140625" style="1963" bestFit="1" customWidth="1"/>
    <col min="7177" max="7177" width="2.85546875" style="1963" customWidth="1"/>
    <col min="7178" max="7178" width="12.42578125" style="1963" bestFit="1" customWidth="1"/>
    <col min="7179" max="7184" width="16.5703125" style="1963"/>
    <col min="7185" max="7185" width="6.42578125" style="1963" customWidth="1"/>
    <col min="7186" max="7415" width="16.5703125" style="1963"/>
    <col min="7416" max="7416" width="6.42578125" style="1963" customWidth="1"/>
    <col min="7417" max="7417" width="48.7109375" style="1963" customWidth="1"/>
    <col min="7418" max="7418" width="9.7109375" style="1963" customWidth="1"/>
    <col min="7419" max="7419" width="1.7109375" style="1963" customWidth="1"/>
    <col min="7420" max="7420" width="10.85546875" style="1963" customWidth="1"/>
    <col min="7421" max="7421" width="5.140625" style="1963" customWidth="1"/>
    <col min="7422" max="7422" width="12.42578125" style="1963" customWidth="1"/>
    <col min="7423" max="7423" width="2.85546875" style="1963" customWidth="1"/>
    <col min="7424" max="7424" width="13" style="1963" customWidth="1"/>
    <col min="7425" max="7425" width="3.85546875" style="1963" customWidth="1"/>
    <col min="7426" max="7426" width="13.7109375" style="1963" bestFit="1" customWidth="1"/>
    <col min="7427" max="7427" width="1.7109375" style="1963" customWidth="1"/>
    <col min="7428" max="7428" width="13.140625" style="1963" customWidth="1"/>
    <col min="7429" max="7429" width="1.7109375" style="1963" customWidth="1"/>
    <col min="7430" max="7430" width="10.85546875" style="1963" customWidth="1"/>
    <col min="7431" max="7431" width="4.5703125" style="1963" bestFit="1" customWidth="1"/>
    <col min="7432" max="7432" width="13.140625" style="1963" bestFit="1" customWidth="1"/>
    <col min="7433" max="7433" width="2.85546875" style="1963" customWidth="1"/>
    <col min="7434" max="7434" width="12.42578125" style="1963" bestFit="1" customWidth="1"/>
    <col min="7435" max="7440" width="16.5703125" style="1963"/>
    <col min="7441" max="7441" width="6.42578125" style="1963" customWidth="1"/>
    <col min="7442" max="7671" width="16.5703125" style="1963"/>
    <col min="7672" max="7672" width="6.42578125" style="1963" customWidth="1"/>
    <col min="7673" max="7673" width="48.7109375" style="1963" customWidth="1"/>
    <col min="7674" max="7674" width="9.7109375" style="1963" customWidth="1"/>
    <col min="7675" max="7675" width="1.7109375" style="1963" customWidth="1"/>
    <col min="7676" max="7676" width="10.85546875" style="1963" customWidth="1"/>
    <col min="7677" max="7677" width="5.140625" style="1963" customWidth="1"/>
    <col min="7678" max="7678" width="12.42578125" style="1963" customWidth="1"/>
    <col min="7679" max="7679" width="2.85546875" style="1963" customWidth="1"/>
    <col min="7680" max="7680" width="13" style="1963" customWidth="1"/>
    <col min="7681" max="7681" width="3.85546875" style="1963" customWidth="1"/>
    <col min="7682" max="7682" width="13.7109375" style="1963" bestFit="1" customWidth="1"/>
    <col min="7683" max="7683" width="1.7109375" style="1963" customWidth="1"/>
    <col min="7684" max="7684" width="13.140625" style="1963" customWidth="1"/>
    <col min="7685" max="7685" width="1.7109375" style="1963" customWidth="1"/>
    <col min="7686" max="7686" width="10.85546875" style="1963" customWidth="1"/>
    <col min="7687" max="7687" width="4.5703125" style="1963" bestFit="1" customWidth="1"/>
    <col min="7688" max="7688" width="13.140625" style="1963" bestFit="1" customWidth="1"/>
    <col min="7689" max="7689" width="2.85546875" style="1963" customWidth="1"/>
    <col min="7690" max="7690" width="12.42578125" style="1963" bestFit="1" customWidth="1"/>
    <col min="7691" max="7696" width="16.5703125" style="1963"/>
    <col min="7697" max="7697" width="6.42578125" style="1963" customWidth="1"/>
    <col min="7698" max="7927" width="16.5703125" style="1963"/>
    <col min="7928" max="7928" width="6.42578125" style="1963" customWidth="1"/>
    <col min="7929" max="7929" width="48.7109375" style="1963" customWidth="1"/>
    <col min="7930" max="7930" width="9.7109375" style="1963" customWidth="1"/>
    <col min="7931" max="7931" width="1.7109375" style="1963" customWidth="1"/>
    <col min="7932" max="7932" width="10.85546875" style="1963" customWidth="1"/>
    <col min="7933" max="7933" width="5.140625" style="1963" customWidth="1"/>
    <col min="7934" max="7934" width="12.42578125" style="1963" customWidth="1"/>
    <col min="7935" max="7935" width="2.85546875" style="1963" customWidth="1"/>
    <col min="7936" max="7936" width="13" style="1963" customWidth="1"/>
    <col min="7937" max="7937" width="3.85546875" style="1963" customWidth="1"/>
    <col min="7938" max="7938" width="13.7109375" style="1963" bestFit="1" customWidth="1"/>
    <col min="7939" max="7939" width="1.7109375" style="1963" customWidth="1"/>
    <col min="7940" max="7940" width="13.140625" style="1963" customWidth="1"/>
    <col min="7941" max="7941" width="1.7109375" style="1963" customWidth="1"/>
    <col min="7942" max="7942" width="10.85546875" style="1963" customWidth="1"/>
    <col min="7943" max="7943" width="4.5703125" style="1963" bestFit="1" customWidth="1"/>
    <col min="7944" max="7944" width="13.140625" style="1963" bestFit="1" customWidth="1"/>
    <col min="7945" max="7945" width="2.85546875" style="1963" customWidth="1"/>
    <col min="7946" max="7946" width="12.42578125" style="1963" bestFit="1" customWidth="1"/>
    <col min="7947" max="7952" width="16.5703125" style="1963"/>
    <col min="7953" max="7953" width="6.42578125" style="1963" customWidth="1"/>
    <col min="7954" max="8183" width="16.5703125" style="1963"/>
    <col min="8184" max="8184" width="6.42578125" style="1963" customWidth="1"/>
    <col min="8185" max="8185" width="48.7109375" style="1963" customWidth="1"/>
    <col min="8186" max="8186" width="9.7109375" style="1963" customWidth="1"/>
    <col min="8187" max="8187" width="1.7109375" style="1963" customWidth="1"/>
    <col min="8188" max="8188" width="10.85546875" style="1963" customWidth="1"/>
    <col min="8189" max="8189" width="5.140625" style="1963" customWidth="1"/>
    <col min="8190" max="8190" width="12.42578125" style="1963" customWidth="1"/>
    <col min="8191" max="8191" width="2.85546875" style="1963" customWidth="1"/>
    <col min="8192" max="8192" width="13" style="1963" customWidth="1"/>
    <col min="8193" max="8193" width="3.85546875" style="1963" customWidth="1"/>
    <col min="8194" max="8194" width="13.7109375" style="1963" bestFit="1" customWidth="1"/>
    <col min="8195" max="8195" width="1.7109375" style="1963" customWidth="1"/>
    <col min="8196" max="8196" width="13.140625" style="1963" customWidth="1"/>
    <col min="8197" max="8197" width="1.7109375" style="1963" customWidth="1"/>
    <col min="8198" max="8198" width="10.85546875" style="1963" customWidth="1"/>
    <col min="8199" max="8199" width="4.5703125" style="1963" bestFit="1" customWidth="1"/>
    <col min="8200" max="8200" width="13.140625" style="1963" bestFit="1" customWidth="1"/>
    <col min="8201" max="8201" width="2.85546875" style="1963" customWidth="1"/>
    <col min="8202" max="8202" width="12.42578125" style="1963" bestFit="1" customWidth="1"/>
    <col min="8203" max="8208" width="16.5703125" style="1963"/>
    <col min="8209" max="8209" width="6.42578125" style="1963" customWidth="1"/>
    <col min="8210" max="8439" width="16.5703125" style="1963"/>
    <col min="8440" max="8440" width="6.42578125" style="1963" customWidth="1"/>
    <col min="8441" max="8441" width="48.7109375" style="1963" customWidth="1"/>
    <col min="8442" max="8442" width="9.7109375" style="1963" customWidth="1"/>
    <col min="8443" max="8443" width="1.7109375" style="1963" customWidth="1"/>
    <col min="8444" max="8444" width="10.85546875" style="1963" customWidth="1"/>
    <col min="8445" max="8445" width="5.140625" style="1963" customWidth="1"/>
    <col min="8446" max="8446" width="12.42578125" style="1963" customWidth="1"/>
    <col min="8447" max="8447" width="2.85546875" style="1963" customWidth="1"/>
    <col min="8448" max="8448" width="13" style="1963" customWidth="1"/>
    <col min="8449" max="8449" width="3.85546875" style="1963" customWidth="1"/>
    <col min="8450" max="8450" width="13.7109375" style="1963" bestFit="1" customWidth="1"/>
    <col min="8451" max="8451" width="1.7109375" style="1963" customWidth="1"/>
    <col min="8452" max="8452" width="13.140625" style="1963" customWidth="1"/>
    <col min="8453" max="8453" width="1.7109375" style="1963" customWidth="1"/>
    <col min="8454" max="8454" width="10.85546875" style="1963" customWidth="1"/>
    <col min="8455" max="8455" width="4.5703125" style="1963" bestFit="1" customWidth="1"/>
    <col min="8456" max="8456" width="13.140625" style="1963" bestFit="1" customWidth="1"/>
    <col min="8457" max="8457" width="2.85546875" style="1963" customWidth="1"/>
    <col min="8458" max="8458" width="12.42578125" style="1963" bestFit="1" customWidth="1"/>
    <col min="8459" max="8464" width="16.5703125" style="1963"/>
    <col min="8465" max="8465" width="6.42578125" style="1963" customWidth="1"/>
    <col min="8466" max="8695" width="16.5703125" style="1963"/>
    <col min="8696" max="8696" width="6.42578125" style="1963" customWidth="1"/>
    <col min="8697" max="8697" width="48.7109375" style="1963" customWidth="1"/>
    <col min="8698" max="8698" width="9.7109375" style="1963" customWidth="1"/>
    <col min="8699" max="8699" width="1.7109375" style="1963" customWidth="1"/>
    <col min="8700" max="8700" width="10.85546875" style="1963" customWidth="1"/>
    <col min="8701" max="8701" width="5.140625" style="1963" customWidth="1"/>
    <col min="8702" max="8702" width="12.42578125" style="1963" customWidth="1"/>
    <col min="8703" max="8703" width="2.85546875" style="1963" customWidth="1"/>
    <col min="8704" max="8704" width="13" style="1963" customWidth="1"/>
    <col min="8705" max="8705" width="3.85546875" style="1963" customWidth="1"/>
    <col min="8706" max="8706" width="13.7109375" style="1963" bestFit="1" customWidth="1"/>
    <col min="8707" max="8707" width="1.7109375" style="1963" customWidth="1"/>
    <col min="8708" max="8708" width="13.140625" style="1963" customWidth="1"/>
    <col min="8709" max="8709" width="1.7109375" style="1963" customWidth="1"/>
    <col min="8710" max="8710" width="10.85546875" style="1963" customWidth="1"/>
    <col min="8711" max="8711" width="4.5703125" style="1963" bestFit="1" customWidth="1"/>
    <col min="8712" max="8712" width="13.140625" style="1963" bestFit="1" customWidth="1"/>
    <col min="8713" max="8713" width="2.85546875" style="1963" customWidth="1"/>
    <col min="8714" max="8714" width="12.42578125" style="1963" bestFit="1" customWidth="1"/>
    <col min="8715" max="8720" width="16.5703125" style="1963"/>
    <col min="8721" max="8721" width="6.42578125" style="1963" customWidth="1"/>
    <col min="8722" max="8951" width="16.5703125" style="1963"/>
    <col min="8952" max="8952" width="6.42578125" style="1963" customWidth="1"/>
    <col min="8953" max="8953" width="48.7109375" style="1963" customWidth="1"/>
    <col min="8954" max="8954" width="9.7109375" style="1963" customWidth="1"/>
    <col min="8955" max="8955" width="1.7109375" style="1963" customWidth="1"/>
    <col min="8956" max="8956" width="10.85546875" style="1963" customWidth="1"/>
    <col min="8957" max="8957" width="5.140625" style="1963" customWidth="1"/>
    <col min="8958" max="8958" width="12.42578125" style="1963" customWidth="1"/>
    <col min="8959" max="8959" width="2.85546875" style="1963" customWidth="1"/>
    <col min="8960" max="8960" width="13" style="1963" customWidth="1"/>
    <col min="8961" max="8961" width="3.85546875" style="1963" customWidth="1"/>
    <col min="8962" max="8962" width="13.7109375" style="1963" bestFit="1" customWidth="1"/>
    <col min="8963" max="8963" width="1.7109375" style="1963" customWidth="1"/>
    <col min="8964" max="8964" width="13.140625" style="1963" customWidth="1"/>
    <col min="8965" max="8965" width="1.7109375" style="1963" customWidth="1"/>
    <col min="8966" max="8966" width="10.85546875" style="1963" customWidth="1"/>
    <col min="8967" max="8967" width="4.5703125" style="1963" bestFit="1" customWidth="1"/>
    <col min="8968" max="8968" width="13.140625" style="1963" bestFit="1" customWidth="1"/>
    <col min="8969" max="8969" width="2.85546875" style="1963" customWidth="1"/>
    <col min="8970" max="8970" width="12.42578125" style="1963" bestFit="1" customWidth="1"/>
    <col min="8971" max="8976" width="16.5703125" style="1963"/>
    <col min="8977" max="8977" width="6.42578125" style="1963" customWidth="1"/>
    <col min="8978" max="9207" width="16.5703125" style="1963"/>
    <col min="9208" max="9208" width="6.42578125" style="1963" customWidth="1"/>
    <col min="9209" max="9209" width="48.7109375" style="1963" customWidth="1"/>
    <col min="9210" max="9210" width="9.7109375" style="1963" customWidth="1"/>
    <col min="9211" max="9211" width="1.7109375" style="1963" customWidth="1"/>
    <col min="9212" max="9212" width="10.85546875" style="1963" customWidth="1"/>
    <col min="9213" max="9213" width="5.140625" style="1963" customWidth="1"/>
    <col min="9214" max="9214" width="12.42578125" style="1963" customWidth="1"/>
    <col min="9215" max="9215" width="2.85546875" style="1963" customWidth="1"/>
    <col min="9216" max="9216" width="13" style="1963" customWidth="1"/>
    <col min="9217" max="9217" width="3.85546875" style="1963" customWidth="1"/>
    <col min="9218" max="9218" width="13.7109375" style="1963" bestFit="1" customWidth="1"/>
    <col min="9219" max="9219" width="1.7109375" style="1963" customWidth="1"/>
    <col min="9220" max="9220" width="13.140625" style="1963" customWidth="1"/>
    <col min="9221" max="9221" width="1.7109375" style="1963" customWidth="1"/>
    <col min="9222" max="9222" width="10.85546875" style="1963" customWidth="1"/>
    <col min="9223" max="9223" width="4.5703125" style="1963" bestFit="1" customWidth="1"/>
    <col min="9224" max="9224" width="13.140625" style="1963" bestFit="1" customWidth="1"/>
    <col min="9225" max="9225" width="2.85546875" style="1963" customWidth="1"/>
    <col min="9226" max="9226" width="12.42578125" style="1963" bestFit="1" customWidth="1"/>
    <col min="9227" max="9232" width="16.5703125" style="1963"/>
    <col min="9233" max="9233" width="6.42578125" style="1963" customWidth="1"/>
    <col min="9234" max="9463" width="16.5703125" style="1963"/>
    <col min="9464" max="9464" width="6.42578125" style="1963" customWidth="1"/>
    <col min="9465" max="9465" width="48.7109375" style="1963" customWidth="1"/>
    <col min="9466" max="9466" width="9.7109375" style="1963" customWidth="1"/>
    <col min="9467" max="9467" width="1.7109375" style="1963" customWidth="1"/>
    <col min="9468" max="9468" width="10.85546875" style="1963" customWidth="1"/>
    <col min="9469" max="9469" width="5.140625" style="1963" customWidth="1"/>
    <col min="9470" max="9470" width="12.42578125" style="1963" customWidth="1"/>
    <col min="9471" max="9471" width="2.85546875" style="1963" customWidth="1"/>
    <col min="9472" max="9472" width="13" style="1963" customWidth="1"/>
    <col min="9473" max="9473" width="3.85546875" style="1963" customWidth="1"/>
    <col min="9474" max="9474" width="13.7109375" style="1963" bestFit="1" customWidth="1"/>
    <col min="9475" max="9475" width="1.7109375" style="1963" customWidth="1"/>
    <col min="9476" max="9476" width="13.140625" style="1963" customWidth="1"/>
    <col min="9477" max="9477" width="1.7109375" style="1963" customWidth="1"/>
    <col min="9478" max="9478" width="10.85546875" style="1963" customWidth="1"/>
    <col min="9479" max="9479" width="4.5703125" style="1963" bestFit="1" customWidth="1"/>
    <col min="9480" max="9480" width="13.140625" style="1963" bestFit="1" customWidth="1"/>
    <col min="9481" max="9481" width="2.85546875" style="1963" customWidth="1"/>
    <col min="9482" max="9482" width="12.42578125" style="1963" bestFit="1" customWidth="1"/>
    <col min="9483" max="9488" width="16.5703125" style="1963"/>
    <col min="9489" max="9489" width="6.42578125" style="1963" customWidth="1"/>
    <col min="9490" max="9719" width="16.5703125" style="1963"/>
    <col min="9720" max="9720" width="6.42578125" style="1963" customWidth="1"/>
    <col min="9721" max="9721" width="48.7109375" style="1963" customWidth="1"/>
    <col min="9722" max="9722" width="9.7109375" style="1963" customWidth="1"/>
    <col min="9723" max="9723" width="1.7109375" style="1963" customWidth="1"/>
    <col min="9724" max="9724" width="10.85546875" style="1963" customWidth="1"/>
    <col min="9725" max="9725" width="5.140625" style="1963" customWidth="1"/>
    <col min="9726" max="9726" width="12.42578125" style="1963" customWidth="1"/>
    <col min="9727" max="9727" width="2.85546875" style="1963" customWidth="1"/>
    <col min="9728" max="9728" width="13" style="1963" customWidth="1"/>
    <col min="9729" max="9729" width="3.85546875" style="1963" customWidth="1"/>
    <col min="9730" max="9730" width="13.7109375" style="1963" bestFit="1" customWidth="1"/>
    <col min="9731" max="9731" width="1.7109375" style="1963" customWidth="1"/>
    <col min="9732" max="9732" width="13.140625" style="1963" customWidth="1"/>
    <col min="9733" max="9733" width="1.7109375" style="1963" customWidth="1"/>
    <col min="9734" max="9734" width="10.85546875" style="1963" customWidth="1"/>
    <col min="9735" max="9735" width="4.5703125" style="1963" bestFit="1" customWidth="1"/>
    <col min="9736" max="9736" width="13.140625" style="1963" bestFit="1" customWidth="1"/>
    <col min="9737" max="9737" width="2.85546875" style="1963" customWidth="1"/>
    <col min="9738" max="9738" width="12.42578125" style="1963" bestFit="1" customWidth="1"/>
    <col min="9739" max="9744" width="16.5703125" style="1963"/>
    <col min="9745" max="9745" width="6.42578125" style="1963" customWidth="1"/>
    <col min="9746" max="9975" width="16.5703125" style="1963"/>
    <col min="9976" max="9976" width="6.42578125" style="1963" customWidth="1"/>
    <col min="9977" max="9977" width="48.7109375" style="1963" customWidth="1"/>
    <col min="9978" max="9978" width="9.7109375" style="1963" customWidth="1"/>
    <col min="9979" max="9979" width="1.7109375" style="1963" customWidth="1"/>
    <col min="9980" max="9980" width="10.85546875" style="1963" customWidth="1"/>
    <col min="9981" max="9981" width="5.140625" style="1963" customWidth="1"/>
    <col min="9982" max="9982" width="12.42578125" style="1963" customWidth="1"/>
    <col min="9983" max="9983" width="2.85546875" style="1963" customWidth="1"/>
    <col min="9984" max="9984" width="13" style="1963" customWidth="1"/>
    <col min="9985" max="9985" width="3.85546875" style="1963" customWidth="1"/>
    <col min="9986" max="9986" width="13.7109375" style="1963" bestFit="1" customWidth="1"/>
    <col min="9987" max="9987" width="1.7109375" style="1963" customWidth="1"/>
    <col min="9988" max="9988" width="13.140625" style="1963" customWidth="1"/>
    <col min="9989" max="9989" width="1.7109375" style="1963" customWidth="1"/>
    <col min="9990" max="9990" width="10.85546875" style="1963" customWidth="1"/>
    <col min="9991" max="9991" width="4.5703125" style="1963" bestFit="1" customWidth="1"/>
    <col min="9992" max="9992" width="13.140625" style="1963" bestFit="1" customWidth="1"/>
    <col min="9993" max="9993" width="2.85546875" style="1963" customWidth="1"/>
    <col min="9994" max="9994" width="12.42578125" style="1963" bestFit="1" customWidth="1"/>
    <col min="9995" max="10000" width="16.5703125" style="1963"/>
    <col min="10001" max="10001" width="6.42578125" style="1963" customWidth="1"/>
    <col min="10002" max="10231" width="16.5703125" style="1963"/>
    <col min="10232" max="10232" width="6.42578125" style="1963" customWidth="1"/>
    <col min="10233" max="10233" width="48.7109375" style="1963" customWidth="1"/>
    <col min="10234" max="10234" width="9.7109375" style="1963" customWidth="1"/>
    <col min="10235" max="10235" width="1.7109375" style="1963" customWidth="1"/>
    <col min="10236" max="10236" width="10.85546875" style="1963" customWidth="1"/>
    <col min="10237" max="10237" width="5.140625" style="1963" customWidth="1"/>
    <col min="10238" max="10238" width="12.42578125" style="1963" customWidth="1"/>
    <col min="10239" max="10239" width="2.85546875" style="1963" customWidth="1"/>
    <col min="10240" max="10240" width="13" style="1963" customWidth="1"/>
    <col min="10241" max="10241" width="3.85546875" style="1963" customWidth="1"/>
    <col min="10242" max="10242" width="13.7109375" style="1963" bestFit="1" customWidth="1"/>
    <col min="10243" max="10243" width="1.7109375" style="1963" customWidth="1"/>
    <col min="10244" max="10244" width="13.140625" style="1963" customWidth="1"/>
    <col min="10245" max="10245" width="1.7109375" style="1963" customWidth="1"/>
    <col min="10246" max="10246" width="10.85546875" style="1963" customWidth="1"/>
    <col min="10247" max="10247" width="4.5703125" style="1963" bestFit="1" customWidth="1"/>
    <col min="10248" max="10248" width="13.140625" style="1963" bestFit="1" customWidth="1"/>
    <col min="10249" max="10249" width="2.85546875" style="1963" customWidth="1"/>
    <col min="10250" max="10250" width="12.42578125" style="1963" bestFit="1" customWidth="1"/>
    <col min="10251" max="10256" width="16.5703125" style="1963"/>
    <col min="10257" max="10257" width="6.42578125" style="1963" customWidth="1"/>
    <col min="10258" max="10487" width="16.5703125" style="1963"/>
    <col min="10488" max="10488" width="6.42578125" style="1963" customWidth="1"/>
    <col min="10489" max="10489" width="48.7109375" style="1963" customWidth="1"/>
    <col min="10490" max="10490" width="9.7109375" style="1963" customWidth="1"/>
    <col min="10491" max="10491" width="1.7109375" style="1963" customWidth="1"/>
    <col min="10492" max="10492" width="10.85546875" style="1963" customWidth="1"/>
    <col min="10493" max="10493" width="5.140625" style="1963" customWidth="1"/>
    <col min="10494" max="10494" width="12.42578125" style="1963" customWidth="1"/>
    <col min="10495" max="10495" width="2.85546875" style="1963" customWidth="1"/>
    <col min="10496" max="10496" width="13" style="1963" customWidth="1"/>
    <col min="10497" max="10497" width="3.85546875" style="1963" customWidth="1"/>
    <col min="10498" max="10498" width="13.7109375" style="1963" bestFit="1" customWidth="1"/>
    <col min="10499" max="10499" width="1.7109375" style="1963" customWidth="1"/>
    <col min="10500" max="10500" width="13.140625" style="1963" customWidth="1"/>
    <col min="10501" max="10501" width="1.7109375" style="1963" customWidth="1"/>
    <col min="10502" max="10502" width="10.85546875" style="1963" customWidth="1"/>
    <col min="10503" max="10503" width="4.5703125" style="1963" bestFit="1" customWidth="1"/>
    <col min="10504" max="10504" width="13.140625" style="1963" bestFit="1" customWidth="1"/>
    <col min="10505" max="10505" width="2.85546875" style="1963" customWidth="1"/>
    <col min="10506" max="10506" width="12.42578125" style="1963" bestFit="1" customWidth="1"/>
    <col min="10507" max="10512" width="16.5703125" style="1963"/>
    <col min="10513" max="10513" width="6.42578125" style="1963" customWidth="1"/>
    <col min="10514" max="10743" width="16.5703125" style="1963"/>
    <col min="10744" max="10744" width="6.42578125" style="1963" customWidth="1"/>
    <col min="10745" max="10745" width="48.7109375" style="1963" customWidth="1"/>
    <col min="10746" max="10746" width="9.7109375" style="1963" customWidth="1"/>
    <col min="10747" max="10747" width="1.7109375" style="1963" customWidth="1"/>
    <col min="10748" max="10748" width="10.85546875" style="1963" customWidth="1"/>
    <col min="10749" max="10749" width="5.140625" style="1963" customWidth="1"/>
    <col min="10750" max="10750" width="12.42578125" style="1963" customWidth="1"/>
    <col min="10751" max="10751" width="2.85546875" style="1963" customWidth="1"/>
    <col min="10752" max="10752" width="13" style="1963" customWidth="1"/>
    <col min="10753" max="10753" width="3.85546875" style="1963" customWidth="1"/>
    <col min="10754" max="10754" width="13.7109375" style="1963" bestFit="1" customWidth="1"/>
    <col min="10755" max="10755" width="1.7109375" style="1963" customWidth="1"/>
    <col min="10756" max="10756" width="13.140625" style="1963" customWidth="1"/>
    <col min="10757" max="10757" width="1.7109375" style="1963" customWidth="1"/>
    <col min="10758" max="10758" width="10.85546875" style="1963" customWidth="1"/>
    <col min="10759" max="10759" width="4.5703125" style="1963" bestFit="1" customWidth="1"/>
    <col min="10760" max="10760" width="13.140625" style="1963" bestFit="1" customWidth="1"/>
    <col min="10761" max="10761" width="2.85546875" style="1963" customWidth="1"/>
    <col min="10762" max="10762" width="12.42578125" style="1963" bestFit="1" customWidth="1"/>
    <col min="10763" max="10768" width="16.5703125" style="1963"/>
    <col min="10769" max="10769" width="6.42578125" style="1963" customWidth="1"/>
    <col min="10770" max="10999" width="16.5703125" style="1963"/>
    <col min="11000" max="11000" width="6.42578125" style="1963" customWidth="1"/>
    <col min="11001" max="11001" width="48.7109375" style="1963" customWidth="1"/>
    <col min="11002" max="11002" width="9.7109375" style="1963" customWidth="1"/>
    <col min="11003" max="11003" width="1.7109375" style="1963" customWidth="1"/>
    <col min="11004" max="11004" width="10.85546875" style="1963" customWidth="1"/>
    <col min="11005" max="11005" width="5.140625" style="1963" customWidth="1"/>
    <col min="11006" max="11006" width="12.42578125" style="1963" customWidth="1"/>
    <col min="11007" max="11007" width="2.85546875" style="1963" customWidth="1"/>
    <col min="11008" max="11008" width="13" style="1963" customWidth="1"/>
    <col min="11009" max="11009" width="3.85546875" style="1963" customWidth="1"/>
    <col min="11010" max="11010" width="13.7109375" style="1963" bestFit="1" customWidth="1"/>
    <col min="11011" max="11011" width="1.7109375" style="1963" customWidth="1"/>
    <col min="11012" max="11012" width="13.140625" style="1963" customWidth="1"/>
    <col min="11013" max="11013" width="1.7109375" style="1963" customWidth="1"/>
    <col min="11014" max="11014" width="10.85546875" style="1963" customWidth="1"/>
    <col min="11015" max="11015" width="4.5703125" style="1963" bestFit="1" customWidth="1"/>
    <col min="11016" max="11016" width="13.140625" style="1963" bestFit="1" customWidth="1"/>
    <col min="11017" max="11017" width="2.85546875" style="1963" customWidth="1"/>
    <col min="11018" max="11018" width="12.42578125" style="1963" bestFit="1" customWidth="1"/>
    <col min="11019" max="11024" width="16.5703125" style="1963"/>
    <col min="11025" max="11025" width="6.42578125" style="1963" customWidth="1"/>
    <col min="11026" max="11255" width="16.5703125" style="1963"/>
    <col min="11256" max="11256" width="6.42578125" style="1963" customWidth="1"/>
    <col min="11257" max="11257" width="48.7109375" style="1963" customWidth="1"/>
    <col min="11258" max="11258" width="9.7109375" style="1963" customWidth="1"/>
    <col min="11259" max="11259" width="1.7109375" style="1963" customWidth="1"/>
    <col min="11260" max="11260" width="10.85546875" style="1963" customWidth="1"/>
    <col min="11261" max="11261" width="5.140625" style="1963" customWidth="1"/>
    <col min="11262" max="11262" width="12.42578125" style="1963" customWidth="1"/>
    <col min="11263" max="11263" width="2.85546875" style="1963" customWidth="1"/>
    <col min="11264" max="11264" width="13" style="1963" customWidth="1"/>
    <col min="11265" max="11265" width="3.85546875" style="1963" customWidth="1"/>
    <col min="11266" max="11266" width="13.7109375" style="1963" bestFit="1" customWidth="1"/>
    <col min="11267" max="11267" width="1.7109375" style="1963" customWidth="1"/>
    <col min="11268" max="11268" width="13.140625" style="1963" customWidth="1"/>
    <col min="11269" max="11269" width="1.7109375" style="1963" customWidth="1"/>
    <col min="11270" max="11270" width="10.85546875" style="1963" customWidth="1"/>
    <col min="11271" max="11271" width="4.5703125" style="1963" bestFit="1" customWidth="1"/>
    <col min="11272" max="11272" width="13.140625" style="1963" bestFit="1" customWidth="1"/>
    <col min="11273" max="11273" width="2.85546875" style="1963" customWidth="1"/>
    <col min="11274" max="11274" width="12.42578125" style="1963" bestFit="1" customWidth="1"/>
    <col min="11275" max="11280" width="16.5703125" style="1963"/>
    <col min="11281" max="11281" width="6.42578125" style="1963" customWidth="1"/>
    <col min="11282" max="11511" width="16.5703125" style="1963"/>
    <col min="11512" max="11512" width="6.42578125" style="1963" customWidth="1"/>
    <col min="11513" max="11513" width="48.7109375" style="1963" customWidth="1"/>
    <col min="11514" max="11514" width="9.7109375" style="1963" customWidth="1"/>
    <col min="11515" max="11515" width="1.7109375" style="1963" customWidth="1"/>
    <col min="11516" max="11516" width="10.85546875" style="1963" customWidth="1"/>
    <col min="11517" max="11517" width="5.140625" style="1963" customWidth="1"/>
    <col min="11518" max="11518" width="12.42578125" style="1963" customWidth="1"/>
    <col min="11519" max="11519" width="2.85546875" style="1963" customWidth="1"/>
    <col min="11520" max="11520" width="13" style="1963" customWidth="1"/>
    <col min="11521" max="11521" width="3.85546875" style="1963" customWidth="1"/>
    <col min="11522" max="11522" width="13.7109375" style="1963" bestFit="1" customWidth="1"/>
    <col min="11523" max="11523" width="1.7109375" style="1963" customWidth="1"/>
    <col min="11524" max="11524" width="13.140625" style="1963" customWidth="1"/>
    <col min="11525" max="11525" width="1.7109375" style="1963" customWidth="1"/>
    <col min="11526" max="11526" width="10.85546875" style="1963" customWidth="1"/>
    <col min="11527" max="11527" width="4.5703125" style="1963" bestFit="1" customWidth="1"/>
    <col min="11528" max="11528" width="13.140625" style="1963" bestFit="1" customWidth="1"/>
    <col min="11529" max="11529" width="2.85546875" style="1963" customWidth="1"/>
    <col min="11530" max="11530" width="12.42578125" style="1963" bestFit="1" customWidth="1"/>
    <col min="11531" max="11536" width="16.5703125" style="1963"/>
    <col min="11537" max="11537" width="6.42578125" style="1963" customWidth="1"/>
    <col min="11538" max="11767" width="16.5703125" style="1963"/>
    <col min="11768" max="11768" width="6.42578125" style="1963" customWidth="1"/>
    <col min="11769" max="11769" width="48.7109375" style="1963" customWidth="1"/>
    <col min="11770" max="11770" width="9.7109375" style="1963" customWidth="1"/>
    <col min="11771" max="11771" width="1.7109375" style="1963" customWidth="1"/>
    <col min="11772" max="11772" width="10.85546875" style="1963" customWidth="1"/>
    <col min="11773" max="11773" width="5.140625" style="1963" customWidth="1"/>
    <col min="11774" max="11774" width="12.42578125" style="1963" customWidth="1"/>
    <col min="11775" max="11775" width="2.85546875" style="1963" customWidth="1"/>
    <col min="11776" max="11776" width="13" style="1963" customWidth="1"/>
    <col min="11777" max="11777" width="3.85546875" style="1963" customWidth="1"/>
    <col min="11778" max="11778" width="13.7109375" style="1963" bestFit="1" customWidth="1"/>
    <col min="11779" max="11779" width="1.7109375" style="1963" customWidth="1"/>
    <col min="11780" max="11780" width="13.140625" style="1963" customWidth="1"/>
    <col min="11781" max="11781" width="1.7109375" style="1963" customWidth="1"/>
    <col min="11782" max="11782" width="10.85546875" style="1963" customWidth="1"/>
    <col min="11783" max="11783" width="4.5703125" style="1963" bestFit="1" customWidth="1"/>
    <col min="11784" max="11784" width="13.140625" style="1963" bestFit="1" customWidth="1"/>
    <col min="11785" max="11785" width="2.85546875" style="1963" customWidth="1"/>
    <col min="11786" max="11786" width="12.42578125" style="1963" bestFit="1" customWidth="1"/>
    <col min="11787" max="11792" width="16.5703125" style="1963"/>
    <col min="11793" max="11793" width="6.42578125" style="1963" customWidth="1"/>
    <col min="11794" max="12023" width="16.5703125" style="1963"/>
    <col min="12024" max="12024" width="6.42578125" style="1963" customWidth="1"/>
    <col min="12025" max="12025" width="48.7109375" style="1963" customWidth="1"/>
    <col min="12026" max="12026" width="9.7109375" style="1963" customWidth="1"/>
    <col min="12027" max="12027" width="1.7109375" style="1963" customWidth="1"/>
    <col min="12028" max="12028" width="10.85546875" style="1963" customWidth="1"/>
    <col min="12029" max="12029" width="5.140625" style="1963" customWidth="1"/>
    <col min="12030" max="12030" width="12.42578125" style="1963" customWidth="1"/>
    <col min="12031" max="12031" width="2.85546875" style="1963" customWidth="1"/>
    <col min="12032" max="12032" width="13" style="1963" customWidth="1"/>
    <col min="12033" max="12033" width="3.85546875" style="1963" customWidth="1"/>
    <col min="12034" max="12034" width="13.7109375" style="1963" bestFit="1" customWidth="1"/>
    <col min="12035" max="12035" width="1.7109375" style="1963" customWidth="1"/>
    <col min="12036" max="12036" width="13.140625" style="1963" customWidth="1"/>
    <col min="12037" max="12037" width="1.7109375" style="1963" customWidth="1"/>
    <col min="12038" max="12038" width="10.85546875" style="1963" customWidth="1"/>
    <col min="12039" max="12039" width="4.5703125" style="1963" bestFit="1" customWidth="1"/>
    <col min="12040" max="12040" width="13.140625" style="1963" bestFit="1" customWidth="1"/>
    <col min="12041" max="12041" width="2.85546875" style="1963" customWidth="1"/>
    <col min="12042" max="12042" width="12.42578125" style="1963" bestFit="1" customWidth="1"/>
    <col min="12043" max="12048" width="16.5703125" style="1963"/>
    <col min="12049" max="12049" width="6.42578125" style="1963" customWidth="1"/>
    <col min="12050" max="12279" width="16.5703125" style="1963"/>
    <col min="12280" max="12280" width="6.42578125" style="1963" customWidth="1"/>
    <col min="12281" max="12281" width="48.7109375" style="1963" customWidth="1"/>
    <col min="12282" max="12282" width="9.7109375" style="1963" customWidth="1"/>
    <col min="12283" max="12283" width="1.7109375" style="1963" customWidth="1"/>
    <col min="12284" max="12284" width="10.85546875" style="1963" customWidth="1"/>
    <col min="12285" max="12285" width="5.140625" style="1963" customWidth="1"/>
    <col min="12286" max="12286" width="12.42578125" style="1963" customWidth="1"/>
    <col min="12287" max="12287" width="2.85546875" style="1963" customWidth="1"/>
    <col min="12288" max="12288" width="13" style="1963" customWidth="1"/>
    <col min="12289" max="12289" width="3.85546875" style="1963" customWidth="1"/>
    <col min="12290" max="12290" width="13.7109375" style="1963" bestFit="1" customWidth="1"/>
    <col min="12291" max="12291" width="1.7109375" style="1963" customWidth="1"/>
    <col min="12292" max="12292" width="13.140625" style="1963" customWidth="1"/>
    <col min="12293" max="12293" width="1.7109375" style="1963" customWidth="1"/>
    <col min="12294" max="12294" width="10.85546875" style="1963" customWidth="1"/>
    <col min="12295" max="12295" width="4.5703125" style="1963" bestFit="1" customWidth="1"/>
    <col min="12296" max="12296" width="13.140625" style="1963" bestFit="1" customWidth="1"/>
    <col min="12297" max="12297" width="2.85546875" style="1963" customWidth="1"/>
    <col min="12298" max="12298" width="12.42578125" style="1963" bestFit="1" customWidth="1"/>
    <col min="12299" max="12304" width="16.5703125" style="1963"/>
    <col min="12305" max="12305" width="6.42578125" style="1963" customWidth="1"/>
    <col min="12306" max="12535" width="16.5703125" style="1963"/>
    <col min="12536" max="12536" width="6.42578125" style="1963" customWidth="1"/>
    <col min="12537" max="12537" width="48.7109375" style="1963" customWidth="1"/>
    <col min="12538" max="12538" width="9.7109375" style="1963" customWidth="1"/>
    <col min="12539" max="12539" width="1.7109375" style="1963" customWidth="1"/>
    <col min="12540" max="12540" width="10.85546875" style="1963" customWidth="1"/>
    <col min="12541" max="12541" width="5.140625" style="1963" customWidth="1"/>
    <col min="12542" max="12542" width="12.42578125" style="1963" customWidth="1"/>
    <col min="12543" max="12543" width="2.85546875" style="1963" customWidth="1"/>
    <col min="12544" max="12544" width="13" style="1963" customWidth="1"/>
    <col min="12545" max="12545" width="3.85546875" style="1963" customWidth="1"/>
    <col min="12546" max="12546" width="13.7109375" style="1963" bestFit="1" customWidth="1"/>
    <col min="12547" max="12547" width="1.7109375" style="1963" customWidth="1"/>
    <col min="12548" max="12548" width="13.140625" style="1963" customWidth="1"/>
    <col min="12549" max="12549" width="1.7109375" style="1963" customWidth="1"/>
    <col min="12550" max="12550" width="10.85546875" style="1963" customWidth="1"/>
    <col min="12551" max="12551" width="4.5703125" style="1963" bestFit="1" customWidth="1"/>
    <col min="12552" max="12552" width="13.140625" style="1963" bestFit="1" customWidth="1"/>
    <col min="12553" max="12553" width="2.85546875" style="1963" customWidth="1"/>
    <col min="12554" max="12554" width="12.42578125" style="1963" bestFit="1" customWidth="1"/>
    <col min="12555" max="12560" width="16.5703125" style="1963"/>
    <col min="12561" max="12561" width="6.42578125" style="1963" customWidth="1"/>
    <col min="12562" max="12791" width="16.5703125" style="1963"/>
    <col min="12792" max="12792" width="6.42578125" style="1963" customWidth="1"/>
    <col min="12793" max="12793" width="48.7109375" style="1963" customWidth="1"/>
    <col min="12794" max="12794" width="9.7109375" style="1963" customWidth="1"/>
    <col min="12795" max="12795" width="1.7109375" style="1963" customWidth="1"/>
    <col min="12796" max="12796" width="10.85546875" style="1963" customWidth="1"/>
    <col min="12797" max="12797" width="5.140625" style="1963" customWidth="1"/>
    <col min="12798" max="12798" width="12.42578125" style="1963" customWidth="1"/>
    <col min="12799" max="12799" width="2.85546875" style="1963" customWidth="1"/>
    <col min="12800" max="12800" width="13" style="1963" customWidth="1"/>
    <col min="12801" max="12801" width="3.85546875" style="1963" customWidth="1"/>
    <col min="12802" max="12802" width="13.7109375" style="1963" bestFit="1" customWidth="1"/>
    <col min="12803" max="12803" width="1.7109375" style="1963" customWidth="1"/>
    <col min="12804" max="12804" width="13.140625" style="1963" customWidth="1"/>
    <col min="12805" max="12805" width="1.7109375" style="1963" customWidth="1"/>
    <col min="12806" max="12806" width="10.85546875" style="1963" customWidth="1"/>
    <col min="12807" max="12807" width="4.5703125" style="1963" bestFit="1" customWidth="1"/>
    <col min="12808" max="12808" width="13.140625" style="1963" bestFit="1" customWidth="1"/>
    <col min="12809" max="12809" width="2.85546875" style="1963" customWidth="1"/>
    <col min="12810" max="12810" width="12.42578125" style="1963" bestFit="1" customWidth="1"/>
    <col min="12811" max="12816" width="16.5703125" style="1963"/>
    <col min="12817" max="12817" width="6.42578125" style="1963" customWidth="1"/>
    <col min="12818" max="13047" width="16.5703125" style="1963"/>
    <col min="13048" max="13048" width="6.42578125" style="1963" customWidth="1"/>
    <col min="13049" max="13049" width="48.7109375" style="1963" customWidth="1"/>
    <col min="13050" max="13050" width="9.7109375" style="1963" customWidth="1"/>
    <col min="13051" max="13051" width="1.7109375" style="1963" customWidth="1"/>
    <col min="13052" max="13052" width="10.85546875" style="1963" customWidth="1"/>
    <col min="13053" max="13053" width="5.140625" style="1963" customWidth="1"/>
    <col min="13054" max="13054" width="12.42578125" style="1963" customWidth="1"/>
    <col min="13055" max="13055" width="2.85546875" style="1963" customWidth="1"/>
    <col min="13056" max="13056" width="13" style="1963" customWidth="1"/>
    <col min="13057" max="13057" width="3.85546875" style="1963" customWidth="1"/>
    <col min="13058" max="13058" width="13.7109375" style="1963" bestFit="1" customWidth="1"/>
    <col min="13059" max="13059" width="1.7109375" style="1963" customWidth="1"/>
    <col min="13060" max="13060" width="13.140625" style="1963" customWidth="1"/>
    <col min="13061" max="13061" width="1.7109375" style="1963" customWidth="1"/>
    <col min="13062" max="13062" width="10.85546875" style="1963" customWidth="1"/>
    <col min="13063" max="13063" width="4.5703125" style="1963" bestFit="1" customWidth="1"/>
    <col min="13064" max="13064" width="13.140625" style="1963" bestFit="1" customWidth="1"/>
    <col min="13065" max="13065" width="2.85546875" style="1963" customWidth="1"/>
    <col min="13066" max="13066" width="12.42578125" style="1963" bestFit="1" customWidth="1"/>
    <col min="13067" max="13072" width="16.5703125" style="1963"/>
    <col min="13073" max="13073" width="6.42578125" style="1963" customWidth="1"/>
    <col min="13074" max="13303" width="16.5703125" style="1963"/>
    <col min="13304" max="13304" width="6.42578125" style="1963" customWidth="1"/>
    <col min="13305" max="13305" width="48.7109375" style="1963" customWidth="1"/>
    <col min="13306" max="13306" width="9.7109375" style="1963" customWidth="1"/>
    <col min="13307" max="13307" width="1.7109375" style="1963" customWidth="1"/>
    <col min="13308" max="13308" width="10.85546875" style="1963" customWidth="1"/>
    <col min="13309" max="13309" width="5.140625" style="1963" customWidth="1"/>
    <col min="13310" max="13310" width="12.42578125" style="1963" customWidth="1"/>
    <col min="13311" max="13311" width="2.85546875" style="1963" customWidth="1"/>
    <col min="13312" max="13312" width="13" style="1963" customWidth="1"/>
    <col min="13313" max="13313" width="3.85546875" style="1963" customWidth="1"/>
    <col min="13314" max="13314" width="13.7109375" style="1963" bestFit="1" customWidth="1"/>
    <col min="13315" max="13315" width="1.7109375" style="1963" customWidth="1"/>
    <col min="13316" max="13316" width="13.140625" style="1963" customWidth="1"/>
    <col min="13317" max="13317" width="1.7109375" style="1963" customWidth="1"/>
    <col min="13318" max="13318" width="10.85546875" style="1963" customWidth="1"/>
    <col min="13319" max="13319" width="4.5703125" style="1963" bestFit="1" customWidth="1"/>
    <col min="13320" max="13320" width="13.140625" style="1963" bestFit="1" customWidth="1"/>
    <col min="13321" max="13321" width="2.85546875" style="1963" customWidth="1"/>
    <col min="13322" max="13322" width="12.42578125" style="1963" bestFit="1" customWidth="1"/>
    <col min="13323" max="13328" width="16.5703125" style="1963"/>
    <col min="13329" max="13329" width="6.42578125" style="1963" customWidth="1"/>
    <col min="13330" max="13559" width="16.5703125" style="1963"/>
    <col min="13560" max="13560" width="6.42578125" style="1963" customWidth="1"/>
    <col min="13561" max="13561" width="48.7109375" style="1963" customWidth="1"/>
    <col min="13562" max="13562" width="9.7109375" style="1963" customWidth="1"/>
    <col min="13563" max="13563" width="1.7109375" style="1963" customWidth="1"/>
    <col min="13564" max="13564" width="10.85546875" style="1963" customWidth="1"/>
    <col min="13565" max="13565" width="5.140625" style="1963" customWidth="1"/>
    <col min="13566" max="13566" width="12.42578125" style="1963" customWidth="1"/>
    <col min="13567" max="13567" width="2.85546875" style="1963" customWidth="1"/>
    <col min="13568" max="13568" width="13" style="1963" customWidth="1"/>
    <col min="13569" max="13569" width="3.85546875" style="1963" customWidth="1"/>
    <col min="13570" max="13570" width="13.7109375" style="1963" bestFit="1" customWidth="1"/>
    <col min="13571" max="13571" width="1.7109375" style="1963" customWidth="1"/>
    <col min="13572" max="13572" width="13.140625" style="1963" customWidth="1"/>
    <col min="13573" max="13573" width="1.7109375" style="1963" customWidth="1"/>
    <col min="13574" max="13574" width="10.85546875" style="1963" customWidth="1"/>
    <col min="13575" max="13575" width="4.5703125" style="1963" bestFit="1" customWidth="1"/>
    <col min="13576" max="13576" width="13.140625" style="1963" bestFit="1" customWidth="1"/>
    <col min="13577" max="13577" width="2.85546875" style="1963" customWidth="1"/>
    <col min="13578" max="13578" width="12.42578125" style="1963" bestFit="1" customWidth="1"/>
    <col min="13579" max="13584" width="16.5703125" style="1963"/>
    <col min="13585" max="13585" width="6.42578125" style="1963" customWidth="1"/>
    <col min="13586" max="13815" width="16.5703125" style="1963"/>
    <col min="13816" max="13816" width="6.42578125" style="1963" customWidth="1"/>
    <col min="13817" max="13817" width="48.7109375" style="1963" customWidth="1"/>
    <col min="13818" max="13818" width="9.7109375" style="1963" customWidth="1"/>
    <col min="13819" max="13819" width="1.7109375" style="1963" customWidth="1"/>
    <col min="13820" max="13820" width="10.85546875" style="1963" customWidth="1"/>
    <col min="13821" max="13821" width="5.140625" style="1963" customWidth="1"/>
    <col min="13822" max="13822" width="12.42578125" style="1963" customWidth="1"/>
    <col min="13823" max="13823" width="2.85546875" style="1963" customWidth="1"/>
    <col min="13824" max="13824" width="13" style="1963" customWidth="1"/>
    <col min="13825" max="13825" width="3.85546875" style="1963" customWidth="1"/>
    <col min="13826" max="13826" width="13.7109375" style="1963" bestFit="1" customWidth="1"/>
    <col min="13827" max="13827" width="1.7109375" style="1963" customWidth="1"/>
    <col min="13828" max="13828" width="13.140625" style="1963" customWidth="1"/>
    <col min="13829" max="13829" width="1.7109375" style="1963" customWidth="1"/>
    <col min="13830" max="13830" width="10.85546875" style="1963" customWidth="1"/>
    <col min="13831" max="13831" width="4.5703125" style="1963" bestFit="1" customWidth="1"/>
    <col min="13832" max="13832" width="13.140625" style="1963" bestFit="1" customWidth="1"/>
    <col min="13833" max="13833" width="2.85546875" style="1963" customWidth="1"/>
    <col min="13834" max="13834" width="12.42578125" style="1963" bestFit="1" customWidth="1"/>
    <col min="13835" max="13840" width="16.5703125" style="1963"/>
    <col min="13841" max="13841" width="6.42578125" style="1963" customWidth="1"/>
    <col min="13842" max="14071" width="16.5703125" style="1963"/>
    <col min="14072" max="14072" width="6.42578125" style="1963" customWidth="1"/>
    <col min="14073" max="14073" width="48.7109375" style="1963" customWidth="1"/>
    <col min="14074" max="14074" width="9.7109375" style="1963" customWidth="1"/>
    <col min="14075" max="14075" width="1.7109375" style="1963" customWidth="1"/>
    <col min="14076" max="14076" width="10.85546875" style="1963" customWidth="1"/>
    <col min="14077" max="14077" width="5.140625" style="1963" customWidth="1"/>
    <col min="14078" max="14078" width="12.42578125" style="1963" customWidth="1"/>
    <col min="14079" max="14079" width="2.85546875" style="1963" customWidth="1"/>
    <col min="14080" max="14080" width="13" style="1963" customWidth="1"/>
    <col min="14081" max="14081" width="3.85546875" style="1963" customWidth="1"/>
    <col min="14082" max="14082" width="13.7109375" style="1963" bestFit="1" customWidth="1"/>
    <col min="14083" max="14083" width="1.7109375" style="1963" customWidth="1"/>
    <col min="14084" max="14084" width="13.140625" style="1963" customWidth="1"/>
    <col min="14085" max="14085" width="1.7109375" style="1963" customWidth="1"/>
    <col min="14086" max="14086" width="10.85546875" style="1963" customWidth="1"/>
    <col min="14087" max="14087" width="4.5703125" style="1963" bestFit="1" customWidth="1"/>
    <col min="14088" max="14088" width="13.140625" style="1963" bestFit="1" customWidth="1"/>
    <col min="14089" max="14089" width="2.85546875" style="1963" customWidth="1"/>
    <col min="14090" max="14090" width="12.42578125" style="1963" bestFit="1" customWidth="1"/>
    <col min="14091" max="14096" width="16.5703125" style="1963"/>
    <col min="14097" max="14097" width="6.42578125" style="1963" customWidth="1"/>
    <col min="14098" max="14327" width="16.5703125" style="1963"/>
    <col min="14328" max="14328" width="6.42578125" style="1963" customWidth="1"/>
    <col min="14329" max="14329" width="48.7109375" style="1963" customWidth="1"/>
    <col min="14330" max="14330" width="9.7109375" style="1963" customWidth="1"/>
    <col min="14331" max="14331" width="1.7109375" style="1963" customWidth="1"/>
    <col min="14332" max="14332" width="10.85546875" style="1963" customWidth="1"/>
    <col min="14333" max="14333" width="5.140625" style="1963" customWidth="1"/>
    <col min="14334" max="14334" width="12.42578125" style="1963" customWidth="1"/>
    <col min="14335" max="14335" width="2.85546875" style="1963" customWidth="1"/>
    <col min="14336" max="14336" width="13" style="1963" customWidth="1"/>
    <col min="14337" max="14337" width="3.85546875" style="1963" customWidth="1"/>
    <col min="14338" max="14338" width="13.7109375" style="1963" bestFit="1" customWidth="1"/>
    <col min="14339" max="14339" width="1.7109375" style="1963" customWidth="1"/>
    <col min="14340" max="14340" width="13.140625" style="1963" customWidth="1"/>
    <col min="14341" max="14341" width="1.7109375" style="1963" customWidth="1"/>
    <col min="14342" max="14342" width="10.85546875" style="1963" customWidth="1"/>
    <col min="14343" max="14343" width="4.5703125" style="1963" bestFit="1" customWidth="1"/>
    <col min="14344" max="14344" width="13.140625" style="1963" bestFit="1" customWidth="1"/>
    <col min="14345" max="14345" width="2.85546875" style="1963" customWidth="1"/>
    <col min="14346" max="14346" width="12.42578125" style="1963" bestFit="1" customWidth="1"/>
    <col min="14347" max="14352" width="16.5703125" style="1963"/>
    <col min="14353" max="14353" width="6.42578125" style="1963" customWidth="1"/>
    <col min="14354" max="14583" width="16.5703125" style="1963"/>
    <col min="14584" max="14584" width="6.42578125" style="1963" customWidth="1"/>
    <col min="14585" max="14585" width="48.7109375" style="1963" customWidth="1"/>
    <col min="14586" max="14586" width="9.7109375" style="1963" customWidth="1"/>
    <col min="14587" max="14587" width="1.7109375" style="1963" customWidth="1"/>
    <col min="14588" max="14588" width="10.85546875" style="1963" customWidth="1"/>
    <col min="14589" max="14589" width="5.140625" style="1963" customWidth="1"/>
    <col min="14590" max="14590" width="12.42578125" style="1963" customWidth="1"/>
    <col min="14591" max="14591" width="2.85546875" style="1963" customWidth="1"/>
    <col min="14592" max="14592" width="13" style="1963" customWidth="1"/>
    <col min="14593" max="14593" width="3.85546875" style="1963" customWidth="1"/>
    <col min="14594" max="14594" width="13.7109375" style="1963" bestFit="1" customWidth="1"/>
    <col min="14595" max="14595" width="1.7109375" style="1963" customWidth="1"/>
    <col min="14596" max="14596" width="13.140625" style="1963" customWidth="1"/>
    <col min="14597" max="14597" width="1.7109375" style="1963" customWidth="1"/>
    <col min="14598" max="14598" width="10.85546875" style="1963" customWidth="1"/>
    <col min="14599" max="14599" width="4.5703125" style="1963" bestFit="1" customWidth="1"/>
    <col min="14600" max="14600" width="13.140625" style="1963" bestFit="1" customWidth="1"/>
    <col min="14601" max="14601" width="2.85546875" style="1963" customWidth="1"/>
    <col min="14602" max="14602" width="12.42578125" style="1963" bestFit="1" customWidth="1"/>
    <col min="14603" max="14608" width="16.5703125" style="1963"/>
    <col min="14609" max="14609" width="6.42578125" style="1963" customWidth="1"/>
    <col min="14610" max="14839" width="16.5703125" style="1963"/>
    <col min="14840" max="14840" width="6.42578125" style="1963" customWidth="1"/>
    <col min="14841" max="14841" width="48.7109375" style="1963" customWidth="1"/>
    <col min="14842" max="14842" width="9.7109375" style="1963" customWidth="1"/>
    <col min="14843" max="14843" width="1.7109375" style="1963" customWidth="1"/>
    <col min="14844" max="14844" width="10.85546875" style="1963" customWidth="1"/>
    <col min="14845" max="14845" width="5.140625" style="1963" customWidth="1"/>
    <col min="14846" max="14846" width="12.42578125" style="1963" customWidth="1"/>
    <col min="14847" max="14847" width="2.85546875" style="1963" customWidth="1"/>
    <col min="14848" max="14848" width="13" style="1963" customWidth="1"/>
    <col min="14849" max="14849" width="3.85546875" style="1963" customWidth="1"/>
    <col min="14850" max="14850" width="13.7109375" style="1963" bestFit="1" customWidth="1"/>
    <col min="14851" max="14851" width="1.7109375" style="1963" customWidth="1"/>
    <col min="14852" max="14852" width="13.140625" style="1963" customWidth="1"/>
    <col min="14853" max="14853" width="1.7109375" style="1963" customWidth="1"/>
    <col min="14854" max="14854" width="10.85546875" style="1963" customWidth="1"/>
    <col min="14855" max="14855" width="4.5703125" style="1963" bestFit="1" customWidth="1"/>
    <col min="14856" max="14856" width="13.140625" style="1963" bestFit="1" customWidth="1"/>
    <col min="14857" max="14857" width="2.85546875" style="1963" customWidth="1"/>
    <col min="14858" max="14858" width="12.42578125" style="1963" bestFit="1" customWidth="1"/>
    <col min="14859" max="14864" width="16.5703125" style="1963"/>
    <col min="14865" max="14865" width="6.42578125" style="1963" customWidth="1"/>
    <col min="14866" max="15095" width="16.5703125" style="1963"/>
    <col min="15096" max="15096" width="6.42578125" style="1963" customWidth="1"/>
    <col min="15097" max="15097" width="48.7109375" style="1963" customWidth="1"/>
    <col min="15098" max="15098" width="9.7109375" style="1963" customWidth="1"/>
    <col min="15099" max="15099" width="1.7109375" style="1963" customWidth="1"/>
    <col min="15100" max="15100" width="10.85546875" style="1963" customWidth="1"/>
    <col min="15101" max="15101" width="5.140625" style="1963" customWidth="1"/>
    <col min="15102" max="15102" width="12.42578125" style="1963" customWidth="1"/>
    <col min="15103" max="15103" width="2.85546875" style="1963" customWidth="1"/>
    <col min="15104" max="15104" width="13" style="1963" customWidth="1"/>
    <col min="15105" max="15105" width="3.85546875" style="1963" customWidth="1"/>
    <col min="15106" max="15106" width="13.7109375" style="1963" bestFit="1" customWidth="1"/>
    <col min="15107" max="15107" width="1.7109375" style="1963" customWidth="1"/>
    <col min="15108" max="15108" width="13.140625" style="1963" customWidth="1"/>
    <col min="15109" max="15109" width="1.7109375" style="1963" customWidth="1"/>
    <col min="15110" max="15110" width="10.85546875" style="1963" customWidth="1"/>
    <col min="15111" max="15111" width="4.5703125" style="1963" bestFit="1" customWidth="1"/>
    <col min="15112" max="15112" width="13.140625" style="1963" bestFit="1" customWidth="1"/>
    <col min="15113" max="15113" width="2.85546875" style="1963" customWidth="1"/>
    <col min="15114" max="15114" width="12.42578125" style="1963" bestFit="1" customWidth="1"/>
    <col min="15115" max="15120" width="16.5703125" style="1963"/>
    <col min="15121" max="15121" width="6.42578125" style="1963" customWidth="1"/>
    <col min="15122" max="15351" width="16.5703125" style="1963"/>
    <col min="15352" max="15352" width="6.42578125" style="1963" customWidth="1"/>
    <col min="15353" max="15353" width="48.7109375" style="1963" customWidth="1"/>
    <col min="15354" max="15354" width="9.7109375" style="1963" customWidth="1"/>
    <col min="15355" max="15355" width="1.7109375" style="1963" customWidth="1"/>
    <col min="15356" max="15356" width="10.85546875" style="1963" customWidth="1"/>
    <col min="15357" max="15357" width="5.140625" style="1963" customWidth="1"/>
    <col min="15358" max="15358" width="12.42578125" style="1963" customWidth="1"/>
    <col min="15359" max="15359" width="2.85546875" style="1963" customWidth="1"/>
    <col min="15360" max="15360" width="13" style="1963" customWidth="1"/>
    <col min="15361" max="15361" width="3.85546875" style="1963" customWidth="1"/>
    <col min="15362" max="15362" width="13.7109375" style="1963" bestFit="1" customWidth="1"/>
    <col min="15363" max="15363" width="1.7109375" style="1963" customWidth="1"/>
    <col min="15364" max="15364" width="13.140625" style="1963" customWidth="1"/>
    <col min="15365" max="15365" width="1.7109375" style="1963" customWidth="1"/>
    <col min="15366" max="15366" width="10.85546875" style="1963" customWidth="1"/>
    <col min="15367" max="15367" width="4.5703125" style="1963" bestFit="1" customWidth="1"/>
    <col min="15368" max="15368" width="13.140625" style="1963" bestFit="1" customWidth="1"/>
    <col min="15369" max="15369" width="2.85546875" style="1963" customWidth="1"/>
    <col min="15370" max="15370" width="12.42578125" style="1963" bestFit="1" customWidth="1"/>
    <col min="15371" max="15376" width="16.5703125" style="1963"/>
    <col min="15377" max="15377" width="6.42578125" style="1963" customWidth="1"/>
    <col min="15378" max="15607" width="16.5703125" style="1963"/>
    <col min="15608" max="15608" width="6.42578125" style="1963" customWidth="1"/>
    <col min="15609" max="15609" width="48.7109375" style="1963" customWidth="1"/>
    <col min="15610" max="15610" width="9.7109375" style="1963" customWidth="1"/>
    <col min="15611" max="15611" width="1.7109375" style="1963" customWidth="1"/>
    <col min="15612" max="15612" width="10.85546875" style="1963" customWidth="1"/>
    <col min="15613" max="15613" width="5.140625" style="1963" customWidth="1"/>
    <col min="15614" max="15614" width="12.42578125" style="1963" customWidth="1"/>
    <col min="15615" max="15615" width="2.85546875" style="1963" customWidth="1"/>
    <col min="15616" max="15616" width="13" style="1963" customWidth="1"/>
    <col min="15617" max="15617" width="3.85546875" style="1963" customWidth="1"/>
    <col min="15618" max="15618" width="13.7109375" style="1963" bestFit="1" customWidth="1"/>
    <col min="15619" max="15619" width="1.7109375" style="1963" customWidth="1"/>
    <col min="15620" max="15620" width="13.140625" style="1963" customWidth="1"/>
    <col min="15621" max="15621" width="1.7109375" style="1963" customWidth="1"/>
    <col min="15622" max="15622" width="10.85546875" style="1963" customWidth="1"/>
    <col min="15623" max="15623" width="4.5703125" style="1963" bestFit="1" customWidth="1"/>
    <col min="15624" max="15624" width="13.140625" style="1963" bestFit="1" customWidth="1"/>
    <col min="15625" max="15625" width="2.85546875" style="1963" customWidth="1"/>
    <col min="15626" max="15626" width="12.42578125" style="1963" bestFit="1" customWidth="1"/>
    <col min="15627" max="15632" width="16.5703125" style="1963"/>
    <col min="15633" max="15633" width="6.42578125" style="1963" customWidth="1"/>
    <col min="15634" max="15863" width="16.5703125" style="1963"/>
    <col min="15864" max="15864" width="6.42578125" style="1963" customWidth="1"/>
    <col min="15865" max="15865" width="48.7109375" style="1963" customWidth="1"/>
    <col min="15866" max="15866" width="9.7109375" style="1963" customWidth="1"/>
    <col min="15867" max="15867" width="1.7109375" style="1963" customWidth="1"/>
    <col min="15868" max="15868" width="10.85546875" style="1963" customWidth="1"/>
    <col min="15869" max="15869" width="5.140625" style="1963" customWidth="1"/>
    <col min="15870" max="15870" width="12.42578125" style="1963" customWidth="1"/>
    <col min="15871" max="15871" width="2.85546875" style="1963" customWidth="1"/>
    <col min="15872" max="15872" width="13" style="1963" customWidth="1"/>
    <col min="15873" max="15873" width="3.85546875" style="1963" customWidth="1"/>
    <col min="15874" max="15874" width="13.7109375" style="1963" bestFit="1" customWidth="1"/>
    <col min="15875" max="15875" width="1.7109375" style="1963" customWidth="1"/>
    <col min="15876" max="15876" width="13.140625" style="1963" customWidth="1"/>
    <col min="15877" max="15877" width="1.7109375" style="1963" customWidth="1"/>
    <col min="15878" max="15878" width="10.85546875" style="1963" customWidth="1"/>
    <col min="15879" max="15879" width="4.5703125" style="1963" bestFit="1" customWidth="1"/>
    <col min="15880" max="15880" width="13.140625" style="1963" bestFit="1" customWidth="1"/>
    <col min="15881" max="15881" width="2.85546875" style="1963" customWidth="1"/>
    <col min="15882" max="15882" width="12.42578125" style="1963" bestFit="1" customWidth="1"/>
    <col min="15883" max="15888" width="16.5703125" style="1963"/>
    <col min="15889" max="15889" width="6.42578125" style="1963" customWidth="1"/>
    <col min="15890" max="16119" width="16.5703125" style="1963"/>
    <col min="16120" max="16120" width="6.42578125" style="1963" customWidth="1"/>
    <col min="16121" max="16121" width="48.7109375" style="1963" customWidth="1"/>
    <col min="16122" max="16122" width="9.7109375" style="1963" customWidth="1"/>
    <col min="16123" max="16123" width="1.7109375" style="1963" customWidth="1"/>
    <col min="16124" max="16124" width="10.85546875" style="1963" customWidth="1"/>
    <col min="16125" max="16125" width="5.140625" style="1963" customWidth="1"/>
    <col min="16126" max="16126" width="12.42578125" style="1963" customWidth="1"/>
    <col min="16127" max="16127" width="2.85546875" style="1963" customWidth="1"/>
    <col min="16128" max="16128" width="13" style="1963" customWidth="1"/>
    <col min="16129" max="16129" width="3.85546875" style="1963" customWidth="1"/>
    <col min="16130" max="16130" width="13.7109375" style="1963" bestFit="1" customWidth="1"/>
    <col min="16131" max="16131" width="1.7109375" style="1963" customWidth="1"/>
    <col min="16132" max="16132" width="13.140625" style="1963" customWidth="1"/>
    <col min="16133" max="16133" width="1.7109375" style="1963" customWidth="1"/>
    <col min="16134" max="16134" width="10.85546875" style="1963" customWidth="1"/>
    <col min="16135" max="16135" width="4.5703125" style="1963" bestFit="1" customWidth="1"/>
    <col min="16136" max="16136" width="13.140625" style="1963" bestFit="1" customWidth="1"/>
    <col min="16137" max="16137" width="2.85546875" style="1963" customWidth="1"/>
    <col min="16138" max="16138" width="12.42578125" style="1963" bestFit="1" customWidth="1"/>
    <col min="16139" max="16144" width="16.5703125" style="1963"/>
    <col min="16145" max="16145" width="6.42578125" style="1963" customWidth="1"/>
    <col min="16146" max="16384" width="16.5703125" style="1963"/>
  </cols>
  <sheetData>
    <row r="1" spans="1:19" hidden="1" x14ac:dyDescent="0.2">
      <c r="A1" s="1957"/>
      <c r="B1" s="1957"/>
      <c r="C1" s="1957"/>
      <c r="D1" s="1957"/>
      <c r="E1" s="1957"/>
      <c r="F1" s="1957"/>
      <c r="G1" s="1957"/>
      <c r="H1" s="1957"/>
      <c r="I1" s="1958"/>
      <c r="J1" s="1959"/>
      <c r="K1" s="1960"/>
      <c r="L1" s="1960"/>
      <c r="M1" s="1961" t="s">
        <v>1231</v>
      </c>
      <c r="N1" s="1961"/>
      <c r="O1" s="1961"/>
      <c r="P1" s="1962"/>
      <c r="Q1" s="1961"/>
      <c r="R1" s="1961"/>
      <c r="S1" s="1961"/>
    </row>
    <row r="2" spans="1:19" hidden="1" x14ac:dyDescent="0.2">
      <c r="A2" s="1957"/>
      <c r="B2" s="1957"/>
      <c r="C2" s="1957"/>
      <c r="D2" s="1957"/>
      <c r="E2" s="1957"/>
      <c r="F2" s="1957"/>
      <c r="G2" s="1957"/>
      <c r="H2" s="1957"/>
      <c r="I2" s="1958"/>
      <c r="J2" s="1959"/>
      <c r="K2" s="1960"/>
      <c r="L2" s="1960"/>
      <c r="M2" s="1964"/>
      <c r="N2" s="1964"/>
      <c r="O2" s="1964" t="s">
        <v>1231</v>
      </c>
      <c r="P2" s="1964"/>
      <c r="Q2" s="1964" t="s">
        <v>1231</v>
      </c>
      <c r="R2" s="1965"/>
      <c r="S2" s="1964"/>
    </row>
    <row r="3" spans="1:19" ht="14.25" x14ac:dyDescent="0.2">
      <c r="A3" s="2554" t="s">
        <v>2102</v>
      </c>
      <c r="B3" s="2554"/>
      <c r="C3" s="2554"/>
      <c r="D3" s="2554"/>
      <c r="E3" s="2554"/>
      <c r="F3" s="2554"/>
      <c r="G3" s="2554"/>
      <c r="H3" s="2554"/>
      <c r="I3" s="2554"/>
      <c r="J3" s="2554"/>
      <c r="K3" s="2554"/>
      <c r="L3" s="2554"/>
      <c r="M3" s="2554"/>
      <c r="N3" s="2554"/>
      <c r="O3" s="2554"/>
      <c r="P3" s="2554"/>
      <c r="Q3" s="2554"/>
      <c r="R3" s="2554"/>
      <c r="S3" s="2554"/>
    </row>
    <row r="4" spans="1:19" ht="14.25" x14ac:dyDescent="0.2">
      <c r="A4" s="2554" t="s">
        <v>2082</v>
      </c>
      <c r="B4" s="2554"/>
      <c r="C4" s="2554"/>
      <c r="D4" s="2554"/>
      <c r="E4" s="2554"/>
      <c r="F4" s="2554"/>
      <c r="G4" s="2554"/>
      <c r="H4" s="2554"/>
      <c r="I4" s="2554"/>
      <c r="J4" s="2554"/>
      <c r="K4" s="2554"/>
      <c r="L4" s="2554"/>
      <c r="M4" s="2554"/>
      <c r="N4" s="2554"/>
      <c r="O4" s="2554"/>
      <c r="P4" s="2554"/>
      <c r="Q4" s="2554"/>
      <c r="R4" s="2554"/>
      <c r="S4" s="2554"/>
    </row>
    <row r="5" spans="1:19" ht="14.25" x14ac:dyDescent="0.2">
      <c r="A5" s="2554" t="s">
        <v>1281</v>
      </c>
      <c r="B5" s="2554"/>
      <c r="C5" s="2554"/>
      <c r="D5" s="2554"/>
      <c r="E5" s="2554"/>
      <c r="F5" s="2554"/>
      <c r="G5" s="2554"/>
      <c r="H5" s="2554"/>
      <c r="I5" s="2554"/>
      <c r="J5" s="2554"/>
      <c r="K5" s="2554"/>
      <c r="L5" s="2554"/>
      <c r="M5" s="2554"/>
      <c r="N5" s="2554"/>
      <c r="O5" s="2554"/>
      <c r="P5" s="2554"/>
      <c r="Q5" s="2554"/>
      <c r="R5" s="2554"/>
      <c r="S5" s="2554"/>
    </row>
    <row r="6" spans="1:19" ht="14.25" customHeight="1" x14ac:dyDescent="0.2">
      <c r="A6" s="2555" t="s">
        <v>2103</v>
      </c>
      <c r="B6" s="2555"/>
      <c r="C6" s="2555"/>
      <c r="D6" s="2555"/>
      <c r="E6" s="2555"/>
      <c r="F6" s="2555"/>
      <c r="G6" s="2555"/>
      <c r="H6" s="2555"/>
      <c r="I6" s="2555"/>
      <c r="J6" s="2555"/>
      <c r="K6" s="2555"/>
      <c r="L6" s="2555"/>
      <c r="M6" s="2555"/>
      <c r="N6" s="2555"/>
      <c r="O6" s="2555"/>
      <c r="P6" s="2555"/>
      <c r="Q6" s="2555"/>
      <c r="R6" s="2555"/>
      <c r="S6" s="2555"/>
    </row>
    <row r="7" spans="1:19" x14ac:dyDescent="0.2">
      <c r="A7" s="1966"/>
      <c r="B7" s="1966"/>
      <c r="C7" s="1966"/>
      <c r="D7" s="1966"/>
      <c r="E7" s="1966"/>
      <c r="F7" s="1966"/>
      <c r="G7" s="1967"/>
      <c r="H7" s="1968"/>
      <c r="I7" s="1967"/>
      <c r="J7" s="1969"/>
      <c r="K7" s="1967"/>
      <c r="L7" s="1968"/>
      <c r="M7" s="1968"/>
      <c r="N7" s="1968"/>
      <c r="O7" s="1968"/>
      <c r="P7" s="1969"/>
      <c r="Q7" s="1968"/>
      <c r="R7" s="1968"/>
      <c r="S7" s="1968"/>
    </row>
    <row r="8" spans="1:19" x14ac:dyDescent="0.2">
      <c r="A8" s="1966"/>
      <c r="B8" s="1966"/>
      <c r="C8" s="1966"/>
      <c r="D8" s="1966"/>
      <c r="E8" s="1966"/>
      <c r="F8" s="1966"/>
      <c r="G8" s="1967"/>
      <c r="H8" s="1968"/>
      <c r="I8" s="1967"/>
      <c r="J8" s="1969"/>
      <c r="K8" s="1967"/>
      <c r="L8" s="1968"/>
      <c r="M8" s="1968"/>
      <c r="N8" s="1968"/>
      <c r="O8" s="1968"/>
      <c r="P8" s="1969"/>
      <c r="Q8" s="1968"/>
      <c r="R8" s="1968"/>
      <c r="S8" s="1968"/>
    </row>
    <row r="9" spans="1:19" ht="16.149999999999999" customHeight="1" x14ac:dyDescent="0.2">
      <c r="A9" s="1969"/>
      <c r="B9" s="1967"/>
      <c r="C9" s="1968"/>
      <c r="D9" s="1968"/>
      <c r="E9" s="1969" t="s">
        <v>2104</v>
      </c>
      <c r="F9" s="1969"/>
      <c r="G9" s="1970" t="s">
        <v>2105</v>
      </c>
      <c r="H9" s="1970"/>
      <c r="I9" s="1970"/>
      <c r="J9" s="1969"/>
      <c r="K9" s="1970" t="s">
        <v>2106</v>
      </c>
      <c r="L9" s="1970"/>
      <c r="M9" s="1970"/>
      <c r="N9" s="1968"/>
      <c r="O9" s="1968"/>
      <c r="P9" s="1969"/>
      <c r="Q9" s="1968"/>
      <c r="R9" s="1968"/>
      <c r="S9" s="1968"/>
    </row>
    <row r="10" spans="1:19" ht="16.149999999999999" customHeight="1" x14ac:dyDescent="0.2">
      <c r="A10" s="1959"/>
      <c r="B10" s="1971"/>
      <c r="C10" s="1959" t="s">
        <v>1326</v>
      </c>
      <c r="D10" s="1958"/>
      <c r="E10" s="1959" t="s">
        <v>2107</v>
      </c>
      <c r="F10" s="1959"/>
      <c r="G10" s="1959" t="s">
        <v>2108</v>
      </c>
      <c r="H10" s="1958"/>
      <c r="I10" s="1972" t="s">
        <v>2109</v>
      </c>
      <c r="J10" s="1959"/>
      <c r="K10" s="1959" t="s">
        <v>2108</v>
      </c>
      <c r="L10" s="1958"/>
      <c r="M10" s="1972" t="str">
        <f>+I10</f>
        <v>7/1/17 -</v>
      </c>
      <c r="N10" s="1958"/>
      <c r="O10" s="1959" t="s">
        <v>1323</v>
      </c>
      <c r="P10" s="1959"/>
      <c r="Q10" s="1959" t="s">
        <v>2110</v>
      </c>
      <c r="R10" s="1958"/>
      <c r="S10" s="1971" t="s">
        <v>1231</v>
      </c>
    </row>
    <row r="11" spans="1:19" ht="16.149999999999999" customHeight="1" x14ac:dyDescent="0.2">
      <c r="A11" s="1971" t="s">
        <v>2111</v>
      </c>
      <c r="B11" s="1971"/>
      <c r="C11" s="1959" t="s">
        <v>2112</v>
      </c>
      <c r="D11" s="1958"/>
      <c r="E11" s="1959" t="s">
        <v>2112</v>
      </c>
      <c r="F11" s="1959"/>
      <c r="G11" s="1973" t="s">
        <v>2113</v>
      </c>
      <c r="H11" s="1958"/>
      <c r="I11" s="1973" t="s">
        <v>2114</v>
      </c>
      <c r="J11" s="1959"/>
      <c r="K11" s="1974" t="str">
        <f>+G11</f>
        <v>7/1/17</v>
      </c>
      <c r="L11" s="1958"/>
      <c r="M11" s="1974" t="str">
        <f>+I11</f>
        <v>6/30/18</v>
      </c>
      <c r="N11" s="1958"/>
      <c r="O11" s="1959" t="s">
        <v>2115</v>
      </c>
      <c r="P11" s="1959"/>
      <c r="Q11" s="1959" t="s">
        <v>1319</v>
      </c>
      <c r="R11" s="1958"/>
      <c r="S11" s="1959" t="s">
        <v>30</v>
      </c>
    </row>
    <row r="12" spans="1:19" ht="16.149999999999999" customHeight="1" x14ac:dyDescent="0.2">
      <c r="A12" s="1975" t="s">
        <v>2116</v>
      </c>
      <c r="B12" s="1958"/>
      <c r="C12" s="1976" t="s">
        <v>2117</v>
      </c>
      <c r="D12" s="1958"/>
      <c r="E12" s="1976" t="s">
        <v>2118</v>
      </c>
      <c r="F12" s="1959"/>
      <c r="G12" s="1977" t="s">
        <v>2119</v>
      </c>
      <c r="H12" s="1978"/>
      <c r="I12" s="1977" t="s">
        <v>2120</v>
      </c>
      <c r="J12" s="1979"/>
      <c r="K12" s="1977" t="s">
        <v>2121</v>
      </c>
      <c r="L12" s="1978"/>
      <c r="M12" s="1977" t="s">
        <v>2122</v>
      </c>
      <c r="N12" s="1978"/>
      <c r="O12" s="1977" t="s">
        <v>2123</v>
      </c>
      <c r="P12" s="1979"/>
      <c r="Q12" s="1977" t="s">
        <v>2124</v>
      </c>
      <c r="R12" s="1978"/>
      <c r="S12" s="1977" t="s">
        <v>2125</v>
      </c>
    </row>
    <row r="13" spans="1:19" x14ac:dyDescent="0.2">
      <c r="A13" s="1975"/>
      <c r="B13" s="1958"/>
      <c r="C13" s="1976"/>
      <c r="D13" s="1958"/>
      <c r="E13" s="1976"/>
      <c r="F13" s="1959"/>
      <c r="G13" s="1977"/>
      <c r="H13" s="1978"/>
      <c r="I13" s="1977"/>
      <c r="J13" s="1979"/>
      <c r="K13" s="1977"/>
      <c r="L13" s="1978"/>
      <c r="M13" s="1977"/>
      <c r="N13" s="1978"/>
      <c r="O13" s="1977"/>
      <c r="P13" s="1979"/>
      <c r="Q13" s="1977"/>
      <c r="R13" s="1978"/>
      <c r="S13" s="1977"/>
    </row>
    <row r="14" spans="1:19" x14ac:dyDescent="0.2">
      <c r="A14" s="1980" t="s">
        <v>2126</v>
      </c>
      <c r="B14" s="1958"/>
      <c r="C14" s="1976"/>
      <c r="D14" s="1958"/>
      <c r="E14" s="1976"/>
      <c r="F14" s="1959"/>
      <c r="G14" s="1977"/>
      <c r="H14" s="1978"/>
      <c r="I14" s="1977"/>
      <c r="J14" s="1979"/>
      <c r="K14" s="1977"/>
      <c r="L14" s="1978"/>
      <c r="M14" s="1977"/>
      <c r="N14" s="1978"/>
      <c r="O14" s="1977"/>
      <c r="P14" s="1979"/>
      <c r="Q14" s="1977"/>
      <c r="R14" s="1978"/>
      <c r="S14" s="1977"/>
    </row>
    <row r="15" spans="1:19" x14ac:dyDescent="0.2">
      <c r="A15" s="1980" t="s">
        <v>2127</v>
      </c>
      <c r="B15" s="1958"/>
      <c r="C15" s="1976"/>
      <c r="D15" s="1958"/>
      <c r="E15" s="1976"/>
      <c r="F15" s="1959"/>
      <c r="G15" s="1977"/>
      <c r="H15" s="1978"/>
      <c r="I15" s="1977"/>
      <c r="J15" s="1979"/>
      <c r="K15" s="1977"/>
      <c r="L15" s="1978"/>
      <c r="M15" s="1977"/>
      <c r="N15" s="1978"/>
      <c r="O15" s="1977"/>
      <c r="P15" s="1979"/>
      <c r="Q15" s="1977"/>
      <c r="R15" s="1978"/>
      <c r="S15" s="1977"/>
    </row>
    <row r="16" spans="1:19" x14ac:dyDescent="0.2">
      <c r="A16" s="1982" t="s">
        <v>2128</v>
      </c>
      <c r="B16" s="1960"/>
      <c r="C16" s="1958"/>
      <c r="D16" s="1958"/>
      <c r="E16" s="1958"/>
      <c r="F16" s="1959"/>
      <c r="G16" s="1978"/>
      <c r="H16" s="1978"/>
      <c r="I16" s="1978"/>
      <c r="J16" s="1979"/>
      <c r="K16" s="1978"/>
      <c r="L16" s="1978"/>
      <c r="M16" s="1978"/>
      <c r="N16" s="1978"/>
      <c r="O16" s="1978"/>
      <c r="P16" s="1979"/>
      <c r="Q16" s="1978" t="s">
        <v>1231</v>
      </c>
      <c r="R16" s="1978"/>
      <c r="S16" s="1978"/>
    </row>
    <row r="17" spans="1:19" x14ac:dyDescent="0.2">
      <c r="A17" s="1959"/>
      <c r="B17" s="1958"/>
      <c r="C17" s="1958"/>
      <c r="D17" s="1958"/>
      <c r="E17" s="1958"/>
      <c r="F17" s="1959"/>
      <c r="G17" s="1983"/>
      <c r="H17" s="1958"/>
      <c r="I17" s="1958"/>
      <c r="J17" s="1959"/>
      <c r="K17" s="1958"/>
      <c r="L17" s="1958"/>
      <c r="M17" s="1958"/>
      <c r="N17" s="1958"/>
      <c r="O17" s="1958"/>
      <c r="P17" s="1959"/>
      <c r="Q17" s="1958"/>
      <c r="R17" s="1958"/>
      <c r="S17" s="1958"/>
    </row>
    <row r="18" spans="1:19" x14ac:dyDescent="0.2">
      <c r="A18" s="1985" t="s">
        <v>2129</v>
      </c>
      <c r="B18" s="1971" t="s">
        <v>1118</v>
      </c>
      <c r="C18" s="1986">
        <v>10.555</v>
      </c>
      <c r="D18" s="1958"/>
      <c r="E18" s="1959" t="s">
        <v>2130</v>
      </c>
      <c r="F18" s="1959"/>
      <c r="G18" s="1983">
        <v>735006</v>
      </c>
      <c r="H18" s="1958"/>
      <c r="I18" s="1958">
        <v>207140</v>
      </c>
      <c r="J18" s="1959"/>
      <c r="K18" s="1983">
        <v>735006</v>
      </c>
      <c r="L18" s="1958"/>
      <c r="M18" s="1958">
        <v>207140</v>
      </c>
      <c r="N18" s="1958"/>
      <c r="O18" s="1958"/>
      <c r="P18" s="1959"/>
      <c r="Q18" s="1987">
        <f>K18+M18+O18</f>
        <v>942146</v>
      </c>
      <c r="R18" s="1958"/>
      <c r="S18" s="1988" t="s">
        <v>2131</v>
      </c>
    </row>
    <row r="19" spans="1:19" x14ac:dyDescent="0.2">
      <c r="A19" s="1985" t="s">
        <v>2129</v>
      </c>
      <c r="B19" s="1971" t="s">
        <v>1118</v>
      </c>
      <c r="C19" s="1986">
        <v>10.555</v>
      </c>
      <c r="D19" s="1958"/>
      <c r="E19" s="1959" t="s">
        <v>2132</v>
      </c>
      <c r="F19" s="1959"/>
      <c r="G19" s="1983"/>
      <c r="H19" s="1983"/>
      <c r="I19" s="1983">
        <v>1111232</v>
      </c>
      <c r="J19" s="1989"/>
      <c r="K19" s="1983"/>
      <c r="L19" s="1983"/>
      <c r="M19" s="1983">
        <v>1111232</v>
      </c>
      <c r="N19" s="1983"/>
      <c r="O19" s="1983"/>
      <c r="P19" s="1989">
        <v>-1</v>
      </c>
      <c r="Q19" s="1987">
        <f>K19+M19+O19</f>
        <v>1111232</v>
      </c>
      <c r="R19" s="1983"/>
      <c r="S19" s="1988" t="s">
        <v>2131</v>
      </c>
    </row>
    <row r="20" spans="1:19" x14ac:dyDescent="0.2">
      <c r="A20" s="1985"/>
      <c r="B20" s="1971"/>
      <c r="C20" s="1986"/>
      <c r="D20" s="1958"/>
      <c r="E20" s="1959"/>
      <c r="F20" s="1959"/>
      <c r="G20" s="1983" t="s">
        <v>1231</v>
      </c>
      <c r="H20" s="1983"/>
      <c r="I20" s="1983"/>
      <c r="J20" s="1989"/>
      <c r="K20" s="1983"/>
      <c r="L20" s="1983"/>
      <c r="M20" s="1983"/>
      <c r="N20" s="1983"/>
      <c r="O20" s="1983"/>
      <c r="P20" s="1989"/>
      <c r="Q20" s="1987"/>
      <c r="R20" s="1983"/>
      <c r="S20" s="1988"/>
    </row>
    <row r="21" spans="1:19" x14ac:dyDescent="0.2">
      <c r="A21" s="1985"/>
      <c r="B21" s="1971" t="s">
        <v>2133</v>
      </c>
      <c r="C21" s="1986">
        <v>10.555</v>
      </c>
      <c r="D21" s="1958"/>
      <c r="E21" s="1959" t="s">
        <v>2134</v>
      </c>
      <c r="F21" s="1959"/>
      <c r="G21" s="1983"/>
      <c r="H21" s="1983"/>
      <c r="I21" s="1983"/>
      <c r="J21" s="1989"/>
      <c r="K21" s="1983">
        <v>121141</v>
      </c>
      <c r="L21" s="1983"/>
      <c r="M21" s="1983"/>
      <c r="N21" s="1983"/>
      <c r="O21" s="1983"/>
      <c r="P21" s="1989"/>
      <c r="Q21" s="1987">
        <f>K21+M21+O21</f>
        <v>121141</v>
      </c>
      <c r="R21" s="1983"/>
      <c r="S21" s="1988" t="s">
        <v>2131</v>
      </c>
    </row>
    <row r="22" spans="1:19" x14ac:dyDescent="0.2">
      <c r="A22" s="1985" t="s">
        <v>2129</v>
      </c>
      <c r="B22" s="1971" t="s">
        <v>2133</v>
      </c>
      <c r="C22" s="1986">
        <v>10.555</v>
      </c>
      <c r="D22" s="1958"/>
      <c r="E22" s="1959" t="s">
        <v>2135</v>
      </c>
      <c r="F22" s="1959"/>
      <c r="G22" s="1983"/>
      <c r="H22" s="1983"/>
      <c r="I22" s="1983"/>
      <c r="J22" s="1989"/>
      <c r="K22" s="1983">
        <v>0</v>
      </c>
      <c r="L22" s="1983"/>
      <c r="M22" s="1983">
        <v>96904</v>
      </c>
      <c r="N22" s="1983"/>
      <c r="O22" s="1983"/>
      <c r="P22" s="1989"/>
      <c r="Q22" s="1987">
        <f>K22+M22+O22</f>
        <v>96904</v>
      </c>
      <c r="R22" s="1983"/>
      <c r="S22" s="1988" t="s">
        <v>2131</v>
      </c>
    </row>
    <row r="23" spans="1:19" x14ac:dyDescent="0.2">
      <c r="A23" s="1985"/>
      <c r="B23" s="1971"/>
      <c r="C23" s="1986"/>
      <c r="D23" s="1958"/>
      <c r="E23" s="1959"/>
      <c r="F23" s="1959"/>
      <c r="G23" s="1983"/>
      <c r="H23" s="1983"/>
      <c r="I23" s="1983"/>
      <c r="J23" s="1989"/>
      <c r="K23" s="1983"/>
      <c r="L23" s="1983"/>
      <c r="M23" s="1983"/>
      <c r="N23" s="1983"/>
      <c r="O23" s="1983"/>
      <c r="P23" s="1989"/>
      <c r="Q23" s="1987"/>
      <c r="R23" s="1983"/>
      <c r="S23" s="1988"/>
    </row>
    <row r="24" spans="1:19" hidden="1" x14ac:dyDescent="0.2">
      <c r="A24" s="1985"/>
      <c r="B24" s="1971" t="s">
        <v>2136</v>
      </c>
      <c r="C24" s="1986">
        <v>10.55</v>
      </c>
      <c r="D24" s="1958"/>
      <c r="E24" s="1959" t="s">
        <v>2137</v>
      </c>
      <c r="F24" s="1959"/>
      <c r="G24" s="1983"/>
      <c r="H24" s="1983"/>
      <c r="I24" s="1983"/>
      <c r="J24" s="1989"/>
      <c r="K24" s="1983"/>
      <c r="L24" s="1983"/>
      <c r="M24" s="1983"/>
      <c r="N24" s="1983"/>
      <c r="O24" s="1983"/>
      <c r="P24" s="1989"/>
      <c r="Q24" s="1987">
        <f>K24+M24+O24</f>
        <v>0</v>
      </c>
      <c r="R24" s="1983"/>
      <c r="S24" s="1988" t="s">
        <v>2131</v>
      </c>
    </row>
    <row r="25" spans="1:19" hidden="1" x14ac:dyDescent="0.2">
      <c r="A25" s="1985"/>
      <c r="B25" s="1971"/>
      <c r="C25" s="1986"/>
      <c r="D25" s="1958"/>
      <c r="E25" s="1959"/>
      <c r="F25" s="1959"/>
      <c r="G25" s="1983"/>
      <c r="H25" s="1983"/>
      <c r="I25" s="1983"/>
      <c r="J25" s="1989"/>
      <c r="K25" s="1983"/>
      <c r="L25" s="1983"/>
      <c r="M25" s="1983"/>
      <c r="N25" s="1983"/>
      <c r="O25" s="1983"/>
      <c r="P25" s="1989"/>
      <c r="Q25" s="1987"/>
      <c r="R25" s="1983"/>
      <c r="S25" s="1988"/>
    </row>
    <row r="26" spans="1:19" x14ac:dyDescent="0.2">
      <c r="A26" s="1985"/>
      <c r="B26" s="1971" t="s">
        <v>2138</v>
      </c>
      <c r="C26" s="1986"/>
      <c r="D26" s="1958"/>
      <c r="E26" s="1959"/>
      <c r="F26" s="1959"/>
      <c r="G26" s="1983"/>
      <c r="H26" s="1983"/>
      <c r="I26" s="1983"/>
      <c r="J26" s="1989"/>
      <c r="K26" s="1983"/>
      <c r="L26" s="1983"/>
      <c r="M26" s="1983"/>
      <c r="N26" s="1983"/>
      <c r="O26" s="1983"/>
      <c r="P26" s="1989"/>
      <c r="Q26" s="1987"/>
      <c r="R26" s="1983"/>
      <c r="S26" s="1988"/>
    </row>
    <row r="27" spans="1:19" x14ac:dyDescent="0.2">
      <c r="A27" s="1985"/>
      <c r="B27" s="1971" t="s">
        <v>2139</v>
      </c>
      <c r="C27" s="1986">
        <v>10.555</v>
      </c>
      <c r="D27" s="1958"/>
      <c r="E27" s="1959" t="s">
        <v>2134</v>
      </c>
      <c r="F27" s="1959"/>
      <c r="G27" s="1983"/>
      <c r="H27" s="1983"/>
      <c r="I27" s="1983"/>
      <c r="J27" s="1989"/>
      <c r="K27" s="1983">
        <v>33957</v>
      </c>
      <c r="L27" s="1983"/>
      <c r="M27" s="1983"/>
      <c r="N27" s="1983"/>
      <c r="O27" s="1983"/>
      <c r="P27" s="1989"/>
      <c r="Q27" s="1987">
        <f>O27+M27+K27</f>
        <v>33957</v>
      </c>
      <c r="R27" s="1983"/>
      <c r="S27" s="1988" t="s">
        <v>2131</v>
      </c>
    </row>
    <row r="28" spans="1:19" x14ac:dyDescent="0.2">
      <c r="A28" s="1985" t="s">
        <v>2129</v>
      </c>
      <c r="B28" s="1971" t="s">
        <v>2139</v>
      </c>
      <c r="C28" s="1986">
        <v>10.555</v>
      </c>
      <c r="D28" s="1958"/>
      <c r="E28" s="1959" t="s">
        <v>2135</v>
      </c>
      <c r="F28" s="1959"/>
      <c r="G28" s="1983"/>
      <c r="H28" s="1983"/>
      <c r="I28" s="1983"/>
      <c r="J28" s="1989"/>
      <c r="K28" s="1983"/>
      <c r="L28" s="1983"/>
      <c r="M28" s="1983">
        <v>31844</v>
      </c>
      <c r="N28" s="1983"/>
      <c r="O28" s="1983"/>
      <c r="P28" s="1989"/>
      <c r="Q28" s="1987">
        <f>O28+M28+K28</f>
        <v>31844</v>
      </c>
      <c r="R28" s="1983"/>
      <c r="S28" s="1988" t="s">
        <v>2131</v>
      </c>
    </row>
    <row r="29" spans="1:19" x14ac:dyDescent="0.2">
      <c r="A29" s="1985"/>
      <c r="B29" s="1971"/>
      <c r="C29" s="1986"/>
      <c r="D29" s="1958"/>
      <c r="E29" s="1959"/>
      <c r="F29" s="1959"/>
      <c r="G29" s="1983"/>
      <c r="H29" s="1983"/>
      <c r="I29" s="1983"/>
      <c r="J29" s="1989"/>
      <c r="K29" s="1983"/>
      <c r="L29" s="1983"/>
      <c r="M29" s="1983"/>
      <c r="N29" s="1983"/>
      <c r="O29" s="1983"/>
      <c r="P29" s="1989"/>
      <c r="Q29" s="1987"/>
      <c r="R29" s="1983"/>
      <c r="S29" s="1988"/>
    </row>
    <row r="30" spans="1:19" x14ac:dyDescent="0.2">
      <c r="A30" s="1985" t="s">
        <v>2129</v>
      </c>
      <c r="B30" s="1971" t="s">
        <v>1119</v>
      </c>
      <c r="C30" s="1986">
        <v>10.553000000000001</v>
      </c>
      <c r="D30" s="1958"/>
      <c r="E30" s="1959" t="s">
        <v>2140</v>
      </c>
      <c r="F30" s="1959" t="s">
        <v>1231</v>
      </c>
      <c r="G30" s="1983">
        <v>250194</v>
      </c>
      <c r="H30" s="1983"/>
      <c r="I30" s="1983">
        <v>64495</v>
      </c>
      <c r="J30" s="1989"/>
      <c r="K30" s="1983">
        <v>250194</v>
      </c>
      <c r="L30" s="1983"/>
      <c r="M30" s="1983">
        <v>64495</v>
      </c>
      <c r="N30" s="1983"/>
      <c r="O30" s="1983"/>
      <c r="P30" s="1988"/>
      <c r="Q30" s="1987">
        <f>O30+M30+K30</f>
        <v>314689</v>
      </c>
      <c r="R30" s="1983"/>
      <c r="S30" s="1988" t="s">
        <v>2131</v>
      </c>
    </row>
    <row r="31" spans="1:19" x14ac:dyDescent="0.2">
      <c r="A31" s="1985" t="s">
        <v>2129</v>
      </c>
      <c r="B31" s="1971" t="s">
        <v>1119</v>
      </c>
      <c r="C31" s="1986">
        <v>10.553000000000001</v>
      </c>
      <c r="D31" s="1958"/>
      <c r="E31" s="1959" t="s">
        <v>2141</v>
      </c>
      <c r="F31" s="1959"/>
      <c r="G31" s="1983">
        <v>0</v>
      </c>
      <c r="H31" s="1983"/>
      <c r="I31" s="1983">
        <v>367238</v>
      </c>
      <c r="J31" s="1989"/>
      <c r="K31" s="1983">
        <v>0</v>
      </c>
      <c r="L31" s="1983"/>
      <c r="M31" s="1983">
        <v>367238</v>
      </c>
      <c r="N31" s="1983"/>
      <c r="O31" s="1983"/>
      <c r="P31" s="1988">
        <v>-1</v>
      </c>
      <c r="Q31" s="1987">
        <f>O31+M31+K31</f>
        <v>367238</v>
      </c>
      <c r="R31" s="1983"/>
      <c r="S31" s="1988" t="s">
        <v>2131</v>
      </c>
    </row>
    <row r="32" spans="1:19" x14ac:dyDescent="0.2">
      <c r="A32" s="1985"/>
      <c r="B32" s="1971"/>
      <c r="C32" s="1986"/>
      <c r="D32" s="1958"/>
      <c r="E32" s="1959"/>
      <c r="F32" s="1959"/>
      <c r="G32" s="1983"/>
      <c r="H32" s="1983"/>
      <c r="I32" s="1983"/>
      <c r="J32" s="1989"/>
      <c r="K32" s="1983"/>
      <c r="L32" s="1983"/>
      <c r="M32" s="1983"/>
      <c r="N32" s="1983"/>
      <c r="O32" s="1983"/>
      <c r="P32" s="1988"/>
      <c r="Q32" s="1987"/>
      <c r="R32" s="1983"/>
      <c r="S32" s="1988"/>
    </row>
    <row r="33" spans="1:19" x14ac:dyDescent="0.2">
      <c r="A33" s="1985" t="s">
        <v>2129</v>
      </c>
      <c r="B33" s="1971" t="s">
        <v>1526</v>
      </c>
      <c r="C33" s="1986">
        <v>10.558999999999999</v>
      </c>
      <c r="D33" s="1958"/>
      <c r="E33" s="1959" t="s">
        <v>2142</v>
      </c>
      <c r="F33" s="1959"/>
      <c r="G33" s="1983">
        <v>126</v>
      </c>
      <c r="H33" s="1983"/>
      <c r="I33" s="1983">
        <v>7480</v>
      </c>
      <c r="J33" s="1989"/>
      <c r="K33" s="1983">
        <v>3404</v>
      </c>
      <c r="L33" s="1983"/>
      <c r="M33" s="1983">
        <v>4202</v>
      </c>
      <c r="N33" s="1983"/>
      <c r="O33" s="1983">
        <v>0</v>
      </c>
      <c r="P33" s="1988"/>
      <c r="Q33" s="1987">
        <f>O33+M33+K33</f>
        <v>7606</v>
      </c>
      <c r="R33" s="1983"/>
      <c r="S33" s="1988" t="s">
        <v>2131</v>
      </c>
    </row>
    <row r="34" spans="1:19" ht="16.149999999999999" customHeight="1" x14ac:dyDescent="0.2">
      <c r="A34" s="1985" t="s">
        <v>2129</v>
      </c>
      <c r="B34" s="1971" t="s">
        <v>1526</v>
      </c>
      <c r="C34" s="1986">
        <v>10.558999999999999</v>
      </c>
      <c r="D34" s="1958"/>
      <c r="E34" s="1959" t="s">
        <v>2143</v>
      </c>
      <c r="F34" s="1959"/>
      <c r="G34" s="1990">
        <v>0</v>
      </c>
      <c r="H34" s="1990"/>
      <c r="I34" s="1990">
        <v>0</v>
      </c>
      <c r="J34" s="1991"/>
      <c r="K34" s="1990">
        <v>0</v>
      </c>
      <c r="L34" s="1990"/>
      <c r="M34" s="1990">
        <v>3314</v>
      </c>
      <c r="N34" s="1990"/>
      <c r="O34" s="1990">
        <v>0</v>
      </c>
      <c r="P34" s="1988">
        <v>-1</v>
      </c>
      <c r="Q34" s="1990">
        <f>O34+M34+K34</f>
        <v>3314</v>
      </c>
      <c r="R34" s="1983"/>
      <c r="S34" s="1988" t="s">
        <v>2131</v>
      </c>
    </row>
    <row r="35" spans="1:19" ht="17.25" x14ac:dyDescent="0.2">
      <c r="A35" s="1959"/>
      <c r="B35" s="1971"/>
      <c r="C35" s="1986"/>
      <c r="D35" s="1958"/>
      <c r="E35" s="1959"/>
      <c r="F35" s="1959"/>
      <c r="G35" s="1990"/>
      <c r="H35" s="1990"/>
      <c r="I35" s="1990"/>
      <c r="J35" s="1988"/>
      <c r="K35" s="1992"/>
      <c r="L35" s="1992"/>
      <c r="M35" s="1992"/>
      <c r="N35" s="1993"/>
      <c r="O35" s="1992"/>
      <c r="P35" s="1988"/>
      <c r="Q35" s="1992"/>
      <c r="R35" s="1993"/>
      <c r="S35" s="1994"/>
    </row>
    <row r="36" spans="1:19" ht="16.149999999999999" customHeight="1" x14ac:dyDescent="0.2">
      <c r="A36" s="1980" t="s">
        <v>2144</v>
      </c>
      <c r="B36" s="1958"/>
      <c r="C36" s="1958"/>
      <c r="D36" s="1958"/>
      <c r="E36" s="1958"/>
      <c r="F36" s="1959"/>
      <c r="G36" s="1995">
        <f>SUM(G18:G34)</f>
        <v>985326</v>
      </c>
      <c r="H36" s="1996"/>
      <c r="I36" s="1995">
        <f>SUM(I18:I34)</f>
        <v>1757585</v>
      </c>
      <c r="J36" s="1996"/>
      <c r="K36" s="1995">
        <f>SUM(K18:K34)</f>
        <v>1143702</v>
      </c>
      <c r="L36" s="1996"/>
      <c r="M36" s="1995">
        <f>SUM(M18:M34)</f>
        <v>1886369</v>
      </c>
      <c r="N36" s="1996"/>
      <c r="O36" s="1992">
        <v>0</v>
      </c>
      <c r="P36" s="1996"/>
      <c r="Q36" s="1995">
        <f>SUM(Q18:Q34)</f>
        <v>3030071</v>
      </c>
      <c r="R36" s="1983"/>
      <c r="S36" s="1983"/>
    </row>
    <row r="37" spans="1:19" x14ac:dyDescent="0.2">
      <c r="A37" s="1985"/>
      <c r="B37" s="1958"/>
      <c r="C37" s="1958"/>
      <c r="D37" s="1958"/>
      <c r="E37" s="1958"/>
      <c r="F37" s="1959"/>
      <c r="G37" s="1983"/>
      <c r="H37" s="1983"/>
      <c r="I37" s="1983"/>
      <c r="J37" s="1989"/>
      <c r="K37" s="1983"/>
      <c r="L37" s="1983"/>
      <c r="M37" s="1983"/>
      <c r="N37" s="1983"/>
      <c r="O37" s="1983"/>
      <c r="P37" s="1989"/>
      <c r="Q37" s="1983"/>
      <c r="R37" s="1983"/>
      <c r="S37" s="1983"/>
    </row>
    <row r="38" spans="1:19" x14ac:dyDescent="0.2">
      <c r="A38" s="1980" t="s">
        <v>2145</v>
      </c>
      <c r="B38" s="1958"/>
      <c r="C38" s="1958"/>
      <c r="D38" s="1958"/>
      <c r="E38" s="1958"/>
      <c r="F38" s="1959"/>
      <c r="G38" s="1983"/>
      <c r="H38" s="1983"/>
      <c r="I38" s="1983"/>
      <c r="J38" s="1989"/>
      <c r="K38" s="1983"/>
      <c r="L38" s="1983"/>
      <c r="M38" s="1983"/>
      <c r="N38" s="1983"/>
      <c r="O38" s="1983"/>
      <c r="P38" s="1989"/>
      <c r="Q38" s="1983"/>
      <c r="R38" s="1983"/>
      <c r="S38" s="1983"/>
    </row>
    <row r="39" spans="1:19" x14ac:dyDescent="0.2">
      <c r="A39" s="1980" t="s">
        <v>2127</v>
      </c>
      <c r="B39" s="1958"/>
      <c r="C39" s="1958"/>
      <c r="D39" s="1958"/>
      <c r="E39" s="1958"/>
      <c r="F39" s="1959"/>
      <c r="G39" s="1983"/>
      <c r="H39" s="1983"/>
      <c r="I39" s="1983"/>
      <c r="J39" s="1989"/>
      <c r="K39" s="1983"/>
      <c r="L39" s="1983"/>
      <c r="M39" s="1983"/>
      <c r="N39" s="1983"/>
      <c r="O39" s="1983"/>
      <c r="P39" s="1989"/>
      <c r="Q39" s="1983"/>
      <c r="R39" s="1983"/>
      <c r="S39" s="1983"/>
    </row>
    <row r="40" spans="1:19" x14ac:dyDescent="0.2">
      <c r="A40" s="1980" t="s">
        <v>2128</v>
      </c>
      <c r="B40" s="1958"/>
      <c r="C40" s="1958"/>
      <c r="D40" s="1958"/>
      <c r="E40" s="1958"/>
      <c r="F40" s="1959"/>
      <c r="G40" s="1983"/>
      <c r="H40" s="1983"/>
      <c r="I40" s="1983"/>
      <c r="J40" s="1989"/>
      <c r="K40" s="1983"/>
      <c r="L40" s="1983"/>
      <c r="M40" s="1983"/>
      <c r="N40" s="1983"/>
      <c r="O40" s="1983"/>
      <c r="P40" s="1989"/>
      <c r="Q40" s="1983"/>
      <c r="R40" s="1983"/>
      <c r="S40" s="1983"/>
    </row>
    <row r="41" spans="1:19" x14ac:dyDescent="0.2">
      <c r="A41" s="1980"/>
      <c r="B41" s="1958"/>
      <c r="C41" s="1958"/>
      <c r="D41" s="1958"/>
      <c r="E41" s="1958"/>
      <c r="F41" s="1959"/>
      <c r="G41" s="1983"/>
      <c r="H41" s="1983"/>
      <c r="I41" s="1983"/>
      <c r="J41" s="1989"/>
      <c r="K41" s="1983"/>
      <c r="L41" s="1983"/>
      <c r="M41" s="1983"/>
      <c r="N41" s="1983"/>
      <c r="O41" s="1983"/>
      <c r="P41" s="1989"/>
      <c r="Q41" s="1983"/>
      <c r="R41" s="1983"/>
      <c r="S41" s="1983"/>
    </row>
    <row r="42" spans="1:19" hidden="1" x14ac:dyDescent="0.2">
      <c r="A42" s="1985"/>
      <c r="B42" s="1971" t="s">
        <v>782</v>
      </c>
      <c r="C42" s="1986" t="s">
        <v>2146</v>
      </c>
      <c r="D42" s="1958"/>
      <c r="E42" s="1997" t="s">
        <v>2147</v>
      </c>
      <c r="F42" s="1972"/>
      <c r="G42" s="1998"/>
      <c r="H42" s="1983"/>
      <c r="I42" s="1998"/>
      <c r="J42" s="1989"/>
      <c r="K42" s="1998"/>
      <c r="L42" s="1983"/>
      <c r="M42" s="1998"/>
      <c r="N42" s="1983"/>
      <c r="O42" s="1983"/>
      <c r="P42" s="1989"/>
      <c r="Q42" s="1987">
        <f>O42+M42+K42</f>
        <v>0</v>
      </c>
      <c r="R42" s="1983"/>
      <c r="S42" s="1998"/>
    </row>
    <row r="43" spans="1:19" hidden="1" x14ac:dyDescent="0.2">
      <c r="A43" s="1985"/>
      <c r="B43" s="1971" t="s">
        <v>782</v>
      </c>
      <c r="C43" s="1986" t="s">
        <v>2146</v>
      </c>
      <c r="D43" s="1958"/>
      <c r="E43" s="1997" t="s">
        <v>2148</v>
      </c>
      <c r="F43" s="1959"/>
      <c r="G43" s="1983"/>
      <c r="H43" s="1983"/>
      <c r="I43" s="1998"/>
      <c r="J43" s="1989"/>
      <c r="K43" s="1983"/>
      <c r="L43" s="1983"/>
      <c r="M43" s="1998"/>
      <c r="N43" s="1983"/>
      <c r="O43" s="1983" t="s">
        <v>1231</v>
      </c>
      <c r="P43" s="1988">
        <v>-1</v>
      </c>
      <c r="Q43" s="1987">
        <f>O43+M43+K43</f>
        <v>0</v>
      </c>
      <c r="R43" s="1983"/>
      <c r="S43" s="1998"/>
    </row>
    <row r="44" spans="1:19" hidden="1" x14ac:dyDescent="0.2">
      <c r="A44" s="1980"/>
      <c r="B44" s="1958"/>
      <c r="C44" s="1958"/>
      <c r="D44" s="1958"/>
      <c r="E44" s="1958"/>
      <c r="F44" s="1959"/>
      <c r="G44" s="1983"/>
      <c r="H44" s="1983"/>
      <c r="I44" s="1983"/>
      <c r="J44" s="1989"/>
      <c r="K44" s="1983"/>
      <c r="L44" s="1983"/>
      <c r="M44" s="1983"/>
      <c r="N44" s="1983"/>
      <c r="O44" s="1983"/>
      <c r="P44" s="1989"/>
      <c r="Q44" s="1983"/>
      <c r="R44" s="1983"/>
      <c r="S44" s="1983"/>
    </row>
    <row r="45" spans="1:19" x14ac:dyDescent="0.2">
      <c r="A45" s="1985"/>
      <c r="B45" s="1971" t="s">
        <v>974</v>
      </c>
      <c r="C45" s="1986">
        <v>84.01</v>
      </c>
      <c r="D45" s="1958"/>
      <c r="E45" s="1959" t="s">
        <v>2149</v>
      </c>
      <c r="F45" s="1959"/>
      <c r="G45" s="1983">
        <v>493040</v>
      </c>
      <c r="H45" s="1983"/>
      <c r="I45" s="1983">
        <v>327925</v>
      </c>
      <c r="J45" s="1989"/>
      <c r="K45" s="1983">
        <v>733383</v>
      </c>
      <c r="L45" s="1983"/>
      <c r="M45" s="1983">
        <f>820965-733383</f>
        <v>87582</v>
      </c>
      <c r="N45" s="1983"/>
      <c r="O45" s="1983"/>
      <c r="P45" s="1989"/>
      <c r="Q45" s="1987">
        <f>O45+M45+K45</f>
        <v>820965</v>
      </c>
      <c r="R45" s="1983"/>
      <c r="S45" s="1999">
        <v>821378</v>
      </c>
    </row>
    <row r="46" spans="1:19" x14ac:dyDescent="0.2">
      <c r="A46" s="1985"/>
      <c r="B46" s="1958" t="s">
        <v>974</v>
      </c>
      <c r="C46" s="1986">
        <v>84.01</v>
      </c>
      <c r="D46" s="1958"/>
      <c r="E46" s="1959" t="s">
        <v>2150</v>
      </c>
      <c r="F46" s="1959"/>
      <c r="G46" s="1993">
        <v>0</v>
      </c>
      <c r="H46" s="1993"/>
      <c r="I46" s="1993">
        <v>418963</v>
      </c>
      <c r="J46" s="1988"/>
      <c r="K46" s="1993"/>
      <c r="L46" s="1993"/>
      <c r="M46" s="1993">
        <v>650643</v>
      </c>
      <c r="N46" s="1993"/>
      <c r="O46" s="1993"/>
      <c r="P46" s="1988">
        <v>-1</v>
      </c>
      <c r="Q46" s="1987">
        <f>O46+M46+K46</f>
        <v>650643</v>
      </c>
      <c r="R46" s="1993"/>
      <c r="S46" s="1993">
        <v>765354</v>
      </c>
    </row>
    <row r="47" spans="1:19" x14ac:dyDescent="0.2">
      <c r="A47" s="1985"/>
      <c r="B47" s="1958"/>
      <c r="C47" s="2000"/>
      <c r="D47" s="1958"/>
      <c r="E47" s="1971"/>
      <c r="F47" s="1959"/>
      <c r="G47" s="1983"/>
      <c r="H47" s="1983"/>
      <c r="I47" s="1983"/>
      <c r="J47" s="1989"/>
      <c r="K47" s="1983"/>
      <c r="L47" s="1983"/>
      <c r="M47" s="1983"/>
      <c r="N47" s="1983"/>
      <c r="O47" s="1983"/>
      <c r="P47" s="1989"/>
      <c r="Q47" s="1987"/>
      <c r="R47" s="1983"/>
      <c r="S47" s="1983"/>
    </row>
    <row r="48" spans="1:19" hidden="1" x14ac:dyDescent="0.2">
      <c r="A48" s="1985"/>
      <c r="B48" s="2001" t="s">
        <v>2151</v>
      </c>
      <c r="C48" s="2002"/>
      <c r="D48" s="1958"/>
      <c r="E48" s="1997"/>
      <c r="F48" s="1972"/>
      <c r="G48" s="1998"/>
      <c r="H48" s="1983"/>
      <c r="I48" s="1998"/>
      <c r="J48" s="1989"/>
      <c r="K48" s="1998"/>
      <c r="L48" s="1983"/>
      <c r="M48" s="1998"/>
      <c r="N48" s="1983"/>
      <c r="O48" s="1983"/>
      <c r="P48" s="1989"/>
      <c r="Q48" s="1987">
        <f>O48+M48+K48</f>
        <v>0</v>
      </c>
      <c r="R48" s="1983"/>
      <c r="S48" s="1998"/>
    </row>
    <row r="49" spans="1:19" x14ac:dyDescent="0.2">
      <c r="A49" s="1985"/>
      <c r="B49" s="1971" t="s">
        <v>2152</v>
      </c>
      <c r="C49" s="1986" t="s">
        <v>2153</v>
      </c>
      <c r="D49" s="1958"/>
      <c r="E49" s="1959" t="s">
        <v>2154</v>
      </c>
      <c r="F49" s="1959"/>
      <c r="G49" s="1983">
        <v>0</v>
      </c>
      <c r="H49" s="1983"/>
      <c r="I49" s="1983">
        <v>5357</v>
      </c>
      <c r="J49" s="1989"/>
      <c r="K49" s="1983">
        <v>5357</v>
      </c>
      <c r="L49" s="1983"/>
      <c r="M49" s="1983"/>
      <c r="N49" s="1983"/>
      <c r="O49" s="1983" t="s">
        <v>1231</v>
      </c>
      <c r="P49" s="1988"/>
      <c r="Q49" s="1987">
        <f>O49+M49+K49</f>
        <v>5357</v>
      </c>
      <c r="R49" s="1983"/>
      <c r="S49" s="1989" t="s">
        <v>2131</v>
      </c>
    </row>
    <row r="50" spans="1:19" x14ac:dyDescent="0.2">
      <c r="A50" s="1985"/>
      <c r="B50" s="1971" t="s">
        <v>2152</v>
      </c>
      <c r="C50" s="1986" t="s">
        <v>2153</v>
      </c>
      <c r="D50" s="1958"/>
      <c r="E50" s="1959" t="s">
        <v>2227</v>
      </c>
      <c r="F50" s="1959"/>
      <c r="G50" s="1983"/>
      <c r="H50" s="1983"/>
      <c r="I50" s="1983"/>
      <c r="J50" s="1989"/>
      <c r="K50" s="1983"/>
      <c r="L50" s="1983"/>
      <c r="M50" s="1983">
        <v>7228</v>
      </c>
      <c r="N50" s="1983"/>
      <c r="O50" s="1983"/>
      <c r="P50" s="1988">
        <v>-1</v>
      </c>
      <c r="Q50" s="1987">
        <f>O50+M50+K50</f>
        <v>7228</v>
      </c>
      <c r="R50" s="1983"/>
      <c r="S50" s="1989" t="s">
        <v>2131</v>
      </c>
    </row>
    <row r="51" spans="1:19" x14ac:dyDescent="0.2">
      <c r="A51" s="1985"/>
      <c r="B51" s="1958"/>
      <c r="C51" s="1958"/>
      <c r="D51" s="1958"/>
      <c r="E51" s="1958"/>
      <c r="F51" s="1959"/>
      <c r="G51" s="1983"/>
      <c r="H51" s="1983"/>
      <c r="I51" s="1983"/>
      <c r="J51" s="1989"/>
      <c r="K51" s="1983"/>
      <c r="L51" s="1983"/>
      <c r="M51" s="1983"/>
      <c r="N51" s="1983"/>
      <c r="O51" s="1983"/>
      <c r="P51" s="1989"/>
      <c r="Q51" s="1987"/>
      <c r="R51" s="1983"/>
      <c r="S51" s="1983"/>
    </row>
    <row r="52" spans="1:19" x14ac:dyDescent="0.2">
      <c r="A52" s="1985"/>
      <c r="B52" s="1971" t="s">
        <v>782</v>
      </c>
      <c r="C52" s="1986" t="s">
        <v>2146</v>
      </c>
      <c r="D52" s="1958"/>
      <c r="E52" s="1959" t="s">
        <v>2155</v>
      </c>
      <c r="F52" s="1972"/>
      <c r="G52" s="1983">
        <v>140664</v>
      </c>
      <c r="H52" s="1983"/>
      <c r="I52" s="1983">
        <v>117307</v>
      </c>
      <c r="J52" s="1989"/>
      <c r="K52" s="1983">
        <v>233397</v>
      </c>
      <c r="L52" s="1983"/>
      <c r="M52" s="1983">
        <f>257971-233397</f>
        <v>24574</v>
      </c>
      <c r="N52" s="1983"/>
      <c r="O52" s="1983"/>
      <c r="P52" s="1989"/>
      <c r="Q52" s="1987">
        <f>O52+M52+K52</f>
        <v>257971</v>
      </c>
      <c r="R52" s="1983"/>
      <c r="S52" s="1983">
        <v>290438</v>
      </c>
    </row>
    <row r="53" spans="1:19" x14ac:dyDescent="0.2">
      <c r="A53" s="1985"/>
      <c r="B53" s="1971" t="s">
        <v>782</v>
      </c>
      <c r="C53" s="1986" t="s">
        <v>2146</v>
      </c>
      <c r="D53" s="1958"/>
      <c r="E53" s="1959" t="s">
        <v>2156</v>
      </c>
      <c r="F53" s="1959"/>
      <c r="G53" s="1983">
        <v>0</v>
      </c>
      <c r="H53" s="1983"/>
      <c r="I53" s="1983">
        <v>94248</v>
      </c>
      <c r="J53" s="1989"/>
      <c r="K53" s="1983"/>
      <c r="L53" s="1983"/>
      <c r="M53" s="1983">
        <v>138128</v>
      </c>
      <c r="N53" s="1983"/>
      <c r="O53" s="1983" t="s">
        <v>1231</v>
      </c>
      <c r="P53" s="1988">
        <v>-1</v>
      </c>
      <c r="Q53" s="1987">
        <f>O53+M53+K53</f>
        <v>138128</v>
      </c>
      <c r="R53" s="1983"/>
      <c r="S53" s="1983">
        <v>165061</v>
      </c>
    </row>
    <row r="54" spans="1:19" ht="15" customHeight="1" x14ac:dyDescent="0.2">
      <c r="A54" s="1959"/>
      <c r="B54" s="1958"/>
      <c r="C54" s="2003"/>
      <c r="D54" s="1958"/>
      <c r="E54" s="1958"/>
      <c r="F54" s="1959"/>
      <c r="G54" s="1983"/>
      <c r="H54" s="1983"/>
      <c r="I54" s="1983"/>
      <c r="J54" s="1989"/>
      <c r="K54" s="1983"/>
      <c r="L54" s="1983"/>
      <c r="M54" s="1983"/>
      <c r="N54" s="1983"/>
      <c r="O54" s="1983"/>
      <c r="P54" s="1989"/>
      <c r="Q54" s="1987"/>
      <c r="R54" s="1983"/>
      <c r="S54" s="1983"/>
    </row>
    <row r="55" spans="1:19" ht="15" customHeight="1" x14ac:dyDescent="0.2">
      <c r="A55" s="1980" t="s">
        <v>2127</v>
      </c>
      <c r="B55" s="1958"/>
      <c r="C55" s="2003"/>
      <c r="D55" s="1958"/>
      <c r="E55" s="1958"/>
      <c r="F55" s="1959"/>
      <c r="G55" s="1983"/>
      <c r="H55" s="1983"/>
      <c r="I55" s="1983"/>
      <c r="J55" s="1989"/>
      <c r="K55" s="1983"/>
      <c r="L55" s="1983"/>
      <c r="M55" s="1983"/>
      <c r="N55" s="1983"/>
      <c r="O55" s="1983"/>
      <c r="P55" s="1989"/>
      <c r="Q55" s="1987"/>
      <c r="R55" s="1983"/>
      <c r="S55" s="1983"/>
    </row>
    <row r="56" spans="1:19" ht="16.149999999999999" customHeight="1" x14ac:dyDescent="0.2">
      <c r="A56" s="1982" t="s">
        <v>2157</v>
      </c>
      <c r="B56" s="1960"/>
      <c r="C56" s="2003"/>
      <c r="D56" s="1958"/>
      <c r="E56" s="1958"/>
      <c r="F56" s="1959"/>
      <c r="G56" s="1983"/>
      <c r="H56" s="1983"/>
      <c r="I56" s="1983"/>
      <c r="J56" s="1989"/>
      <c r="K56" s="1983"/>
      <c r="L56" s="1983"/>
      <c r="M56" s="1983"/>
      <c r="N56" s="1983"/>
      <c r="O56" s="1983"/>
      <c r="P56" s="1989"/>
      <c r="Q56" s="1987"/>
      <c r="R56" s="1983"/>
      <c r="S56" s="1983"/>
    </row>
    <row r="57" spans="1:19" ht="14.65" customHeight="1" x14ac:dyDescent="0.2">
      <c r="A57" s="1959"/>
      <c r="B57" s="1958"/>
      <c r="C57" s="2003"/>
      <c r="D57" s="1958"/>
      <c r="E57" s="1958"/>
      <c r="F57" s="1959"/>
      <c r="G57" s="1983"/>
      <c r="H57" s="1983"/>
      <c r="I57" s="1983"/>
      <c r="J57" s="1989"/>
      <c r="K57" s="1983"/>
      <c r="L57" s="1983"/>
      <c r="M57" s="1983"/>
      <c r="N57" s="1983"/>
      <c r="O57" s="1983"/>
      <c r="P57" s="1989"/>
      <c r="Q57" s="1987"/>
      <c r="R57" s="1983"/>
      <c r="S57" s="1983"/>
    </row>
    <row r="58" spans="1:19" hidden="1" x14ac:dyDescent="0.2">
      <c r="A58" s="1985"/>
      <c r="B58" s="1958"/>
      <c r="C58" s="2004"/>
      <c r="D58" s="1958"/>
      <c r="E58" s="1958"/>
      <c r="F58" s="1959"/>
      <c r="G58" s="1983"/>
      <c r="H58" s="1983"/>
      <c r="I58" s="1983"/>
      <c r="J58" s="1989"/>
      <c r="K58" s="1983"/>
      <c r="L58" s="1983"/>
      <c r="M58" s="1983"/>
      <c r="N58" s="1983"/>
      <c r="O58" s="1983"/>
      <c r="P58" s="1989"/>
      <c r="Q58" s="1987">
        <f>SUM(O58+M58+K58)</f>
        <v>0</v>
      </c>
      <c r="R58" s="1983"/>
      <c r="S58" s="1983"/>
    </row>
    <row r="59" spans="1:19" x14ac:dyDescent="0.2">
      <c r="A59" s="1985"/>
      <c r="B59" s="1958" t="s">
        <v>2158</v>
      </c>
      <c r="C59" s="2004">
        <v>84.173000000000002</v>
      </c>
      <c r="D59" s="1958"/>
      <c r="E59" s="1958" t="s">
        <v>2159</v>
      </c>
      <c r="F59" s="2005"/>
      <c r="G59" s="1983">
        <f>7750+18917+16096+12682</f>
        <v>55445</v>
      </c>
      <c r="H59" s="1972"/>
      <c r="I59" s="1983">
        <v>8235</v>
      </c>
      <c r="J59" s="1989"/>
      <c r="K59" s="1983">
        <v>55445</v>
      </c>
      <c r="L59" s="1983"/>
      <c r="M59" s="1983">
        <v>8235</v>
      </c>
      <c r="N59" s="1983"/>
      <c r="O59" s="1983">
        <v>0</v>
      </c>
      <c r="P59" s="1963"/>
      <c r="Q59" s="1987">
        <f>SUM(O59+M59+K59)</f>
        <v>63680</v>
      </c>
      <c r="R59" s="1983"/>
      <c r="S59" s="1983">
        <v>63680</v>
      </c>
    </row>
    <row r="60" spans="1:19" x14ac:dyDescent="0.2">
      <c r="A60" s="1985"/>
      <c r="B60" s="1958" t="s">
        <v>2158</v>
      </c>
      <c r="C60" s="2004">
        <v>84.173000000000002</v>
      </c>
      <c r="D60" s="1958"/>
      <c r="E60" s="1958" t="s">
        <v>2160</v>
      </c>
      <c r="F60" s="2005"/>
      <c r="G60" s="1983"/>
      <c r="H60" s="1972"/>
      <c r="I60" s="1983">
        <f>8502+19630+14927+11808</f>
        <v>54867</v>
      </c>
      <c r="J60" s="1989"/>
      <c r="K60" s="1983"/>
      <c r="L60" s="1983"/>
      <c r="M60" s="1983">
        <v>54867</v>
      </c>
      <c r="N60" s="1983"/>
      <c r="O60" s="1983"/>
      <c r="P60" s="1988">
        <v>-1</v>
      </c>
      <c r="Q60" s="1987">
        <f>SUM(O60+M60+K60)</f>
        <v>54867</v>
      </c>
      <c r="R60" s="1983"/>
      <c r="S60" s="1983">
        <v>64592</v>
      </c>
    </row>
    <row r="61" spans="1:19" x14ac:dyDescent="0.2">
      <c r="A61" s="1985"/>
      <c r="B61" s="1958"/>
      <c r="C61" s="2004"/>
      <c r="D61" s="1958"/>
      <c r="E61" s="1958"/>
      <c r="F61" s="2005"/>
      <c r="G61" s="1983"/>
      <c r="H61" s="1972"/>
      <c r="I61" s="1983"/>
      <c r="J61" s="1989"/>
      <c r="K61" s="1983"/>
      <c r="L61" s="1983"/>
      <c r="M61" s="1983"/>
      <c r="N61" s="1983"/>
      <c r="O61" s="1983"/>
      <c r="P61" s="1989"/>
      <c r="Q61" s="1987"/>
      <c r="R61" s="1983"/>
      <c r="S61" s="1983"/>
    </row>
    <row r="62" spans="1:19" hidden="1" x14ac:dyDescent="0.2">
      <c r="A62" s="1985"/>
      <c r="B62" s="1958" t="s">
        <v>2161</v>
      </c>
      <c r="C62" s="2004" t="s">
        <v>2162</v>
      </c>
      <c r="D62" s="1958"/>
      <c r="E62" s="1958" t="s">
        <v>2163</v>
      </c>
      <c r="F62" s="1959"/>
      <c r="G62" s="1983"/>
      <c r="H62" s="1983"/>
      <c r="I62" s="1983"/>
      <c r="J62" s="1983"/>
      <c r="K62" s="1983">
        <v>0</v>
      </c>
      <c r="L62" s="1983"/>
      <c r="M62" s="1983"/>
      <c r="N62" s="1983"/>
      <c r="O62" s="1983"/>
      <c r="P62" s="1983"/>
      <c r="Q62" s="1987">
        <f>SUM(O62+M62+K62)</f>
        <v>0</v>
      </c>
      <c r="R62" s="1983"/>
      <c r="S62" s="1983">
        <v>0</v>
      </c>
    </row>
    <row r="63" spans="1:19" hidden="1" x14ac:dyDescent="0.2">
      <c r="A63" s="1959"/>
      <c r="B63" s="1958"/>
      <c r="C63" s="2004"/>
      <c r="D63" s="1958"/>
      <c r="E63" s="1958"/>
      <c r="F63" s="1959"/>
      <c r="G63" s="1983"/>
      <c r="H63" s="1983"/>
      <c r="I63" s="1983"/>
      <c r="J63" s="1989"/>
      <c r="K63" s="1983"/>
      <c r="L63" s="1983"/>
      <c r="M63" s="1983"/>
      <c r="N63" s="1983"/>
      <c r="O63" s="1983"/>
      <c r="P63" s="1989"/>
      <c r="Q63" s="1993">
        <f>SUM(O63+M63+K63)</f>
        <v>0</v>
      </c>
      <c r="R63" s="1983"/>
      <c r="S63" s="1983"/>
    </row>
    <row r="64" spans="1:19" x14ac:dyDescent="0.2">
      <c r="A64" s="1985"/>
      <c r="B64" s="1958" t="s">
        <v>2164</v>
      </c>
      <c r="C64" s="2004">
        <v>84.027000000000001</v>
      </c>
      <c r="D64" s="1958"/>
      <c r="E64" s="1958" t="s">
        <v>2165</v>
      </c>
      <c r="F64" s="1959"/>
      <c r="G64" s="1983">
        <f>51025+123744+124759+105927</f>
        <v>405455</v>
      </c>
      <c r="H64" s="1983"/>
      <c r="I64" s="1983">
        <v>57728</v>
      </c>
      <c r="J64" s="1983"/>
      <c r="K64" s="1983">
        <v>405455</v>
      </c>
      <c r="L64" s="1983"/>
      <c r="M64" s="1983">
        <v>57728</v>
      </c>
      <c r="N64" s="1983"/>
      <c r="O64" s="1983" t="s">
        <v>1231</v>
      </c>
      <c r="P64" s="1983"/>
      <c r="Q64" s="1987">
        <f>SUM(O64+M64+K64)</f>
        <v>463183</v>
      </c>
      <c r="R64" s="1983"/>
      <c r="S64" s="1983">
        <v>463183</v>
      </c>
    </row>
    <row r="65" spans="1:19" ht="16.149999999999999" customHeight="1" x14ac:dyDescent="0.2">
      <c r="A65" s="1985"/>
      <c r="B65" s="1958" t="s">
        <v>2164</v>
      </c>
      <c r="C65" s="2004">
        <v>84.027000000000001</v>
      </c>
      <c r="D65" s="1958"/>
      <c r="E65" s="1958" t="s">
        <v>2166</v>
      </c>
      <c r="F65" s="1959"/>
      <c r="G65" s="2006">
        <v>0</v>
      </c>
      <c r="H65" s="1983"/>
      <c r="I65" s="2006">
        <f>514162-57728-1500</f>
        <v>454934</v>
      </c>
      <c r="J65" s="1990"/>
      <c r="K65" s="2006">
        <v>0</v>
      </c>
      <c r="L65" s="1990"/>
      <c r="M65" s="2006">
        <v>454934</v>
      </c>
      <c r="N65" s="1990"/>
      <c r="O65" s="2006">
        <v>0</v>
      </c>
      <c r="P65" s="1988">
        <v>-1</v>
      </c>
      <c r="Q65" s="2007">
        <f>SUM(O65+M65+K65)</f>
        <v>454934</v>
      </c>
      <c r="R65" s="1983"/>
      <c r="S65" s="1983">
        <v>496506</v>
      </c>
    </row>
    <row r="66" spans="1:19" ht="16.149999999999999" customHeight="1" x14ac:dyDescent="0.2">
      <c r="A66" s="1980" t="s">
        <v>2167</v>
      </c>
      <c r="B66" s="1958"/>
      <c r="C66" s="2008"/>
      <c r="D66" s="1958"/>
      <c r="E66" s="1958"/>
      <c r="F66" s="1959"/>
      <c r="G66" s="1996">
        <f>SUM(G42:G65)</f>
        <v>1094604</v>
      </c>
      <c r="H66" s="1996"/>
      <c r="I66" s="1996">
        <f>SUM(I42:I65)</f>
        <v>1539564</v>
      </c>
      <c r="J66" s="1996"/>
      <c r="K66" s="1996">
        <f>SUM(K42:K65)</f>
        <v>1433037</v>
      </c>
      <c r="L66" s="1996"/>
      <c r="M66" s="1996">
        <f>SUM(M42:M65)</f>
        <v>1483919</v>
      </c>
      <c r="N66" s="1996"/>
      <c r="O66" s="1996">
        <f>SUM(O42:O65)</f>
        <v>0</v>
      </c>
      <c r="P66" s="1996"/>
      <c r="Q66" s="1996">
        <f>SUM(Q42:Q65)</f>
        <v>2916956</v>
      </c>
      <c r="R66" s="1993"/>
      <c r="S66" s="1993"/>
    </row>
    <row r="67" spans="1:19" s="2009" customFormat="1" ht="6" customHeight="1" x14ac:dyDescent="0.2">
      <c r="A67" s="1982"/>
      <c r="B67" s="1958"/>
      <c r="C67" s="1958"/>
      <c r="D67" s="1958"/>
      <c r="E67" s="1958"/>
      <c r="F67" s="1959"/>
      <c r="G67" s="1983"/>
      <c r="H67" s="1983"/>
      <c r="I67" s="1983"/>
      <c r="J67" s="1989"/>
      <c r="K67" s="1983"/>
      <c r="L67" s="1983"/>
      <c r="M67" s="1983"/>
      <c r="N67" s="1983"/>
      <c r="O67" s="1983"/>
      <c r="P67" s="1989"/>
      <c r="Q67" s="1993"/>
      <c r="R67" s="1983"/>
      <c r="S67" s="1983"/>
    </row>
    <row r="68" spans="1:19" s="2009" customFormat="1" ht="13.5" customHeight="1" x14ac:dyDescent="0.2">
      <c r="A68" s="1982" t="s">
        <v>2168</v>
      </c>
      <c r="B68" s="1958"/>
      <c r="C68" s="1958"/>
      <c r="D68" s="1958"/>
      <c r="E68" s="1958"/>
      <c r="F68" s="1959"/>
      <c r="G68" s="1983"/>
      <c r="H68" s="1983"/>
      <c r="I68" s="1983"/>
      <c r="J68" s="1989"/>
      <c r="K68" s="1983"/>
      <c r="L68" s="1983"/>
      <c r="M68" s="1983"/>
      <c r="N68" s="1983"/>
      <c r="O68" s="1983"/>
      <c r="P68" s="1989"/>
      <c r="Q68" s="1993"/>
      <c r="R68" s="1983"/>
      <c r="S68" s="1983"/>
    </row>
    <row r="69" spans="1:19" s="2009" customFormat="1" ht="13.5" customHeight="1" x14ac:dyDescent="0.2">
      <c r="A69" s="1982" t="s">
        <v>2127</v>
      </c>
      <c r="B69" s="1958"/>
      <c r="C69" s="1958"/>
      <c r="D69" s="1958"/>
      <c r="E69" s="1958"/>
      <c r="F69" s="1959"/>
      <c r="G69" s="1983"/>
      <c r="H69" s="1983"/>
      <c r="I69" s="1983"/>
      <c r="J69" s="1989"/>
      <c r="K69" s="2010"/>
      <c r="L69" s="1983"/>
      <c r="M69" s="1983"/>
      <c r="N69" s="1983"/>
      <c r="O69" s="1983"/>
      <c r="P69" s="1989"/>
      <c r="Q69" s="1993" t="s">
        <v>1231</v>
      </c>
      <c r="R69" s="1983"/>
      <c r="S69" s="1983"/>
    </row>
    <row r="70" spans="1:19" s="2009" customFormat="1" ht="13.5" customHeight="1" x14ac:dyDescent="0.2">
      <c r="A70" s="2011" t="s">
        <v>2169</v>
      </c>
      <c r="B70" s="1984"/>
      <c r="C70" s="1958"/>
      <c r="D70" s="1958"/>
      <c r="E70" s="1958"/>
      <c r="F70" s="1959"/>
      <c r="G70" s="1983"/>
      <c r="H70" s="1983"/>
      <c r="I70" s="1983"/>
      <c r="J70" s="1989"/>
      <c r="K70" s="2010"/>
      <c r="L70" s="1983"/>
      <c r="M70" s="1983"/>
      <c r="N70" s="1983"/>
      <c r="O70" s="1983"/>
      <c r="P70" s="1989"/>
      <c r="Q70" s="1993"/>
      <c r="R70" s="1983"/>
      <c r="S70" s="1983"/>
    </row>
    <row r="71" spans="1:19" s="2009" customFormat="1" ht="13.5" customHeight="1" x14ac:dyDescent="0.2">
      <c r="A71" s="2011" t="s">
        <v>2170</v>
      </c>
      <c r="B71" s="1984"/>
      <c r="C71" s="1958"/>
      <c r="D71" s="1958"/>
      <c r="E71" s="1958"/>
      <c r="F71" s="1959"/>
      <c r="G71" s="1983"/>
      <c r="H71" s="1983"/>
      <c r="I71" s="1983"/>
      <c r="J71" s="1989"/>
      <c r="K71" s="2010"/>
      <c r="L71" s="1983"/>
      <c r="M71" s="1983"/>
      <c r="N71" s="1983"/>
      <c r="O71" s="1983"/>
      <c r="P71" s="1989"/>
      <c r="Q71" s="1993"/>
      <c r="R71" s="1983"/>
      <c r="S71" s="1983"/>
    </row>
    <row r="72" spans="1:19" s="2009" customFormat="1" ht="13.5" customHeight="1" x14ac:dyDescent="0.2">
      <c r="A72" s="2011"/>
      <c r="B72" s="1984"/>
      <c r="C72" s="1958"/>
      <c r="D72" s="1958"/>
      <c r="E72" s="1958"/>
      <c r="F72" s="1959"/>
      <c r="G72" s="1983"/>
      <c r="H72" s="1983"/>
      <c r="I72" s="1983"/>
      <c r="J72" s="1989"/>
      <c r="K72" s="2010"/>
      <c r="L72" s="1983"/>
      <c r="M72" s="1983"/>
      <c r="N72" s="1983"/>
      <c r="O72" s="1983"/>
      <c r="P72" s="1989"/>
      <c r="Q72" s="1993"/>
      <c r="R72" s="1983"/>
      <c r="S72" s="1983"/>
    </row>
    <row r="73" spans="1:19" s="2009" customFormat="1" ht="13.5" customHeight="1" x14ac:dyDescent="0.2">
      <c r="A73" s="2011"/>
      <c r="B73" s="1958" t="s">
        <v>2171</v>
      </c>
      <c r="C73" s="2004">
        <v>93.778000000000006</v>
      </c>
      <c r="D73" s="1958"/>
      <c r="E73" s="1958" t="s">
        <v>2172</v>
      </c>
      <c r="F73" s="1959"/>
      <c r="G73" s="1983">
        <v>60765</v>
      </c>
      <c r="H73" s="1983"/>
      <c r="I73" s="1983">
        <v>69702</v>
      </c>
      <c r="J73" s="1989"/>
      <c r="K73" s="1983">
        <v>135904</v>
      </c>
      <c r="L73" s="1983"/>
      <c r="M73" s="1983"/>
      <c r="N73" s="1983"/>
      <c r="O73" s="1983"/>
      <c r="P73" s="1989"/>
      <c r="Q73" s="1987">
        <f>O73+M73+K73</f>
        <v>135904</v>
      </c>
      <c r="R73" s="1990"/>
      <c r="S73" s="2012" t="s">
        <v>2131</v>
      </c>
    </row>
    <row r="74" spans="1:19" s="2009" customFormat="1" ht="13.5" customHeight="1" x14ac:dyDescent="0.2">
      <c r="A74" s="2011"/>
      <c r="B74" s="1958" t="s">
        <v>2171</v>
      </c>
      <c r="C74" s="2004">
        <v>93.778000000000006</v>
      </c>
      <c r="D74" s="1958"/>
      <c r="E74" s="1958" t="s">
        <v>2173</v>
      </c>
      <c r="F74" s="1959"/>
      <c r="G74" s="2006">
        <v>0</v>
      </c>
      <c r="H74" s="1983"/>
      <c r="I74" s="2006">
        <v>96667</v>
      </c>
      <c r="J74" s="1989"/>
      <c r="K74" s="2006">
        <v>0</v>
      </c>
      <c r="L74" s="1990"/>
      <c r="M74" s="2006">
        <v>138877</v>
      </c>
      <c r="N74" s="1983"/>
      <c r="O74" s="1990">
        <v>0</v>
      </c>
      <c r="P74" s="1989"/>
      <c r="Q74" s="1990">
        <f>O74+M74+K74</f>
        <v>138877</v>
      </c>
      <c r="R74" s="1990"/>
      <c r="S74" s="2012" t="s">
        <v>2131</v>
      </c>
    </row>
    <row r="75" spans="1:19" s="2009" customFormat="1" ht="13.5" customHeight="1" x14ac:dyDescent="0.2">
      <c r="A75" s="2011"/>
      <c r="B75" s="1984"/>
      <c r="C75" s="1958"/>
      <c r="D75" s="1958"/>
      <c r="E75" s="1958"/>
      <c r="F75" s="1959"/>
      <c r="G75" s="1983"/>
      <c r="H75" s="1983"/>
      <c r="I75" s="1983"/>
      <c r="J75" s="1989"/>
      <c r="K75" s="2010"/>
      <c r="L75" s="1983"/>
      <c r="M75" s="1983"/>
      <c r="N75" s="1983"/>
      <c r="O75" s="1995"/>
      <c r="P75" s="1989"/>
      <c r="Q75" s="1993"/>
      <c r="R75" s="1983"/>
      <c r="S75" s="1983"/>
    </row>
    <row r="76" spans="1:19" s="2009" customFormat="1" ht="13.5" hidden="1" customHeight="1" x14ac:dyDescent="0.2">
      <c r="A76" s="1982" t="s">
        <v>2127</v>
      </c>
      <c r="B76" s="1958"/>
      <c r="C76" s="1958"/>
      <c r="D76" s="1958"/>
      <c r="E76" s="1958"/>
      <c r="F76" s="1959"/>
      <c r="G76" s="1983"/>
      <c r="H76" s="1983"/>
      <c r="I76" s="1983"/>
      <c r="J76" s="1989"/>
      <c r="K76" s="1983"/>
      <c r="L76" s="1983"/>
      <c r="M76" s="1983"/>
      <c r="N76" s="1983"/>
      <c r="O76" s="1983"/>
      <c r="P76" s="1989"/>
      <c r="Q76" s="1993"/>
      <c r="R76" s="1983"/>
      <c r="S76" s="1983"/>
    </row>
    <row r="77" spans="1:19" s="2009" customFormat="1" ht="16.149999999999999" hidden="1" customHeight="1" x14ac:dyDescent="0.2">
      <c r="A77" s="1982" t="s">
        <v>2174</v>
      </c>
      <c r="B77" s="1982"/>
      <c r="C77" s="2003"/>
      <c r="D77" s="1958"/>
      <c r="E77" s="1958"/>
      <c r="F77" s="1959"/>
      <c r="G77" s="1990"/>
      <c r="H77" s="1990"/>
      <c r="I77" s="1990"/>
      <c r="J77" s="1990"/>
      <c r="K77" s="1990"/>
      <c r="L77" s="1990"/>
      <c r="M77" s="1990"/>
      <c r="N77" s="1990"/>
      <c r="O77" s="1990"/>
      <c r="P77" s="1990"/>
      <c r="Q77" s="1990"/>
      <c r="R77" s="1990"/>
      <c r="S77" s="1983"/>
    </row>
    <row r="78" spans="1:19" s="2009" customFormat="1" ht="9" hidden="1" customHeight="1" x14ac:dyDescent="0.2">
      <c r="A78" s="1982"/>
      <c r="B78" s="1982"/>
      <c r="C78" s="2003"/>
      <c r="D78" s="1958"/>
      <c r="E78" s="1958"/>
      <c r="F78" s="1959"/>
      <c r="G78" s="1990"/>
      <c r="H78" s="1990"/>
      <c r="I78" s="1990"/>
      <c r="J78" s="1990"/>
      <c r="K78" s="1990"/>
      <c r="L78" s="1990"/>
      <c r="M78" s="1990"/>
      <c r="N78" s="1990"/>
      <c r="O78" s="1990"/>
      <c r="P78" s="1990"/>
      <c r="Q78" s="1990"/>
      <c r="R78" s="1990"/>
      <c r="S78" s="1983"/>
    </row>
    <row r="79" spans="1:19" s="2009" customFormat="1" ht="16.149999999999999" hidden="1" customHeight="1" x14ac:dyDescent="0.2">
      <c r="A79" s="1982"/>
      <c r="B79" s="1958" t="s">
        <v>2171</v>
      </c>
      <c r="C79" s="2004">
        <v>93.778000000000006</v>
      </c>
      <c r="D79" s="1958"/>
      <c r="E79" s="1958" t="s">
        <v>2175</v>
      </c>
      <c r="F79" s="1959"/>
      <c r="G79" s="1990"/>
      <c r="H79" s="1990"/>
      <c r="I79" s="1990"/>
      <c r="J79" s="1990"/>
      <c r="K79" s="1990"/>
      <c r="L79" s="1990"/>
      <c r="M79" s="1990" t="s">
        <v>1231</v>
      </c>
      <c r="N79" s="1990"/>
      <c r="O79" s="1990" t="s">
        <v>1231</v>
      </c>
      <c r="P79" s="1990"/>
      <c r="Q79" s="1990">
        <f>O79+M79+K79</f>
        <v>0</v>
      </c>
      <c r="R79" s="1990"/>
      <c r="S79" s="2012" t="s">
        <v>2131</v>
      </c>
    </row>
    <row r="80" spans="1:19" s="2009" customFormat="1" ht="16.5" hidden="1" customHeight="1" x14ac:dyDescent="0.2">
      <c r="A80" s="1982"/>
      <c r="B80" s="1958" t="s">
        <v>2171</v>
      </c>
      <c r="C80" s="2004">
        <v>93.778000000000006</v>
      </c>
      <c r="D80" s="1958"/>
      <c r="E80" s="1958" t="s">
        <v>2176</v>
      </c>
      <c r="F80" s="1959"/>
      <c r="G80" s="1990">
        <v>0</v>
      </c>
      <c r="H80" s="2013"/>
      <c r="I80" s="1990"/>
      <c r="J80" s="2013"/>
      <c r="K80" s="1990">
        <v>0</v>
      </c>
      <c r="L80" s="2013"/>
      <c r="M80" s="1990"/>
      <c r="N80" s="1983"/>
      <c r="O80" s="1990" t="s">
        <v>1231</v>
      </c>
      <c r="P80" s="2013"/>
      <c r="Q80" s="2007">
        <f>O80+M80+K80</f>
        <v>0</v>
      </c>
      <c r="R80" s="2013"/>
      <c r="S80" s="2012" t="s">
        <v>2131</v>
      </c>
    </row>
    <row r="81" spans="1:19" s="2009" customFormat="1" ht="13.5" customHeight="1" x14ac:dyDescent="0.2">
      <c r="A81" s="1982"/>
      <c r="B81" s="1958"/>
      <c r="C81" s="2003"/>
      <c r="D81" s="1958"/>
      <c r="E81" s="1958"/>
      <c r="F81" s="1959"/>
      <c r="G81" s="1990"/>
      <c r="H81" s="2013"/>
      <c r="I81" s="1983"/>
      <c r="J81" s="2013"/>
      <c r="K81" s="1990"/>
      <c r="L81" s="2013"/>
      <c r="M81" s="1990"/>
      <c r="N81" s="1990"/>
      <c r="O81" s="2013"/>
      <c r="P81" s="2013"/>
      <c r="Q81" s="2014"/>
      <c r="R81" s="2013"/>
      <c r="S81" s="2015"/>
    </row>
    <row r="82" spans="1:19" s="2016" customFormat="1" ht="16.149999999999999" customHeight="1" x14ac:dyDescent="0.2">
      <c r="A82" s="1982" t="s">
        <v>2177</v>
      </c>
      <c r="B82" s="1960"/>
      <c r="C82" s="2003"/>
      <c r="D82" s="1958"/>
      <c r="E82" s="1958"/>
      <c r="F82" s="1959"/>
      <c r="G82" s="1995">
        <f>SUM(G72:G81)</f>
        <v>60765</v>
      </c>
      <c r="H82" s="1996"/>
      <c r="I82" s="1995">
        <f>SUM(I72:I81)</f>
        <v>166369</v>
      </c>
      <c r="J82" s="1996"/>
      <c r="K82" s="1995">
        <f>SUM(K72:K81)</f>
        <v>135904</v>
      </c>
      <c r="L82" s="1996"/>
      <c r="M82" s="1995">
        <f>SUM(M72:M81)</f>
        <v>138877</v>
      </c>
      <c r="N82" s="1996"/>
      <c r="O82" s="1990">
        <f>SUM(O72:O81)</f>
        <v>0</v>
      </c>
      <c r="P82" s="1996"/>
      <c r="Q82" s="1995">
        <f>SUM(Q72:Q81)</f>
        <v>274781</v>
      </c>
      <c r="R82" s="1990"/>
      <c r="S82" s="1990"/>
    </row>
    <row r="83" spans="1:19" s="2016" customFormat="1" ht="17.25" hidden="1" x14ac:dyDescent="0.2">
      <c r="A83" s="1982"/>
      <c r="B83" s="1960"/>
      <c r="C83" s="2003"/>
      <c r="D83" s="1958"/>
      <c r="E83" s="1958"/>
      <c r="F83" s="1959"/>
      <c r="G83" s="1995"/>
      <c r="H83" s="1996"/>
      <c r="I83" s="1996"/>
      <c r="J83" s="1996"/>
      <c r="K83" s="1995"/>
      <c r="L83" s="1996"/>
      <c r="M83" s="1996"/>
      <c r="N83" s="1996"/>
      <c r="O83" s="1996"/>
      <c r="P83" s="1996"/>
      <c r="Q83" s="1996"/>
      <c r="R83" s="1990"/>
      <c r="S83" s="1990"/>
    </row>
    <row r="84" spans="1:19" s="2016" customFormat="1" ht="17.25" hidden="1" x14ac:dyDescent="0.2">
      <c r="A84" s="1982" t="s">
        <v>2178</v>
      </c>
      <c r="B84" s="1960"/>
      <c r="C84" s="2003"/>
      <c r="D84" s="1958"/>
      <c r="E84" s="1958"/>
      <c r="F84" s="1959"/>
      <c r="G84" s="1995"/>
      <c r="H84" s="1996"/>
      <c r="I84" s="1996"/>
      <c r="J84" s="1996"/>
      <c r="K84" s="1995"/>
      <c r="L84" s="1996"/>
      <c r="M84" s="1996"/>
      <c r="N84" s="1996"/>
      <c r="O84" s="1996"/>
      <c r="P84" s="1996"/>
      <c r="Q84" s="1996"/>
      <c r="R84" s="1990"/>
      <c r="S84" s="1990"/>
    </row>
    <row r="85" spans="1:19" s="2016" customFormat="1" ht="17.25" hidden="1" x14ac:dyDescent="0.2">
      <c r="A85" s="1982" t="s">
        <v>2179</v>
      </c>
      <c r="B85" s="1960"/>
      <c r="C85" s="2003"/>
      <c r="D85" s="1958"/>
      <c r="E85" s="1958"/>
      <c r="F85" s="1959"/>
      <c r="G85" s="1995"/>
      <c r="H85" s="1996"/>
      <c r="I85" s="1996"/>
      <c r="J85" s="1996"/>
      <c r="K85" s="1995"/>
      <c r="L85" s="1996"/>
      <c r="M85" s="1996"/>
      <c r="N85" s="1996"/>
      <c r="O85" s="1996"/>
      <c r="P85" s="1996"/>
      <c r="Q85" s="1996"/>
      <c r="R85" s="1990"/>
      <c r="S85" s="1990"/>
    </row>
    <row r="86" spans="1:19" s="2016" customFormat="1" ht="17.25" hidden="1" x14ac:dyDescent="0.2">
      <c r="A86" s="1982"/>
      <c r="B86" s="1958" t="s">
        <v>2180</v>
      </c>
      <c r="C86" s="2004">
        <v>83.522999999999996</v>
      </c>
      <c r="D86" s="1958"/>
      <c r="E86" s="1958" t="s">
        <v>2181</v>
      </c>
      <c r="F86" s="1959"/>
      <c r="G86" s="1990" t="s">
        <v>1231</v>
      </c>
      <c r="H86" s="1996"/>
      <c r="I86" s="1996">
        <v>0</v>
      </c>
      <c r="J86" s="1996"/>
      <c r="K86" s="1995">
        <v>0</v>
      </c>
      <c r="L86" s="1996"/>
      <c r="M86" s="1990" t="s">
        <v>1231</v>
      </c>
      <c r="N86" s="1996"/>
      <c r="O86" s="1990" t="s">
        <v>1231</v>
      </c>
      <c r="P86" s="1996"/>
      <c r="Q86" s="2007">
        <f>SUM(O86+M86+K86)</f>
        <v>0</v>
      </c>
      <c r="R86" s="1990"/>
      <c r="S86" s="2012" t="s">
        <v>2131</v>
      </c>
    </row>
    <row r="87" spans="1:19" s="2016" customFormat="1" ht="17.25" hidden="1" x14ac:dyDescent="0.2">
      <c r="A87" s="1982" t="s">
        <v>2182</v>
      </c>
      <c r="B87" s="1960"/>
      <c r="C87" s="2003"/>
      <c r="D87" s="1958"/>
      <c r="E87" s="1958"/>
      <c r="F87" s="1959"/>
      <c r="G87" s="1990">
        <f>SUM(G85:G86)</f>
        <v>0</v>
      </c>
      <c r="H87" s="1996"/>
      <c r="I87" s="1995">
        <f>SUM(I85:I86)</f>
        <v>0</v>
      </c>
      <c r="J87" s="1996"/>
      <c r="K87" s="1995">
        <f>SUM(K85:K86)</f>
        <v>0</v>
      </c>
      <c r="L87" s="1996"/>
      <c r="M87" s="1990">
        <f>SUM(M85:M86)</f>
        <v>0</v>
      </c>
      <c r="N87" s="1996"/>
      <c r="O87" s="1990">
        <f>SUM(O85:O86)</f>
        <v>0</v>
      </c>
      <c r="P87" s="1996"/>
      <c r="Q87" s="1995">
        <f>SUM(Q85:Q86)</f>
        <v>0</v>
      </c>
      <c r="R87" s="1990"/>
      <c r="S87" s="1990"/>
    </row>
    <row r="88" spans="1:19" ht="17.25" x14ac:dyDescent="0.2">
      <c r="A88" s="1982"/>
      <c r="B88" s="1960"/>
      <c r="C88" s="2003"/>
      <c r="D88" s="1958"/>
      <c r="E88" s="1958"/>
      <c r="F88" s="1959"/>
      <c r="G88" s="1996"/>
      <c r="H88" s="1996"/>
      <c r="I88" s="1996"/>
      <c r="J88" s="1996"/>
      <c r="K88" s="1996"/>
      <c r="L88" s="1996"/>
      <c r="M88" s="1996"/>
      <c r="N88" s="1996"/>
      <c r="O88" s="1996"/>
      <c r="P88" s="1996"/>
      <c r="Q88" s="1996"/>
      <c r="R88" s="1990"/>
      <c r="S88" s="1990"/>
    </row>
    <row r="89" spans="1:19" ht="15" customHeight="1" x14ac:dyDescent="0.2">
      <c r="A89" s="1959"/>
      <c r="B89" s="1958"/>
      <c r="C89" s="2003"/>
      <c r="D89" s="1958"/>
      <c r="E89" s="1958"/>
      <c r="F89" s="1959"/>
      <c r="G89" s="1990"/>
      <c r="H89" s="1990"/>
      <c r="I89" s="1990"/>
      <c r="J89" s="1991"/>
      <c r="K89" s="1990"/>
      <c r="L89" s="1990"/>
      <c r="M89" s="1990"/>
      <c r="N89" s="1990"/>
      <c r="O89" s="1990"/>
      <c r="P89" s="1991"/>
      <c r="Q89" s="1990"/>
      <c r="R89" s="1990"/>
      <c r="S89" s="1999"/>
    </row>
    <row r="90" spans="1:19" ht="17.100000000000001" customHeight="1" x14ac:dyDescent="0.2">
      <c r="A90" s="2017" t="s">
        <v>2183</v>
      </c>
      <c r="B90" s="1960"/>
      <c r="C90" s="2008"/>
      <c r="D90" s="1958"/>
      <c r="E90" s="1958"/>
      <c r="F90" s="1959"/>
      <c r="G90" s="2018">
        <f>G36+G66+G82+G87</f>
        <v>2140695</v>
      </c>
      <c r="H90" s="2018"/>
      <c r="I90" s="2018">
        <f>I36+I66+I82+I87</f>
        <v>3463518</v>
      </c>
      <c r="J90" s="2018"/>
      <c r="K90" s="2018">
        <f>K36+K66+K82+K87</f>
        <v>2712643</v>
      </c>
      <c r="L90" s="2018"/>
      <c r="M90" s="2018">
        <f>M36+M66+M82+M87</f>
        <v>3509165</v>
      </c>
      <c r="N90" s="2018"/>
      <c r="O90" s="2018">
        <f>O36+O66+O82+O87</f>
        <v>0</v>
      </c>
      <c r="P90" s="2018"/>
      <c r="Q90" s="2018">
        <f>Q36+Q66+Q82+Q87</f>
        <v>6221808</v>
      </c>
      <c r="R90" s="2019"/>
      <c r="S90" s="2019"/>
    </row>
    <row r="91" spans="1:19" x14ac:dyDescent="0.2">
      <c r="A91" s="1959"/>
      <c r="B91" s="1958"/>
      <c r="C91" s="2008"/>
      <c r="D91" s="1958"/>
      <c r="E91" s="1958"/>
      <c r="F91" s="1959"/>
      <c r="G91" s="2020"/>
      <c r="H91" s="1983"/>
      <c r="I91" s="2020"/>
      <c r="J91" s="1989"/>
      <c r="K91" s="2020"/>
      <c r="L91" s="2021"/>
      <c r="M91" s="2020"/>
      <c r="N91" s="2021"/>
      <c r="O91" s="2020"/>
      <c r="P91" s="1989"/>
      <c r="Q91" s="2020"/>
      <c r="R91" s="2021" t="s">
        <v>1231</v>
      </c>
      <c r="S91" s="1983"/>
    </row>
    <row r="92" spans="1:19" ht="15" customHeight="1" x14ac:dyDescent="0.2">
      <c r="A92" s="1959"/>
      <c r="B92" s="1958"/>
      <c r="C92" s="2008"/>
      <c r="D92" s="1958"/>
      <c r="E92" s="1958"/>
      <c r="F92" s="1959"/>
      <c r="G92" s="2020"/>
      <c r="H92" s="1983"/>
      <c r="I92" s="2020"/>
      <c r="J92" s="1989"/>
      <c r="K92" s="2020"/>
      <c r="L92" s="2021"/>
      <c r="M92" s="2020"/>
      <c r="N92" s="2021"/>
      <c r="O92" s="2020"/>
      <c r="P92" s="1989"/>
      <c r="Q92" s="2020"/>
      <c r="R92" s="2021"/>
      <c r="S92" s="1983"/>
    </row>
    <row r="93" spans="1:19" x14ac:dyDescent="0.2">
      <c r="A93" s="1980" t="s">
        <v>2184</v>
      </c>
      <c r="B93" s="1958"/>
      <c r="C93" s="2008"/>
      <c r="D93" s="1958"/>
      <c r="E93" s="1958"/>
      <c r="F93" s="1959"/>
      <c r="G93" s="2023">
        <f>SUM(G18:G34,G42:G53)</f>
        <v>1619030</v>
      </c>
      <c r="H93" s="2023"/>
      <c r="I93" s="2023">
        <f>SUM(I18:I34,I42:I53)</f>
        <v>2721385</v>
      </c>
      <c r="J93" s="2023"/>
      <c r="K93" s="2023">
        <f>SUM(K18:K34,K42:K53)</f>
        <v>2115839</v>
      </c>
      <c r="L93" s="2023"/>
      <c r="M93" s="2023">
        <f>SUM(M18:M34,M42:M53)</f>
        <v>2794524</v>
      </c>
      <c r="N93" s="2023"/>
      <c r="O93" s="2023">
        <f>SUM(O18:O34,O42:O53)</f>
        <v>0</v>
      </c>
      <c r="P93" s="2023"/>
      <c r="Q93" s="2023">
        <f>SUM(Q18:Q34,Q42:Q53)</f>
        <v>4910363</v>
      </c>
      <c r="R93" s="2020"/>
      <c r="S93" s="1983"/>
    </row>
    <row r="94" spans="1:19" x14ac:dyDescent="0.2">
      <c r="A94" s="1980"/>
      <c r="B94" s="1958"/>
      <c r="C94" s="2008"/>
      <c r="D94" s="1958"/>
      <c r="E94" s="1958"/>
      <c r="F94" s="1959"/>
      <c r="G94" s="2020"/>
      <c r="H94" s="1983"/>
      <c r="I94" s="2020"/>
      <c r="J94" s="1989"/>
      <c r="K94" s="2020"/>
      <c r="L94" s="2021"/>
      <c r="M94" s="2020"/>
      <c r="N94" s="2021"/>
      <c r="O94" s="2020"/>
      <c r="P94" s="1989"/>
      <c r="Q94" s="2020"/>
      <c r="R94" s="2021"/>
      <c r="S94" s="1983"/>
    </row>
    <row r="95" spans="1:19" ht="16.149999999999999" customHeight="1" x14ac:dyDescent="0.2">
      <c r="A95" s="1980" t="s">
        <v>2185</v>
      </c>
      <c r="B95" s="1958"/>
      <c r="C95" s="2008"/>
      <c r="D95" s="1958"/>
      <c r="E95" s="1958"/>
      <c r="F95" s="1959"/>
      <c r="G95" s="1996">
        <f>SUM(G54:G65,G72:G80,G87)</f>
        <v>521665</v>
      </c>
      <c r="H95" s="1996"/>
      <c r="I95" s="1996">
        <f>SUM(I54:I65,I72:I80,I87)</f>
        <v>742133</v>
      </c>
      <c r="J95" s="1996"/>
      <c r="K95" s="1996">
        <f>SUM(K54:K65,K72:K80,K87)</f>
        <v>596804</v>
      </c>
      <c r="L95" s="1996"/>
      <c r="M95" s="1996">
        <f>SUM(M54:M65,M72:M80,M87)</f>
        <v>714641</v>
      </c>
      <c r="N95" s="1996"/>
      <c r="O95" s="1990">
        <f>SUM(O54:O65,O72:O80,O87)</f>
        <v>0</v>
      </c>
      <c r="P95" s="1996"/>
      <c r="Q95" s="1996">
        <f>SUM(Q54:Q65,Q72:Q80,Q87)</f>
        <v>1311445</v>
      </c>
      <c r="R95" s="1990"/>
      <c r="S95" s="1983"/>
    </row>
    <row r="96" spans="1:19" x14ac:dyDescent="0.2">
      <c r="A96" s="1980"/>
      <c r="B96" s="1958"/>
      <c r="C96" s="2008"/>
      <c r="D96" s="1958"/>
      <c r="E96" s="1958"/>
      <c r="F96" s="1959"/>
      <c r="G96" s="2020"/>
      <c r="H96" s="1983"/>
      <c r="I96" s="2020"/>
      <c r="J96" s="1989"/>
      <c r="K96" s="2020"/>
      <c r="L96" s="2021"/>
      <c r="M96" s="2020"/>
      <c r="N96" s="2021"/>
      <c r="O96" s="2020"/>
      <c r="P96" s="1989"/>
      <c r="Q96" s="2020"/>
      <c r="R96" s="2021"/>
      <c r="S96" s="1983"/>
    </row>
    <row r="97" spans="1:19" ht="16.149999999999999" customHeight="1" x14ac:dyDescent="0.2">
      <c r="A97" s="1980" t="s">
        <v>2183</v>
      </c>
      <c r="B97" s="1958"/>
      <c r="C97" s="2008"/>
      <c r="D97" s="1958"/>
      <c r="E97" s="1958"/>
      <c r="F97" s="1959"/>
      <c r="G97" s="2018">
        <f>G93+G95</f>
        <v>2140695</v>
      </c>
      <c r="H97" s="2018"/>
      <c r="I97" s="2018">
        <f t="shared" ref="I97:Q97" si="0">I93+I95</f>
        <v>3463518</v>
      </c>
      <c r="J97" s="2018"/>
      <c r="K97" s="2018">
        <f t="shared" si="0"/>
        <v>2712643</v>
      </c>
      <c r="L97" s="2018"/>
      <c r="M97" s="2018">
        <f t="shared" si="0"/>
        <v>3509165</v>
      </c>
      <c r="N97" s="2018"/>
      <c r="O97" s="2018">
        <f t="shared" si="0"/>
        <v>0</v>
      </c>
      <c r="P97" s="2018"/>
      <c r="Q97" s="2018">
        <f t="shared" si="0"/>
        <v>6221808</v>
      </c>
      <c r="R97" s="2020"/>
      <c r="S97" s="1983"/>
    </row>
    <row r="98" spans="1:19" ht="6" customHeight="1" x14ac:dyDescent="0.2">
      <c r="A98" s="1959"/>
      <c r="B98" s="1958"/>
      <c r="C98" s="2008"/>
      <c r="D98" s="1958"/>
      <c r="E98" s="1958"/>
      <c r="F98" s="1959"/>
      <c r="G98" s="2019"/>
      <c r="H98" s="1983"/>
      <c r="I98" s="2019"/>
      <c r="J98" s="1989"/>
      <c r="K98" s="2019"/>
      <c r="L98" s="2021"/>
      <c r="M98" s="2019"/>
      <c r="N98" s="2021"/>
      <c r="O98" s="2019"/>
      <c r="P98" s="2019"/>
      <c r="Q98" s="2019"/>
      <c r="R98" s="2021"/>
      <c r="S98" s="1983"/>
    </row>
    <row r="99" spans="1:19" ht="17.100000000000001" customHeight="1" x14ac:dyDescent="0.2">
      <c r="A99" s="1958" t="s">
        <v>2186</v>
      </c>
      <c r="B99" s="1958"/>
      <c r="C99" s="1958"/>
      <c r="D99" s="1958"/>
      <c r="E99" s="1958"/>
      <c r="F99" s="1959"/>
      <c r="G99" s="1983"/>
      <c r="H99" s="1983"/>
      <c r="I99" s="1983"/>
      <c r="J99" s="1989"/>
      <c r="K99" s="1983"/>
      <c r="L99" s="1983"/>
      <c r="M99" s="1983"/>
      <c r="N99" s="1983"/>
      <c r="O99" s="1995"/>
      <c r="P99" s="1989"/>
      <c r="Q99" s="1983"/>
      <c r="R99" s="1983"/>
      <c r="S99" s="1983"/>
    </row>
    <row r="100" spans="1:19" x14ac:dyDescent="0.2">
      <c r="A100" s="2024" t="s">
        <v>2187</v>
      </c>
      <c r="B100" s="1960"/>
      <c r="C100" s="1958"/>
      <c r="D100" s="1958"/>
      <c r="E100" s="1958"/>
      <c r="F100" s="1959"/>
      <c r="G100" s="1983"/>
      <c r="H100" s="1983"/>
      <c r="I100" s="1983"/>
      <c r="J100" s="1989"/>
      <c r="K100" s="1983"/>
      <c r="L100" s="1983"/>
      <c r="M100" s="1983"/>
      <c r="N100" s="1983"/>
      <c r="O100" s="1983"/>
      <c r="P100" s="1989"/>
      <c r="Q100" s="1983"/>
      <c r="R100" s="1983"/>
      <c r="S100" s="1983"/>
    </row>
    <row r="101" spans="1:19" x14ac:dyDescent="0.2">
      <c r="A101" s="2024" t="s">
        <v>2188</v>
      </c>
      <c r="B101" s="1960"/>
      <c r="C101" s="1958"/>
      <c r="D101" s="1958"/>
      <c r="E101" s="1958"/>
      <c r="F101" s="1959"/>
      <c r="G101" s="1983"/>
      <c r="H101" s="1983"/>
      <c r="I101" s="1983"/>
      <c r="J101" s="1989" t="s">
        <v>1231</v>
      </c>
      <c r="K101" s="1983" t="s">
        <v>1231</v>
      </c>
      <c r="L101" s="1983"/>
      <c r="M101" s="1983" t="s">
        <v>1231</v>
      </c>
      <c r="N101" s="1983"/>
      <c r="O101" s="1983"/>
      <c r="P101" s="1989"/>
      <c r="Q101" s="1983"/>
      <c r="R101" s="1983"/>
      <c r="S101" s="1983"/>
    </row>
    <row r="102" spans="1:19" x14ac:dyDescent="0.2">
      <c r="A102" s="1971" t="s">
        <v>2189</v>
      </c>
      <c r="B102" s="1960"/>
      <c r="C102" s="1960"/>
      <c r="D102" s="1960"/>
      <c r="E102" s="1960"/>
      <c r="F102" s="2005"/>
      <c r="G102" s="1960"/>
      <c r="H102" s="1960"/>
      <c r="J102" s="2005"/>
      <c r="K102" s="1960"/>
      <c r="L102" s="1960"/>
      <c r="M102" s="1960"/>
      <c r="N102" s="1960"/>
      <c r="O102" s="1960"/>
      <c r="P102" s="2005"/>
      <c r="Q102" s="1960"/>
      <c r="R102" s="1960"/>
      <c r="S102" s="1960"/>
    </row>
    <row r="103" spans="1:19" x14ac:dyDescent="0.2">
      <c r="A103" s="1971"/>
    </row>
  </sheetData>
  <mergeCells count="4">
    <mergeCell ref="A3:S3"/>
    <mergeCell ref="A4:S4"/>
    <mergeCell ref="A5:S5"/>
    <mergeCell ref="A6:S6"/>
  </mergeCells>
  <printOptions horizontalCentered="1" gridLinesSet="0"/>
  <pageMargins left="0.25" right="0.25" top="0.5" bottom="0.25" header="0" footer="0.25"/>
  <pageSetup scale="70" fitToHeight="2" orientation="landscape" r:id="rId1"/>
  <headerFooter alignWithMargins="0">
    <oddFooter>&amp;L&amp;"Times New Roman,Regular"See the accompanying notes to the schedule of expenditures of federal awards.</oddFooter>
  </headerFooter>
  <rowBreaks count="1" manualBreakCount="1">
    <brk id="54"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71" t="s">
        <v>1230</v>
      </c>
      <c r="B2" s="2171"/>
      <c r="C2" s="2171"/>
      <c r="D2" s="2171"/>
      <c r="E2" s="2171"/>
      <c r="F2" s="2171"/>
      <c r="G2" s="2171"/>
      <c r="H2" s="2171"/>
      <c r="I2" s="2171"/>
      <c r="J2" s="2171"/>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1890</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85" t="s">
        <v>1729</v>
      </c>
      <c r="B35" s="2186"/>
      <c r="C35" s="2186"/>
      <c r="D35" s="2186"/>
      <c r="E35" s="2187"/>
      <c r="F35" s="2187"/>
      <c r="G35" s="2187"/>
      <c r="H35" s="2187"/>
      <c r="I35" s="21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85" t="s">
        <v>331</v>
      </c>
      <c r="B47" s="2188"/>
      <c r="C47" s="2188"/>
      <c r="D47" s="2188"/>
      <c r="E47" s="2189"/>
      <c r="F47" s="2189"/>
      <c r="G47" s="2189"/>
      <c r="H47" s="2189"/>
      <c r="I47" s="21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1735</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2071</v>
      </c>
      <c r="C53" s="179">
        <v>22</v>
      </c>
      <c r="D53" s="247" t="s">
        <v>1537</v>
      </c>
      <c r="E53" s="248"/>
      <c r="F53" s="249"/>
      <c r="G53" s="249" t="s">
        <v>1536</v>
      </c>
      <c r="H53" s="250">
        <v>36161</v>
      </c>
      <c r="I53" s="237" t="s">
        <v>1562</v>
      </c>
    </row>
    <row r="54" spans="1:10" s="181" customFormat="1" x14ac:dyDescent="0.2">
      <c r="A54" s="219"/>
      <c r="B54" s="220" t="s">
        <v>2071</v>
      </c>
      <c r="C54" s="179">
        <v>23</v>
      </c>
      <c r="D54" s="243" t="s">
        <v>1429</v>
      </c>
      <c r="E54" s="248"/>
      <c r="F54" s="249"/>
    </row>
    <row r="55" spans="1:10" s="181" customFormat="1" x14ac:dyDescent="0.2">
      <c r="A55" s="214"/>
      <c r="B55" s="251"/>
      <c r="C55" s="251"/>
      <c r="D55" s="231" t="s">
        <v>1889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92" t="s">
        <v>2211</v>
      </c>
      <c r="C57" s="2193"/>
      <c r="D57" s="2193"/>
      <c r="E57" s="2193"/>
      <c r="F57" s="2193"/>
      <c r="G57" s="2193"/>
      <c r="H57" s="2193"/>
      <c r="I57" s="2193"/>
      <c r="J57" s="2194"/>
    </row>
    <row r="58" spans="1:10" s="181" customFormat="1" x14ac:dyDescent="0.2">
      <c r="A58" s="253"/>
      <c r="B58" s="2195"/>
      <c r="C58" s="2196"/>
      <c r="D58" s="2196"/>
      <c r="E58" s="2196"/>
      <c r="F58" s="2196"/>
      <c r="G58" s="2196"/>
      <c r="H58" s="2196"/>
      <c r="I58" s="2196"/>
      <c r="J58" s="2197"/>
    </row>
    <row r="59" spans="1:10" s="181" customFormat="1" x14ac:dyDescent="0.2">
      <c r="A59" s="253"/>
      <c r="B59" s="2195"/>
      <c r="C59" s="2196"/>
      <c r="D59" s="2196"/>
      <c r="E59" s="2196"/>
      <c r="F59" s="2196"/>
      <c r="G59" s="2196"/>
      <c r="H59" s="2196"/>
      <c r="I59" s="2196"/>
      <c r="J59" s="2197"/>
    </row>
    <row r="60" spans="1:10" s="181" customFormat="1" x14ac:dyDescent="0.2">
      <c r="A60" s="253"/>
      <c r="B60" s="2195"/>
      <c r="C60" s="2196"/>
      <c r="D60" s="2196"/>
      <c r="E60" s="2196"/>
      <c r="F60" s="2196"/>
      <c r="G60" s="2196"/>
      <c r="H60" s="2196"/>
      <c r="I60" s="2196"/>
      <c r="J60" s="2197"/>
    </row>
    <row r="61" spans="1:10" s="181" customFormat="1" x14ac:dyDescent="0.2">
      <c r="A61" s="253"/>
      <c r="B61" s="2195"/>
      <c r="C61" s="2196"/>
      <c r="D61" s="2196"/>
      <c r="E61" s="2196"/>
      <c r="F61" s="2196"/>
      <c r="G61" s="2196"/>
      <c r="H61" s="2196"/>
      <c r="I61" s="2196"/>
      <c r="J61" s="2197"/>
    </row>
    <row r="62" spans="1:10" s="181" customFormat="1" x14ac:dyDescent="0.2">
      <c r="A62" s="253"/>
      <c r="B62" s="2195"/>
      <c r="C62" s="2196"/>
      <c r="D62" s="2196"/>
      <c r="E62" s="2196"/>
      <c r="F62" s="2196"/>
      <c r="G62" s="2196"/>
      <c r="H62" s="2196"/>
      <c r="I62" s="2196"/>
      <c r="J62" s="2197"/>
    </row>
    <row r="63" spans="1:10" s="181" customFormat="1" x14ac:dyDescent="0.2">
      <c r="A63" s="253"/>
      <c r="B63" s="2195"/>
      <c r="C63" s="2196"/>
      <c r="D63" s="2196"/>
      <c r="E63" s="2196"/>
      <c r="F63" s="2196"/>
      <c r="G63" s="2196"/>
      <c r="H63" s="2196"/>
      <c r="I63" s="2196"/>
      <c r="J63" s="2197"/>
    </row>
    <row r="64" spans="1:10" s="181" customFormat="1" x14ac:dyDescent="0.2">
      <c r="A64" s="253"/>
      <c r="B64" s="2195"/>
      <c r="C64" s="2196"/>
      <c r="D64" s="2196"/>
      <c r="E64" s="2196"/>
      <c r="F64" s="2196"/>
      <c r="G64" s="2196"/>
      <c r="H64" s="2196"/>
      <c r="I64" s="2196"/>
      <c r="J64" s="2197"/>
    </row>
    <row r="65" spans="1:10" s="181" customFormat="1" x14ac:dyDescent="0.2">
      <c r="A65" s="253"/>
      <c r="B65" s="2195"/>
      <c r="C65" s="2196"/>
      <c r="D65" s="2196"/>
      <c r="E65" s="2196"/>
      <c r="F65" s="2196"/>
      <c r="G65" s="2196"/>
      <c r="H65" s="2196"/>
      <c r="I65" s="2196"/>
      <c r="J65" s="2197"/>
    </row>
    <row r="66" spans="1:10" s="181" customFormat="1" x14ac:dyDescent="0.2">
      <c r="A66" s="253"/>
      <c r="B66" s="2195"/>
      <c r="C66" s="2196"/>
      <c r="D66" s="2196"/>
      <c r="E66" s="2196"/>
      <c r="F66" s="2196"/>
      <c r="G66" s="2196"/>
      <c r="H66" s="2196"/>
      <c r="I66" s="2196"/>
      <c r="J66" s="2197"/>
    </row>
    <row r="67" spans="1:10" s="181" customFormat="1" ht="9" customHeight="1" x14ac:dyDescent="0.2">
      <c r="A67" s="254"/>
      <c r="B67" s="2198"/>
      <c r="C67" s="2199"/>
      <c r="D67" s="2199"/>
      <c r="E67" s="2199"/>
      <c r="F67" s="2199"/>
      <c r="G67" s="2199"/>
      <c r="H67" s="2199"/>
      <c r="I67" s="2199"/>
      <c r="J67" s="22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85" t="s">
        <v>1390</v>
      </c>
      <c r="B70" s="2188"/>
      <c r="C70" s="2188"/>
      <c r="D70" s="2188"/>
      <c r="E70" s="2189"/>
      <c r="F70" s="2189"/>
      <c r="G70" s="2189"/>
      <c r="H70" s="2189"/>
      <c r="I70" s="21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1743</v>
      </c>
      <c r="G77" s="297" t="s">
        <v>2015</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90" t="s">
        <v>1387</v>
      </c>
      <c r="B83" s="2190"/>
      <c r="C83" s="2190"/>
      <c r="D83" s="21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1231</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72"/>
      <c r="C102" s="2173"/>
      <c r="D102" s="2173"/>
      <c r="E102" s="2173"/>
      <c r="F102" s="2173"/>
      <c r="G102" s="2173"/>
      <c r="H102" s="2173"/>
      <c r="I102" s="2174"/>
    </row>
    <row r="103" spans="1:9" s="181" customFormat="1" ht="11.25" customHeight="1" x14ac:dyDescent="0.2">
      <c r="A103" s="316"/>
      <c r="B103" s="2175"/>
      <c r="C103" s="2176"/>
      <c r="D103" s="2176"/>
      <c r="E103" s="2176"/>
      <c r="F103" s="2176"/>
      <c r="G103" s="2176"/>
      <c r="H103" s="2176"/>
      <c r="I103" s="2177"/>
    </row>
    <row r="104" spans="1:9" s="181" customFormat="1" ht="11.25" customHeight="1" x14ac:dyDescent="0.2">
      <c r="A104" s="316"/>
      <c r="B104" s="2175"/>
      <c r="C104" s="2176"/>
      <c r="D104" s="2176"/>
      <c r="E104" s="2176"/>
      <c r="F104" s="2176"/>
      <c r="G104" s="2176"/>
      <c r="H104" s="2176"/>
      <c r="I104" s="2177"/>
    </row>
    <row r="105" spans="1:9" s="181" customFormat="1" x14ac:dyDescent="0.2">
      <c r="A105" s="316"/>
      <c r="B105" s="2175"/>
      <c r="C105" s="2176"/>
      <c r="D105" s="2176"/>
      <c r="E105" s="2176"/>
      <c r="F105" s="2176"/>
      <c r="G105" s="2176"/>
      <c r="H105" s="2176"/>
      <c r="I105" s="2177"/>
    </row>
    <row r="106" spans="1:9" s="181" customFormat="1" ht="11.25" customHeight="1" x14ac:dyDescent="0.2">
      <c r="A106" s="316"/>
      <c r="B106" s="2175"/>
      <c r="C106" s="2176"/>
      <c r="D106" s="2176"/>
      <c r="E106" s="2176"/>
      <c r="F106" s="2176"/>
      <c r="G106" s="2176"/>
      <c r="H106" s="2176"/>
      <c r="I106" s="2177"/>
    </row>
    <row r="107" spans="1:9" s="181" customFormat="1" ht="11.25" customHeight="1" x14ac:dyDescent="0.2">
      <c r="A107" s="316"/>
      <c r="B107" s="2175"/>
      <c r="C107" s="2176"/>
      <c r="D107" s="2176"/>
      <c r="E107" s="2176"/>
      <c r="F107" s="2176"/>
      <c r="G107" s="2176"/>
      <c r="H107" s="2176"/>
      <c r="I107" s="2177"/>
    </row>
    <row r="108" spans="1:9" s="181" customFormat="1" ht="11.25" customHeight="1" x14ac:dyDescent="0.2">
      <c r="A108" s="316"/>
      <c r="B108" s="2175"/>
      <c r="C108" s="2176"/>
      <c r="D108" s="2176"/>
      <c r="E108" s="2176"/>
      <c r="F108" s="2176"/>
      <c r="G108" s="2176"/>
      <c r="H108" s="2176"/>
      <c r="I108" s="2177"/>
    </row>
    <row r="109" spans="1:9" s="181" customFormat="1" ht="11.25" customHeight="1" x14ac:dyDescent="0.2">
      <c r="A109" s="316"/>
      <c r="B109" s="2175"/>
      <c r="C109" s="2176"/>
      <c r="D109" s="2176"/>
      <c r="E109" s="2176"/>
      <c r="F109" s="2176"/>
      <c r="G109" s="2176"/>
      <c r="H109" s="2176"/>
      <c r="I109" s="2177"/>
    </row>
    <row r="110" spans="1:9" s="181" customFormat="1" ht="11.25" customHeight="1" x14ac:dyDescent="0.2">
      <c r="A110" s="316"/>
      <c r="B110" s="2175"/>
      <c r="C110" s="2176"/>
      <c r="D110" s="2176"/>
      <c r="E110" s="2176"/>
      <c r="F110" s="2176"/>
      <c r="G110" s="2176"/>
      <c r="H110" s="2176"/>
      <c r="I110" s="2177"/>
    </row>
    <row r="111" spans="1:9" s="181" customFormat="1" ht="11.25" customHeight="1" x14ac:dyDescent="0.2">
      <c r="A111" s="316"/>
      <c r="B111" s="2175"/>
      <c r="C111" s="2176"/>
      <c r="D111" s="2176"/>
      <c r="E111" s="2176"/>
      <c r="F111" s="2176"/>
      <c r="G111" s="2176"/>
      <c r="H111" s="2176"/>
      <c r="I111" s="2177"/>
    </row>
    <row r="112" spans="1:9" s="181" customFormat="1" ht="11.25" customHeight="1" x14ac:dyDescent="0.2">
      <c r="A112" s="316"/>
      <c r="B112" s="2178"/>
      <c r="C112" s="2179"/>
      <c r="D112" s="2179"/>
      <c r="E112" s="2179"/>
      <c r="F112" s="2179"/>
      <c r="G112" s="2179"/>
      <c r="H112" s="2179"/>
      <c r="I112" s="21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81" t="s">
        <v>2078</v>
      </c>
      <c r="D114" s="21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82" t="s">
        <v>1397</v>
      </c>
      <c r="D117" s="2183"/>
      <c r="E117" s="2184"/>
      <c r="F117" s="2184"/>
      <c r="G117" s="2184"/>
      <c r="H117" s="2184"/>
      <c r="I117" s="304"/>
    </row>
    <row r="118" spans="1:9" s="181" customFormat="1" ht="24" customHeight="1" x14ac:dyDescent="0.2">
      <c r="A118" s="316"/>
      <c r="B118" s="316"/>
      <c r="C118" s="316"/>
      <c r="D118" s="323" t="s">
        <v>2232</v>
      </c>
      <c r="E118" s="322"/>
      <c r="F118" s="324"/>
      <c r="G118" s="1860"/>
      <c r="H118" s="322"/>
      <c r="I118" s="304"/>
    </row>
    <row r="119" spans="1:9" s="181" customFormat="1" ht="11.25" customHeight="1" x14ac:dyDescent="0.2">
      <c r="A119" s="325"/>
      <c r="B119" s="325"/>
      <c r="C119" s="326"/>
      <c r="D119" s="327" t="s">
        <v>379</v>
      </c>
      <c r="E119" s="310"/>
      <c r="F119" s="1859" t="s">
        <v>2016</v>
      </c>
      <c r="G119" s="328"/>
      <c r="H119" s="328"/>
      <c r="I119" s="304"/>
    </row>
    <row r="120" spans="1:9" x14ac:dyDescent="0.2">
      <c r="A120" s="329"/>
      <c r="B120" s="180"/>
      <c r="C120" s="330"/>
      <c r="D120" s="256"/>
      <c r="E120" s="256"/>
      <c r="F120" s="256"/>
      <c r="G120" s="256"/>
      <c r="H120" s="256"/>
      <c r="I120" s="304"/>
    </row>
    <row r="121" spans="1:9" x14ac:dyDescent="0.2">
      <c r="A121" s="329"/>
      <c r="B121" s="1507"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4"/>
  <sheetViews>
    <sheetView showGridLines="0" zoomScale="120" zoomScaleNormal="120" workbookViewId="0">
      <selection sqref="A1:F1"/>
    </sheetView>
  </sheetViews>
  <sheetFormatPr defaultColWidth="8" defaultRowHeight="12.75" x14ac:dyDescent="0.2"/>
  <cols>
    <col min="1" max="1" width="1.42578125" style="317" customWidth="1"/>
    <col min="2" max="2" width="54" style="317" customWidth="1"/>
    <col min="3" max="3" width="14.28515625" style="1255" customWidth="1"/>
    <col min="4" max="4" width="16"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566" t="str">
        <f>'Single Audit Cover'!A7</f>
        <v>Pekin PSD 108</v>
      </c>
      <c r="B1" s="2566"/>
      <c r="C1" s="2566"/>
      <c r="D1" s="2566"/>
      <c r="E1" s="2566"/>
      <c r="F1" s="2566"/>
    </row>
    <row r="2" spans="1:7" ht="13.5" customHeight="1" x14ac:dyDescent="0.2">
      <c r="A2" s="2551">
        <f>'Single Audit Cover'!E7</f>
        <v>53090108002</v>
      </c>
      <c r="B2" s="2551"/>
      <c r="C2" s="2551"/>
      <c r="D2" s="2551"/>
      <c r="E2" s="2551"/>
      <c r="F2" s="2551"/>
      <c r="G2" s="1272"/>
    </row>
    <row r="3" spans="1:7" ht="15.75" customHeight="1" x14ac:dyDescent="0.2">
      <c r="A3" s="2567" t="s">
        <v>1333</v>
      </c>
      <c r="B3" s="2567"/>
      <c r="C3" s="2567"/>
      <c r="D3" s="2567"/>
      <c r="E3" s="2567"/>
      <c r="F3" s="2567"/>
    </row>
    <row r="4" spans="1:7" ht="13.5" customHeight="1" x14ac:dyDescent="0.2">
      <c r="A4" s="2568" t="str">
        <f>'Single Audit Cover'!A4</f>
        <v>Year Ending June 30, 2018</v>
      </c>
      <c r="B4" s="2568"/>
      <c r="C4" s="2568"/>
      <c r="D4" s="2568"/>
      <c r="E4" s="2568"/>
      <c r="F4" s="2568"/>
    </row>
    <row r="5" spans="1:7" ht="8.25" customHeight="1" x14ac:dyDescent="0.2">
      <c r="C5" s="317"/>
      <c r="D5" s="317"/>
    </row>
    <row r="6" spans="1:7" ht="13.5" customHeight="1" x14ac:dyDescent="0.2">
      <c r="A6" s="1273" t="s">
        <v>1829</v>
      </c>
      <c r="C6" s="317"/>
      <c r="D6" s="317"/>
    </row>
    <row r="7" spans="1:7" ht="60.95" customHeight="1" x14ac:dyDescent="0.2">
      <c r="A7" s="2565" t="s">
        <v>2191</v>
      </c>
      <c r="B7" s="2565"/>
      <c r="C7" s="2565"/>
      <c r="D7" s="2565"/>
      <c r="E7" s="2565"/>
      <c r="F7" s="2565"/>
    </row>
    <row r="8" spans="1:7" ht="12" customHeight="1" x14ac:dyDescent="0.2">
      <c r="A8" s="1273"/>
      <c r="B8" s="1279"/>
      <c r="C8" s="1279"/>
      <c r="D8" s="1279"/>
    </row>
    <row r="9" spans="1:7" ht="15" customHeight="1" x14ac:dyDescent="0.2">
      <c r="A9" s="1274" t="s">
        <v>1830</v>
      </c>
      <c r="B9" s="1277"/>
      <c r="C9" s="1277"/>
      <c r="D9" s="1277"/>
      <c r="E9" s="1275"/>
      <c r="F9" s="1275"/>
      <c r="G9" s="1275"/>
    </row>
    <row r="10" spans="1:7" ht="15" customHeight="1" x14ac:dyDescent="0.2">
      <c r="A10" s="1276" t="s">
        <v>1628</v>
      </c>
      <c r="B10" s="1277"/>
      <c r="C10" s="1278"/>
      <c r="D10" s="1277" t="s">
        <v>1629</v>
      </c>
      <c r="E10" s="1278" t="s">
        <v>2071</v>
      </c>
      <c r="F10" s="1277" t="s">
        <v>101</v>
      </c>
      <c r="G10" s="1275"/>
    </row>
    <row r="11" spans="1:7" ht="12" customHeight="1" x14ac:dyDescent="0.2">
      <c r="A11" s="1276"/>
      <c r="B11" s="1277"/>
      <c r="C11" s="1924"/>
      <c r="D11" s="1277"/>
      <c r="E11" s="1924"/>
      <c r="F11" s="1277"/>
      <c r="G11" s="1275"/>
    </row>
    <row r="12" spans="1:7" x14ac:dyDescent="0.2">
      <c r="A12" s="1273" t="s">
        <v>1667</v>
      </c>
      <c r="C12" s="1257"/>
      <c r="D12" s="1257"/>
    </row>
    <row r="13" spans="1:7" ht="26.25" customHeight="1" x14ac:dyDescent="0.2">
      <c r="A13" s="2565" t="s">
        <v>2190</v>
      </c>
      <c r="B13" s="2565"/>
      <c r="C13" s="2565"/>
      <c r="D13" s="2565"/>
      <c r="E13" s="2565"/>
      <c r="F13" s="2565"/>
    </row>
    <row r="14" spans="1:7" ht="9.75" customHeight="1" x14ac:dyDescent="0.2">
      <c r="C14" s="1257"/>
      <c r="D14" s="1257"/>
    </row>
    <row r="15" spans="1:7" ht="13.5" customHeight="1" x14ac:dyDescent="0.2">
      <c r="C15" s="1868" t="s">
        <v>1332</v>
      </c>
      <c r="D15" s="2563" t="s">
        <v>1331</v>
      </c>
      <c r="E15" s="2563"/>
      <c r="F15" s="2563"/>
    </row>
    <row r="16" spans="1:7" ht="13.5" customHeight="1" x14ac:dyDescent="0.2">
      <c r="A16" s="1279"/>
      <c r="B16" s="1273" t="s">
        <v>1330</v>
      </c>
      <c r="C16" s="1868" t="s">
        <v>1329</v>
      </c>
      <c r="D16" s="2564" t="s">
        <v>1668</v>
      </c>
      <c r="E16" s="2564"/>
      <c r="F16" s="2564"/>
    </row>
    <row r="17" spans="1:6" ht="20.45" customHeight="1" x14ac:dyDescent="0.2">
      <c r="A17" s="1280"/>
      <c r="B17" s="1281" t="s">
        <v>2192</v>
      </c>
      <c r="C17" s="1282"/>
      <c r="D17" s="2557"/>
      <c r="E17" s="2557"/>
      <c r="F17" s="2557"/>
    </row>
    <row r="18" spans="1:6" ht="20.65" hidden="1" customHeight="1" x14ac:dyDescent="0.2">
      <c r="A18" s="1280"/>
      <c r="B18" s="1281"/>
      <c r="C18" s="1282"/>
      <c r="D18" s="2557"/>
      <c r="E18" s="2557"/>
      <c r="F18" s="2557"/>
    </row>
    <row r="19" spans="1:6" ht="20.65" hidden="1" customHeight="1" x14ac:dyDescent="0.2">
      <c r="A19" s="1280"/>
      <c r="B19" s="1281"/>
      <c r="C19" s="1282"/>
      <c r="D19" s="2557"/>
      <c r="E19" s="2557"/>
      <c r="F19" s="2557"/>
    </row>
    <row r="20" spans="1:6" ht="20.65" hidden="1" customHeight="1" x14ac:dyDescent="0.2">
      <c r="A20" s="1280"/>
      <c r="B20" s="1281"/>
      <c r="C20" s="1282"/>
      <c r="D20" s="2557"/>
      <c r="E20" s="2557"/>
      <c r="F20" s="2557"/>
    </row>
    <row r="21" spans="1:6" ht="20.65" hidden="1" customHeight="1" x14ac:dyDescent="0.2">
      <c r="A21" s="1280"/>
      <c r="B21" s="1281"/>
      <c r="C21" s="1282"/>
      <c r="D21" s="2557"/>
      <c r="E21" s="2557"/>
      <c r="F21" s="2557"/>
    </row>
    <row r="22" spans="1:6" ht="20.65" hidden="1" customHeight="1" x14ac:dyDescent="0.2">
      <c r="A22" s="1280"/>
      <c r="B22" s="1281"/>
      <c r="C22" s="1282"/>
      <c r="D22" s="2557"/>
      <c r="E22" s="2557"/>
      <c r="F22" s="2557"/>
    </row>
    <row r="23" spans="1:6" ht="20.65" hidden="1" customHeight="1" x14ac:dyDescent="0.2">
      <c r="A23" s="1280"/>
      <c r="B23" s="1281"/>
      <c r="C23" s="1282"/>
      <c r="D23" s="2557"/>
      <c r="E23" s="2557"/>
      <c r="F23" s="2557"/>
    </row>
    <row r="24" spans="1:6" ht="20.65" hidden="1" customHeight="1" x14ac:dyDescent="0.2">
      <c r="A24" s="1280"/>
      <c r="B24" s="1281"/>
      <c r="C24" s="1282"/>
      <c r="D24" s="2557"/>
      <c r="E24" s="2557"/>
      <c r="F24" s="2557"/>
    </row>
    <row r="25" spans="1:6" ht="20.65" hidden="1" customHeight="1" x14ac:dyDescent="0.2">
      <c r="A25" s="1280"/>
      <c r="B25" s="1281"/>
      <c r="C25" s="1282"/>
      <c r="D25" s="2557"/>
      <c r="E25" s="2557"/>
      <c r="F25" s="2557"/>
    </row>
    <row r="26" spans="1:6" ht="20.65" hidden="1" customHeight="1" x14ac:dyDescent="0.2">
      <c r="A26" s="1280"/>
      <c r="B26" s="1281"/>
      <c r="C26" s="1282"/>
      <c r="D26" s="2557"/>
      <c r="E26" s="2557"/>
      <c r="F26" s="2557"/>
    </row>
    <row r="27" spans="1:6" ht="20.65" hidden="1" customHeight="1" x14ac:dyDescent="0.2">
      <c r="A27" s="1280"/>
      <c r="B27" s="1281"/>
      <c r="C27" s="1282"/>
      <c r="D27" s="2557"/>
      <c r="E27" s="2557"/>
      <c r="F27" s="2557"/>
    </row>
    <row r="28" spans="1:6" ht="20.65" hidden="1" customHeight="1" x14ac:dyDescent="0.2">
      <c r="A28" s="1280"/>
      <c r="B28" s="1281"/>
      <c r="C28" s="1282"/>
      <c r="D28" s="2557"/>
      <c r="E28" s="2557"/>
      <c r="F28" s="2557"/>
    </row>
    <row r="29" spans="1:6" ht="20.65" hidden="1" customHeight="1" x14ac:dyDescent="0.2">
      <c r="A29" s="1280"/>
      <c r="B29" s="1281"/>
      <c r="C29" s="1282"/>
      <c r="D29" s="2557"/>
      <c r="E29" s="2557"/>
      <c r="F29" s="2557"/>
    </row>
    <row r="30" spans="1:6" ht="12" customHeight="1" x14ac:dyDescent="0.2">
      <c r="A30" s="328"/>
      <c r="B30" s="328"/>
      <c r="C30" s="1475"/>
      <c r="D30" s="1925"/>
      <c r="E30" s="1283"/>
    </row>
    <row r="31" spans="1:6" ht="12" customHeight="1" x14ac:dyDescent="0.2">
      <c r="A31" s="1284" t="s">
        <v>2194</v>
      </c>
      <c r="B31" s="328"/>
      <c r="C31" s="1475"/>
      <c r="D31" s="1925"/>
      <c r="E31" s="1283"/>
    </row>
    <row r="32" spans="1:6" ht="51.75" customHeight="1" x14ac:dyDescent="0.2">
      <c r="A32" s="2562" t="s">
        <v>2197</v>
      </c>
      <c r="B32" s="2562"/>
      <c r="C32" s="2562"/>
      <c r="D32" s="2562"/>
      <c r="E32" s="2562"/>
      <c r="F32" s="2562"/>
    </row>
    <row r="33" spans="1:6" ht="12" customHeight="1" x14ac:dyDescent="0.2">
      <c r="A33" s="1284" t="s">
        <v>2195</v>
      </c>
      <c r="B33" s="328"/>
      <c r="C33" s="1475"/>
      <c r="D33" s="1925"/>
      <c r="E33" s="1283"/>
    </row>
    <row r="34" spans="1:6" ht="30" customHeight="1" x14ac:dyDescent="0.2">
      <c r="A34" s="2558" t="s">
        <v>2193</v>
      </c>
      <c r="B34" s="2558"/>
      <c r="C34" s="2558"/>
      <c r="D34" s="2558"/>
      <c r="E34" s="2558"/>
      <c r="F34" s="2558"/>
    </row>
    <row r="35" spans="1:6" ht="13.5" customHeight="1" x14ac:dyDescent="0.2">
      <c r="A35" s="328" t="s">
        <v>1509</v>
      </c>
      <c r="B35" s="328"/>
      <c r="C35" s="1285">
        <v>96904</v>
      </c>
      <c r="D35" s="1925"/>
      <c r="E35" s="1283"/>
    </row>
    <row r="36" spans="1:6" ht="13.5" customHeight="1" x14ac:dyDescent="0.2">
      <c r="A36" s="328" t="s">
        <v>1943</v>
      </c>
      <c r="B36" s="328"/>
      <c r="C36" s="1286">
        <v>31844</v>
      </c>
      <c r="D36" s="1925" t="s">
        <v>1669</v>
      </c>
      <c r="E36" s="2559">
        <f>+C35+C36</f>
        <v>128748</v>
      </c>
      <c r="F36" s="2560"/>
    </row>
    <row r="37" spans="1:6" ht="12" customHeight="1" x14ac:dyDescent="0.2">
      <c r="A37" s="328"/>
      <c r="B37" s="328"/>
      <c r="C37" s="1926"/>
      <c r="D37" s="1925"/>
      <c r="E37" s="1287"/>
      <c r="F37" s="1288"/>
    </row>
    <row r="38" spans="1:6" ht="13.5" customHeight="1" x14ac:dyDescent="0.2">
      <c r="A38" s="1284" t="s">
        <v>2196</v>
      </c>
      <c r="B38" s="328"/>
      <c r="C38" s="1475"/>
      <c r="D38" s="1925"/>
      <c r="E38" s="1283"/>
    </row>
    <row r="39" spans="1:6" ht="14.25" customHeight="1" x14ac:dyDescent="0.2">
      <c r="A39" s="328" t="s">
        <v>1563</v>
      </c>
      <c r="B39" s="328"/>
      <c r="C39" s="1927"/>
      <c r="D39" s="1925"/>
      <c r="E39" s="1283"/>
    </row>
    <row r="40" spans="1:6" ht="14.25" customHeight="1" x14ac:dyDescent="0.2">
      <c r="A40" s="328"/>
      <c r="B40" s="328" t="s">
        <v>1510</v>
      </c>
      <c r="C40" s="1289" t="s">
        <v>401</v>
      </c>
      <c r="D40" s="1925"/>
      <c r="E40" s="1283"/>
    </row>
    <row r="41" spans="1:6" ht="14.25" customHeight="1" x14ac:dyDescent="0.2">
      <c r="A41" s="328"/>
      <c r="B41" s="328" t="s">
        <v>1511</v>
      </c>
      <c r="C41" s="1289" t="s">
        <v>401</v>
      </c>
      <c r="D41" s="1925"/>
      <c r="E41" s="1283"/>
    </row>
    <row r="42" spans="1:6" ht="14.25" customHeight="1" x14ac:dyDescent="0.2">
      <c r="A42" s="328"/>
      <c r="B42" s="328" t="s">
        <v>1512</v>
      </c>
      <c r="C42" s="1289" t="s">
        <v>401</v>
      </c>
      <c r="D42" s="1925"/>
      <c r="E42" s="1283"/>
    </row>
    <row r="43" spans="1:6" ht="14.25" customHeight="1" x14ac:dyDescent="0.2">
      <c r="A43" s="328"/>
      <c r="B43" s="328" t="s">
        <v>1513</v>
      </c>
      <c r="C43" s="1289" t="s">
        <v>401</v>
      </c>
      <c r="D43" s="1925"/>
      <c r="E43" s="1283"/>
    </row>
    <row r="44" spans="1:6" ht="14.25" customHeight="1" x14ac:dyDescent="0.2">
      <c r="A44" s="328" t="s">
        <v>1514</v>
      </c>
      <c r="B44" s="328"/>
      <c r="C44" s="1923" t="s">
        <v>401</v>
      </c>
      <c r="D44" s="1925"/>
      <c r="E44" s="1283"/>
    </row>
    <row r="45" spans="1:6" ht="14.25" customHeight="1" x14ac:dyDescent="0.2">
      <c r="A45" s="328" t="s">
        <v>1515</v>
      </c>
      <c r="B45" s="328"/>
      <c r="C45" s="1290" t="s">
        <v>401</v>
      </c>
      <c r="D45" s="1925"/>
      <c r="E45" s="1283"/>
    </row>
    <row r="46" spans="1:6" ht="14.25" customHeight="1" x14ac:dyDescent="0.2">
      <c r="A46" s="328"/>
      <c r="B46" s="328"/>
      <c r="C46" s="1927" t="s">
        <v>1516</v>
      </c>
      <c r="D46" s="1925"/>
      <c r="E46" s="1283"/>
    </row>
    <row r="47" spans="1:6" ht="13.5" customHeight="1" x14ac:dyDescent="0.2">
      <c r="B47" s="322"/>
      <c r="C47" s="1291"/>
      <c r="D47" s="1291"/>
    </row>
    <row r="48" spans="1:6" x14ac:dyDescent="0.2">
      <c r="A48" s="1292" t="s">
        <v>1831</v>
      </c>
      <c r="C48" s="317"/>
      <c r="D48" s="317"/>
    </row>
    <row r="49" spans="1:6" s="322" customFormat="1" ht="11.25" customHeight="1" x14ac:dyDescent="0.2">
      <c r="A49" s="1293"/>
      <c r="B49" s="1294"/>
      <c r="C49" s="1294"/>
      <c r="D49" s="1294"/>
      <c r="E49" s="1294"/>
      <c r="F49" s="1294"/>
    </row>
    <row r="50" spans="1:6" s="322" customFormat="1" ht="6" customHeight="1" x14ac:dyDescent="0.2">
      <c r="A50" s="1295"/>
    </row>
    <row r="51" spans="1:6" s="1297" customFormat="1" ht="23.25" customHeight="1" x14ac:dyDescent="0.2">
      <c r="A51" s="1296">
        <v>5</v>
      </c>
      <c r="B51" s="2561" t="s">
        <v>1670</v>
      </c>
      <c r="C51" s="2561"/>
      <c r="D51" s="2561"/>
      <c r="E51" s="1396"/>
    </row>
    <row r="52" spans="1:6" s="1297" customFormat="1" ht="3.75" customHeight="1" x14ac:dyDescent="0.2">
      <c r="A52" s="1296"/>
      <c r="B52" s="1867"/>
      <c r="C52" s="1867"/>
      <c r="D52" s="1867"/>
      <c r="E52" s="1396"/>
    </row>
    <row r="53" spans="1:6" s="1297" customFormat="1" ht="20.25" customHeight="1" x14ac:dyDescent="0.2">
      <c r="A53" s="1298">
        <v>6</v>
      </c>
      <c r="B53" s="2556" t="s">
        <v>1630</v>
      </c>
      <c r="C53" s="2556"/>
      <c r="D53" s="2556"/>
    </row>
    <row r="54" spans="1:6" ht="14.25" customHeight="1" x14ac:dyDescent="0.2">
      <c r="A54" s="1298"/>
      <c r="B54" s="2556"/>
      <c r="C54" s="2556"/>
      <c r="D54" s="2556"/>
    </row>
  </sheetData>
  <mergeCells count="27">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3:D53"/>
    <mergeCell ref="B54:D54"/>
    <mergeCell ref="D27:F27"/>
    <mergeCell ref="D28:F28"/>
    <mergeCell ref="D29:F29"/>
    <mergeCell ref="A34:F34"/>
    <mergeCell ref="E36:F36"/>
    <mergeCell ref="B51:D51"/>
    <mergeCell ref="A32:F32"/>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80" t="str">
        <f>'Single Audit Cover'!A7</f>
        <v>Pekin PSD 108</v>
      </c>
      <c r="C1" s="2581"/>
      <c r="D1" s="2581"/>
      <c r="E1" s="2581"/>
      <c r="F1" s="2581"/>
      <c r="G1" s="2581"/>
      <c r="H1" s="2581"/>
      <c r="I1" s="2581"/>
      <c r="J1" s="1419"/>
    </row>
    <row r="2" spans="2:10" s="317" customFormat="1" ht="12.75" customHeight="1" x14ac:dyDescent="0.2">
      <c r="B2" s="2582">
        <f>'Single Audit Cover'!E7</f>
        <v>53090108002</v>
      </c>
      <c r="C2" s="2583"/>
      <c r="D2" s="2583"/>
      <c r="E2" s="2583"/>
      <c r="F2" s="2583"/>
      <c r="G2" s="2583"/>
      <c r="H2" s="2583"/>
      <c r="I2" s="2583"/>
      <c r="J2" s="1419"/>
    </row>
    <row r="3" spans="2:10" s="317" customFormat="1" ht="12.75" customHeight="1" x14ac:dyDescent="0.2">
      <c r="B3" s="2584" t="s">
        <v>1347</v>
      </c>
      <c r="C3" s="2585"/>
      <c r="D3" s="2585"/>
      <c r="E3" s="2585"/>
      <c r="F3" s="2585"/>
      <c r="G3" s="2585"/>
      <c r="H3" s="2585"/>
      <c r="I3" s="2585"/>
      <c r="J3" s="1420"/>
    </row>
    <row r="4" spans="2:10" s="317" customFormat="1" ht="12.75" customHeight="1" x14ac:dyDescent="0.2">
      <c r="B4" s="2584" t="str">
        <f>'Single Audit Cover'!A4</f>
        <v>Year Ending June 30, 2018</v>
      </c>
      <c r="C4" s="2585"/>
      <c r="D4" s="2585"/>
      <c r="E4" s="2585"/>
      <c r="F4" s="2585"/>
      <c r="G4" s="2585"/>
      <c r="H4" s="2585"/>
      <c r="I4" s="2585"/>
    </row>
    <row r="5" spans="2:10" s="317" customFormat="1" ht="6.2" customHeight="1" x14ac:dyDescent="0.2">
      <c r="B5" s="1421" t="s">
        <v>1231</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584" t="s">
        <v>1346</v>
      </c>
      <c r="C7" s="2585"/>
      <c r="D7" s="2585"/>
      <c r="E7" s="2585"/>
      <c r="F7" s="2585"/>
      <c r="G7" s="2585"/>
      <c r="H7" s="2585"/>
      <c r="I7" s="2585"/>
    </row>
    <row r="8" spans="2:10" s="317" customFormat="1" ht="6.2" customHeight="1" x14ac:dyDescent="0.2">
      <c r="B8" s="1423" t="s">
        <v>1231</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1345</v>
      </c>
      <c r="C10" s="1428"/>
      <c r="D10" s="1428"/>
      <c r="E10" s="1255"/>
    </row>
    <row r="11" spans="2:10" s="317" customFormat="1" ht="13.5" customHeight="1" x14ac:dyDescent="0.2">
      <c r="B11" s="1346" t="s">
        <v>1344</v>
      </c>
      <c r="C11" s="2586" t="s">
        <v>1226</v>
      </c>
      <c r="D11" s="2586"/>
      <c r="E11" s="1429"/>
      <c r="F11" s="1429"/>
      <c r="G11" s="1429"/>
    </row>
    <row r="12" spans="2:10" s="317" customFormat="1" ht="11.45" customHeight="1" x14ac:dyDescent="0.2">
      <c r="B12" s="1354"/>
      <c r="C12" s="1430" t="s">
        <v>1517</v>
      </c>
      <c r="D12" s="1431"/>
      <c r="E12" s="1255"/>
    </row>
    <row r="13" spans="2:10" s="317" customFormat="1" ht="12.75" customHeight="1" x14ac:dyDescent="0.2">
      <c r="B13" s="1432"/>
      <c r="C13" s="1384"/>
      <c r="D13" s="1384"/>
      <c r="E13" s="1255"/>
    </row>
    <row r="14" spans="2:10" s="317" customFormat="1" ht="12.75" customHeight="1" x14ac:dyDescent="0.2">
      <c r="B14" s="1365" t="s">
        <v>1343</v>
      </c>
      <c r="C14" s="1279"/>
      <c r="E14" s="1255"/>
    </row>
    <row r="15" spans="2:10" s="317" customFormat="1" ht="13.5" customHeight="1" x14ac:dyDescent="0.2">
      <c r="B15" s="1433" t="s">
        <v>1340</v>
      </c>
      <c r="C15" s="1434"/>
      <c r="D15" s="1395"/>
      <c r="E15" s="1435"/>
      <c r="F15" s="1297" t="s">
        <v>940</v>
      </c>
      <c r="G15" s="1435" t="s">
        <v>2071</v>
      </c>
      <c r="H15" s="1297" t="s">
        <v>1338</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33" t="s">
        <v>1339</v>
      </c>
      <c r="C17" s="1434"/>
      <c r="D17" s="1395"/>
      <c r="E17" s="1436"/>
      <c r="F17" s="1254"/>
      <c r="G17" s="1436"/>
      <c r="H17" s="1297"/>
      <c r="I17" s="1297"/>
    </row>
    <row r="18" spans="2:9" s="317" customFormat="1" ht="12.75" customHeight="1" x14ac:dyDescent="0.2">
      <c r="B18" s="1433" t="s">
        <v>1518</v>
      </c>
      <c r="C18" s="1434"/>
      <c r="D18" s="1395"/>
      <c r="E18" s="1435"/>
      <c r="F18" s="1297" t="s">
        <v>940</v>
      </c>
      <c r="G18" s="1435" t="s">
        <v>2071</v>
      </c>
      <c r="H18" s="1297" t="s">
        <v>1338</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33" t="s">
        <v>1671</v>
      </c>
      <c r="C20" s="1434"/>
      <c r="D20" s="1395"/>
      <c r="E20" s="1435"/>
      <c r="F20" s="1297" t="s">
        <v>940</v>
      </c>
      <c r="G20" s="1435" t="s">
        <v>2071</v>
      </c>
      <c r="H20" s="1297" t="s">
        <v>101</v>
      </c>
      <c r="I20" s="1297"/>
    </row>
    <row r="21" spans="2:9" s="317" customFormat="1" ht="12.75" customHeight="1" x14ac:dyDescent="0.2">
      <c r="B21" s="1365"/>
      <c r="C21" s="1279"/>
      <c r="E21" s="1380"/>
      <c r="F21" s="1297"/>
      <c r="G21" s="322"/>
      <c r="H21" s="1297"/>
      <c r="I21" s="1297"/>
    </row>
    <row r="22" spans="2:9" s="317" customFormat="1" ht="12.75" customHeight="1" x14ac:dyDescent="0.2">
      <c r="B22" s="1427" t="s">
        <v>1342</v>
      </c>
      <c r="C22" s="1437"/>
      <c r="D22" s="1428"/>
      <c r="E22" s="1380"/>
      <c r="F22" s="1297"/>
      <c r="G22" s="322"/>
      <c r="H22" s="1297"/>
      <c r="I22" s="1297"/>
    </row>
    <row r="23" spans="2:9" s="317" customFormat="1" ht="12.75" customHeight="1" x14ac:dyDescent="0.2">
      <c r="B23" s="1365" t="s">
        <v>1341</v>
      </c>
      <c r="C23" s="1279"/>
      <c r="E23" s="1380"/>
      <c r="F23" s="1297"/>
      <c r="G23" s="322"/>
      <c r="H23" s="1297"/>
      <c r="I23" s="1297"/>
    </row>
    <row r="24" spans="2:9" s="317" customFormat="1" ht="13.5" customHeight="1" x14ac:dyDescent="0.2">
      <c r="B24" s="1433" t="s">
        <v>1340</v>
      </c>
      <c r="C24" s="1434"/>
      <c r="D24" s="1395"/>
      <c r="E24" s="1435"/>
      <c r="F24" s="1297" t="s">
        <v>940</v>
      </c>
      <c r="G24" s="1435" t="s">
        <v>2071</v>
      </c>
      <c r="H24" s="1297" t="s">
        <v>1338</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33" t="s">
        <v>1339</v>
      </c>
      <c r="C26" s="1434"/>
      <c r="D26" s="1395"/>
      <c r="E26" s="1436"/>
      <c r="F26" s="1254"/>
      <c r="G26" s="1436"/>
      <c r="H26" s="1297"/>
      <c r="I26" s="1297"/>
    </row>
    <row r="27" spans="2:9" s="317" customFormat="1" ht="12.75" customHeight="1" x14ac:dyDescent="0.2">
      <c r="B27" s="1433" t="s">
        <v>1518</v>
      </c>
      <c r="C27" s="1434"/>
      <c r="D27" s="1395"/>
      <c r="E27" s="1435"/>
      <c r="F27" s="1297" t="s">
        <v>940</v>
      </c>
      <c r="G27" s="1435" t="s">
        <v>2071</v>
      </c>
      <c r="H27" s="1297" t="s">
        <v>1338</v>
      </c>
      <c r="I27" s="1297"/>
    </row>
    <row r="28" spans="2:9" s="317" customFormat="1" ht="12.75" customHeight="1" x14ac:dyDescent="0.2">
      <c r="B28" s="1365"/>
      <c r="C28" s="1279"/>
      <c r="E28" s="1255"/>
    </row>
    <row r="29" spans="2:9" s="317" customFormat="1" ht="12.75" customHeight="1" x14ac:dyDescent="0.2">
      <c r="B29" s="1365" t="s">
        <v>1337</v>
      </c>
      <c r="C29" s="1279"/>
      <c r="D29" s="2587" t="s">
        <v>2198</v>
      </c>
      <c r="E29" s="2587"/>
      <c r="F29" s="2587"/>
      <c r="G29" s="2587"/>
      <c r="H29" s="2587"/>
      <c r="I29" s="2587"/>
    </row>
    <row r="30" spans="2:9" s="317" customFormat="1" x14ac:dyDescent="0.2">
      <c r="B30" s="1365"/>
      <c r="C30" s="322"/>
      <c r="D30" s="1430" t="s">
        <v>1846</v>
      </c>
      <c r="E30" s="1431"/>
      <c r="F30" s="1431"/>
      <c r="G30" s="1431"/>
      <c r="H30" s="1431"/>
      <c r="I30" s="1431"/>
    </row>
    <row r="31" spans="2:9" s="317" customFormat="1" ht="9.9499999999999993" customHeight="1" x14ac:dyDescent="0.2">
      <c r="B31" s="1365"/>
      <c r="E31" s="1255"/>
    </row>
    <row r="32" spans="2:9" s="317" customFormat="1" x14ac:dyDescent="0.2">
      <c r="B32" s="1365" t="s">
        <v>1336</v>
      </c>
      <c r="C32" s="1279"/>
      <c r="E32" s="1255"/>
    </row>
    <row r="33" spans="2:9" ht="13.5" customHeight="1" x14ac:dyDescent="0.2">
      <c r="B33" s="1365" t="s">
        <v>1631</v>
      </c>
      <c r="C33" s="1279"/>
      <c r="E33" s="1435"/>
      <c r="F33" s="1297" t="s">
        <v>940</v>
      </c>
      <c r="G33" s="1435" t="s">
        <v>2071</v>
      </c>
      <c r="H33" s="1297" t="s">
        <v>101</v>
      </c>
    </row>
    <row r="35" spans="2:9" x14ac:dyDescent="0.2">
      <c r="B35" s="1438" t="s">
        <v>1847</v>
      </c>
      <c r="C35" s="1439"/>
      <c r="D35" s="1264"/>
    </row>
    <row r="36" spans="2:9" ht="6" customHeight="1" x14ac:dyDescent="0.2">
      <c r="B36" s="1438"/>
      <c r="C36" s="1439"/>
      <c r="D36" s="1264"/>
    </row>
    <row r="37" spans="2:9" ht="17.25" customHeight="1" x14ac:dyDescent="0.2">
      <c r="B37" s="1440" t="s">
        <v>1848</v>
      </c>
      <c r="C37" s="2588" t="s">
        <v>1849</v>
      </c>
      <c r="D37" s="2589"/>
      <c r="E37" s="2589"/>
      <c r="F37" s="2590"/>
      <c r="G37" s="2588" t="s">
        <v>1672</v>
      </c>
      <c r="H37" s="2589"/>
      <c r="I37" s="2590"/>
    </row>
    <row r="38" spans="2:9" ht="16.5" customHeight="1" x14ac:dyDescent="0.2">
      <c r="B38" s="1441" t="s">
        <v>2199</v>
      </c>
      <c r="C38" s="2576" t="s">
        <v>2200</v>
      </c>
      <c r="D38" s="2577"/>
      <c r="E38" s="2577"/>
      <c r="F38" s="2578"/>
      <c r="G38" s="2591">
        <v>1886369</v>
      </c>
      <c r="H38" s="2592"/>
      <c r="I38" s="2593"/>
    </row>
    <row r="39" spans="2:9" ht="16.5" hidden="1" customHeight="1" x14ac:dyDescent="0.2">
      <c r="B39" s="1441"/>
      <c r="C39" s="2576"/>
      <c r="D39" s="2577"/>
      <c r="E39" s="2577"/>
      <c r="F39" s="2578"/>
      <c r="G39" s="2579"/>
      <c r="H39" s="2579"/>
      <c r="I39" s="2579"/>
    </row>
    <row r="40" spans="2:9" ht="16.5" hidden="1" customHeight="1" x14ac:dyDescent="0.2">
      <c r="B40" s="1441"/>
      <c r="C40" s="2576"/>
      <c r="D40" s="2577"/>
      <c r="E40" s="2577"/>
      <c r="F40" s="2578"/>
      <c r="G40" s="2579"/>
      <c r="H40" s="2579"/>
      <c r="I40" s="2579"/>
    </row>
    <row r="41" spans="2:9" ht="16.5" hidden="1" customHeight="1" x14ac:dyDescent="0.2">
      <c r="B41" s="1441"/>
      <c r="C41" s="2576"/>
      <c r="D41" s="2577"/>
      <c r="E41" s="2577"/>
      <c r="F41" s="2578"/>
      <c r="G41" s="2579"/>
      <c r="H41" s="2579"/>
      <c r="I41" s="2579"/>
    </row>
    <row r="42" spans="2:9" ht="16.5" customHeight="1" x14ac:dyDescent="0.2">
      <c r="B42" s="1441"/>
      <c r="C42" s="2576"/>
      <c r="D42" s="2577"/>
      <c r="E42" s="2577"/>
      <c r="F42" s="2578"/>
      <c r="G42" s="2579"/>
      <c r="H42" s="2579"/>
      <c r="I42" s="2579"/>
    </row>
    <row r="43" spans="2:9" ht="16.5" customHeight="1" x14ac:dyDescent="0.2">
      <c r="B43" s="1441"/>
      <c r="C43" s="2569" t="s">
        <v>1673</v>
      </c>
      <c r="D43" s="2570"/>
      <c r="E43" s="2570"/>
      <c r="F43" s="2571"/>
      <c r="G43" s="2572">
        <f>SUM(G38:I42)</f>
        <v>1886369</v>
      </c>
      <c r="H43" s="2572"/>
      <c r="I43" s="2572"/>
    </row>
    <row r="44" spans="2:9" ht="12.75" customHeight="1" x14ac:dyDescent="0.2"/>
    <row r="45" spans="2:9" ht="12.75" customHeight="1" x14ac:dyDescent="0.2">
      <c r="B45" s="1432" t="s">
        <v>1946</v>
      </c>
      <c r="D45" s="2573">
        <v>3509165</v>
      </c>
      <c r="E45" s="2574"/>
    </row>
    <row r="46" spans="2:9" ht="5.25" customHeight="1" x14ac:dyDescent="0.2">
      <c r="B46" s="1442"/>
      <c r="D46" s="1443"/>
      <c r="E46" s="1444"/>
    </row>
    <row r="47" spans="2:9" ht="12.75" customHeight="1" x14ac:dyDescent="0.2">
      <c r="B47" s="1297" t="s">
        <v>1674</v>
      </c>
      <c r="C47" s="1297"/>
      <c r="D47" s="1445">
        <f>+G43/D45</f>
        <v>0.5375549454072408</v>
      </c>
      <c r="E47" s="1446"/>
      <c r="F47" s="1447"/>
      <c r="I47" s="1448"/>
    </row>
    <row r="48" spans="2:9" ht="9.9499999999999993" customHeight="1" x14ac:dyDescent="0.2"/>
    <row r="49" spans="1:9" x14ac:dyDescent="0.2">
      <c r="B49" s="1365" t="s">
        <v>1335</v>
      </c>
      <c r="C49" s="1279"/>
      <c r="D49" s="1279"/>
      <c r="E49" s="2575">
        <v>750000</v>
      </c>
      <c r="F49" s="2575"/>
      <c r="G49" s="2575"/>
      <c r="H49" s="322"/>
    </row>
    <row r="51" spans="1:9" ht="13.5" customHeight="1" x14ac:dyDescent="0.2">
      <c r="B51" s="1365" t="s">
        <v>1334</v>
      </c>
      <c r="C51" s="1279"/>
      <c r="E51" s="1435"/>
      <c r="F51" s="1297" t="s">
        <v>940</v>
      </c>
      <c r="G51" s="1435" t="s">
        <v>2071</v>
      </c>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1850</v>
      </c>
      <c r="C54" s="1457"/>
      <c r="D54" s="1457"/>
    </row>
    <row r="55" spans="1:9" s="1458" customFormat="1" ht="12.75" customHeight="1" x14ac:dyDescent="0.2">
      <c r="A55" s="1455"/>
      <c r="B55" s="1459" t="s">
        <v>1675</v>
      </c>
      <c r="C55" s="1455"/>
      <c r="D55" s="1455"/>
    </row>
    <row r="56" spans="1:9" s="1458" customFormat="1" ht="12.75" customHeight="1" x14ac:dyDescent="0.2">
      <c r="A56" s="1455"/>
      <c r="B56" s="1459" t="s">
        <v>1676</v>
      </c>
      <c r="C56" s="1455"/>
      <c r="D56" s="1455"/>
    </row>
    <row r="57" spans="1:9" s="1458" customFormat="1" ht="3.95" customHeight="1" x14ac:dyDescent="0.2">
      <c r="A57" s="1455"/>
      <c r="B57" s="1459"/>
      <c r="C57" s="1455"/>
      <c r="D57" s="1455"/>
    </row>
    <row r="58" spans="1:9" s="1458" customFormat="1" ht="13.5" customHeight="1" x14ac:dyDescent="0.2">
      <c r="A58" s="1455"/>
      <c r="B58" s="1460" t="s">
        <v>1851</v>
      </c>
      <c r="C58" s="1461"/>
      <c r="D58" s="1461"/>
    </row>
    <row r="59" spans="1:9" s="1458" customFormat="1" ht="3.95" customHeight="1" x14ac:dyDescent="0.2">
      <c r="A59" s="1455"/>
      <c r="B59" s="1460"/>
      <c r="C59" s="1461"/>
      <c r="D59" s="1461"/>
    </row>
    <row r="60" spans="1:9" s="1458" customFormat="1" ht="13.5" customHeight="1" x14ac:dyDescent="0.2">
      <c r="A60" s="1455"/>
      <c r="B60" s="1460" t="s">
        <v>1852</v>
      </c>
      <c r="C60" s="1461"/>
      <c r="D60" s="1461"/>
    </row>
    <row r="61" spans="1:9" s="1458" customFormat="1" ht="3.95" customHeight="1" x14ac:dyDescent="0.2">
      <c r="A61" s="1455"/>
      <c r="B61" s="1460"/>
      <c r="C61" s="1461"/>
      <c r="D61" s="1461"/>
    </row>
    <row r="62" spans="1:9" s="1458" customFormat="1" ht="12.75" customHeight="1" x14ac:dyDescent="0.2">
      <c r="A62" s="1455"/>
      <c r="B62" s="1460" t="s">
        <v>1853</v>
      </c>
      <c r="C62" s="1461"/>
      <c r="D62" s="1461"/>
    </row>
    <row r="63" spans="1:9" s="1458" customFormat="1" ht="13.5" customHeight="1" x14ac:dyDescent="0.2">
      <c r="A63" s="1455"/>
      <c r="B63" s="1459" t="s">
        <v>1677</v>
      </c>
      <c r="C63" s="1455"/>
      <c r="D63" s="145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80" t="str">
        <f>'Single Audit Cover'!A7</f>
        <v>Pekin PSD 108</v>
      </c>
      <c r="C1" s="2580"/>
      <c r="D1" s="2580"/>
      <c r="E1" s="2580"/>
      <c r="F1" s="2580"/>
      <c r="G1" s="2580"/>
      <c r="H1" s="2580"/>
      <c r="I1" s="2580"/>
      <c r="J1" s="2580"/>
      <c r="K1" s="2580"/>
      <c r="L1" s="1371"/>
      <c r="M1" s="1371"/>
    </row>
    <row r="2" spans="1:13" ht="12" customHeight="1" x14ac:dyDescent="0.2">
      <c r="B2" s="2582">
        <f>'Single Audit Cover'!E7</f>
        <v>53090108002</v>
      </c>
      <c r="C2" s="2582"/>
      <c r="D2" s="2582"/>
      <c r="E2" s="2582"/>
      <c r="F2" s="2582"/>
      <c r="G2" s="2582"/>
      <c r="H2" s="2582"/>
      <c r="I2" s="2582"/>
      <c r="J2" s="2582"/>
      <c r="K2" s="2582"/>
      <c r="L2" s="1372"/>
      <c r="M2" s="1373"/>
    </row>
    <row r="3" spans="1:13" ht="10.35" customHeight="1" x14ac:dyDescent="0.2">
      <c r="B3" s="2596" t="s">
        <v>1347</v>
      </c>
      <c r="C3" s="2596"/>
      <c r="D3" s="2596"/>
      <c r="E3" s="2596"/>
      <c r="F3" s="2596"/>
      <c r="G3" s="2596"/>
      <c r="H3" s="2596"/>
      <c r="I3" s="2596"/>
      <c r="J3" s="2596"/>
      <c r="K3" s="2596"/>
      <c r="L3" s="1374"/>
      <c r="M3" s="1374"/>
    </row>
    <row r="4" spans="1:13" ht="14.25" customHeight="1" x14ac:dyDescent="0.2">
      <c r="B4" s="2597" t="str">
        <f>'Single Audit Cover'!A4</f>
        <v>Year Ending June 30, 2018</v>
      </c>
      <c r="C4" s="2597"/>
      <c r="D4" s="2597"/>
      <c r="E4" s="2597"/>
      <c r="F4" s="2597"/>
      <c r="G4" s="2597"/>
      <c r="H4" s="2597"/>
      <c r="I4" s="2597"/>
      <c r="J4" s="2597"/>
      <c r="K4" s="2597"/>
      <c r="L4" s="313"/>
      <c r="M4" s="313"/>
    </row>
    <row r="5" spans="1:13" ht="7.5" customHeight="1" x14ac:dyDescent="0.2">
      <c r="B5" s="1257" t="s">
        <v>1231</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597" t="s">
        <v>1363</v>
      </c>
      <c r="C7" s="2597"/>
      <c r="D7" s="2598"/>
      <c r="E7" s="2598"/>
      <c r="F7" s="2598"/>
      <c r="G7" s="2598"/>
      <c r="H7" s="2598"/>
      <c r="I7" s="2598"/>
      <c r="J7" s="2598"/>
      <c r="K7" s="259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1840</v>
      </c>
      <c r="C10" s="1382" t="s">
        <v>1947</v>
      </c>
      <c r="D10" s="1383" t="s">
        <v>2229</v>
      </c>
      <c r="E10" s="322"/>
      <c r="F10" s="1384" t="s">
        <v>1362</v>
      </c>
      <c r="G10" s="1385"/>
      <c r="H10" s="1386" t="s">
        <v>1361</v>
      </c>
      <c r="I10" s="1385"/>
      <c r="J10" s="1387" t="s">
        <v>1360</v>
      </c>
      <c r="K10" s="322"/>
      <c r="L10" s="1378"/>
    </row>
    <row r="11" spans="1:13" ht="13.5" customHeight="1" x14ac:dyDescent="0.2">
      <c r="B11" s="322"/>
      <c r="C11" s="322"/>
      <c r="D11" s="322"/>
      <c r="E11" s="322"/>
      <c r="F11" s="322"/>
      <c r="G11" s="1380"/>
      <c r="H11" s="322"/>
      <c r="I11" s="1388" t="s">
        <v>1359</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1358</v>
      </c>
      <c r="C13" s="1390"/>
      <c r="D13" s="1391"/>
      <c r="E13" s="1391"/>
      <c r="F13" s="1391"/>
      <c r="G13" s="1392"/>
      <c r="H13" s="1391"/>
      <c r="I13" s="1392"/>
      <c r="J13" s="1391"/>
      <c r="K13" s="1391"/>
      <c r="L13" s="1393"/>
    </row>
    <row r="14" spans="1:13" ht="39" customHeight="1" x14ac:dyDescent="0.2">
      <c r="B14" s="2595"/>
      <c r="C14" s="2595"/>
      <c r="D14" s="2595"/>
      <c r="E14" s="2595"/>
      <c r="F14" s="2595"/>
      <c r="G14" s="2595"/>
      <c r="H14" s="2595"/>
      <c r="I14" s="2595"/>
      <c r="J14" s="2595"/>
      <c r="K14" s="259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1357</v>
      </c>
      <c r="C16" s="1390"/>
      <c r="D16" s="1391"/>
      <c r="E16" s="1391"/>
      <c r="F16" s="1391"/>
      <c r="G16" s="1392"/>
      <c r="H16" s="1391"/>
      <c r="I16" s="1392"/>
      <c r="J16" s="1391"/>
      <c r="K16" s="1391"/>
      <c r="L16" s="1393"/>
    </row>
    <row r="17" spans="2:12" ht="52.5" customHeight="1" x14ac:dyDescent="0.2">
      <c r="B17" s="2595"/>
      <c r="C17" s="2595"/>
      <c r="D17" s="2595"/>
      <c r="E17" s="2595"/>
      <c r="F17" s="2595"/>
      <c r="G17" s="2595"/>
      <c r="H17" s="2595"/>
      <c r="I17" s="2595"/>
      <c r="J17" s="2595"/>
      <c r="K17" s="2595"/>
      <c r="L17" s="1378"/>
    </row>
    <row r="18" spans="2:12" ht="4.5" customHeight="1" x14ac:dyDescent="0.2">
      <c r="B18" s="1395"/>
      <c r="C18" s="1395"/>
      <c r="L18" s="1378"/>
    </row>
    <row r="19" spans="2:12" s="1279" customFormat="1" ht="13.5" customHeight="1" x14ac:dyDescent="0.2">
      <c r="B19" s="1390" t="s">
        <v>1841</v>
      </c>
      <c r="C19" s="1390"/>
      <c r="D19" s="1391"/>
      <c r="E19" s="1391"/>
      <c r="F19" s="1391"/>
      <c r="G19" s="1392"/>
      <c r="H19" s="1391"/>
      <c r="I19" s="1392"/>
      <c r="J19" s="1391"/>
      <c r="K19" s="1391"/>
      <c r="L19" s="1393"/>
    </row>
    <row r="20" spans="2:12" ht="45.75" customHeight="1" x14ac:dyDescent="0.2">
      <c r="B20" s="2599"/>
      <c r="C20" s="2599"/>
      <c r="D20" s="2595"/>
      <c r="E20" s="2595"/>
      <c r="F20" s="2595"/>
      <c r="G20" s="2595"/>
      <c r="H20" s="2595"/>
      <c r="I20" s="2595"/>
      <c r="J20" s="2595"/>
      <c r="K20" s="2595"/>
      <c r="L20" s="1378"/>
    </row>
    <row r="21" spans="2:12" ht="4.5" customHeight="1" x14ac:dyDescent="0.2">
      <c r="B21" s="1397"/>
      <c r="C21" s="1397"/>
      <c r="L21" s="1378"/>
    </row>
    <row r="22" spans="2:12" ht="13.5" customHeight="1" x14ac:dyDescent="0.2">
      <c r="B22" s="1390" t="s">
        <v>1356</v>
      </c>
      <c r="C22" s="1390"/>
      <c r="D22" s="1376"/>
      <c r="E22" s="1376"/>
      <c r="F22" s="1376"/>
      <c r="G22" s="1377"/>
      <c r="H22" s="1376"/>
      <c r="I22" s="1377"/>
      <c r="J22" s="1376"/>
      <c r="K22" s="1376"/>
      <c r="L22" s="1378"/>
    </row>
    <row r="23" spans="2:12" ht="45" customHeight="1" x14ac:dyDescent="0.2">
      <c r="B23" s="2595"/>
      <c r="C23" s="2595"/>
      <c r="D23" s="2595"/>
      <c r="E23" s="2595"/>
      <c r="F23" s="2595"/>
      <c r="G23" s="2595"/>
      <c r="H23" s="2595"/>
      <c r="I23" s="2595"/>
      <c r="J23" s="2595"/>
      <c r="K23" s="2595"/>
      <c r="L23" s="1378"/>
    </row>
    <row r="24" spans="2:12" ht="4.5" customHeight="1" x14ac:dyDescent="0.2">
      <c r="B24" s="1395"/>
      <c r="C24" s="1395"/>
      <c r="L24" s="1378"/>
    </row>
    <row r="25" spans="2:12" ht="13.5" customHeight="1" x14ac:dyDescent="0.2">
      <c r="B25" s="1390" t="s">
        <v>1355</v>
      </c>
      <c r="C25" s="1390"/>
      <c r="D25" s="1376"/>
      <c r="E25" s="1376"/>
      <c r="F25" s="1376"/>
      <c r="G25" s="1377"/>
      <c r="H25" s="1376"/>
      <c r="I25" s="1377"/>
      <c r="J25" s="1376"/>
      <c r="K25" s="1376"/>
      <c r="L25" s="1378"/>
    </row>
    <row r="26" spans="2:12" ht="45.75" customHeight="1" x14ac:dyDescent="0.2">
      <c r="B26" s="2595"/>
      <c r="C26" s="2595"/>
      <c r="D26" s="2595"/>
      <c r="E26" s="2595"/>
      <c r="F26" s="2595"/>
      <c r="G26" s="2595"/>
      <c r="H26" s="2595"/>
      <c r="I26" s="2595"/>
      <c r="J26" s="2595"/>
      <c r="K26" s="2595"/>
      <c r="L26" s="1378"/>
    </row>
    <row r="27" spans="2:12" ht="4.5" customHeight="1" x14ac:dyDescent="0.2">
      <c r="B27" s="1395"/>
      <c r="C27" s="1395"/>
      <c r="L27" s="1378"/>
    </row>
    <row r="28" spans="2:12" ht="13.5" customHeight="1" x14ac:dyDescent="0.2">
      <c r="B28" s="1398" t="s">
        <v>1354</v>
      </c>
      <c r="C28" s="1398"/>
      <c r="D28" s="1376"/>
      <c r="E28" s="1376"/>
      <c r="F28" s="1376"/>
      <c r="G28" s="1377"/>
      <c r="H28" s="1376"/>
      <c r="I28" s="1377"/>
      <c r="J28" s="1376"/>
      <c r="K28" s="1376"/>
      <c r="L28" s="1378"/>
    </row>
    <row r="29" spans="2:12" ht="45.75" customHeight="1" x14ac:dyDescent="0.2">
      <c r="B29" s="2594"/>
      <c r="C29" s="2594"/>
      <c r="D29" s="2595"/>
      <c r="E29" s="2595"/>
      <c r="F29" s="2595"/>
      <c r="G29" s="2595"/>
      <c r="H29" s="2595"/>
      <c r="I29" s="2595"/>
      <c r="J29" s="2595"/>
      <c r="K29" s="259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1842</v>
      </c>
      <c r="C31" s="1400"/>
      <c r="D31" s="1375"/>
      <c r="E31" s="1376"/>
      <c r="F31" s="1376"/>
      <c r="G31" s="1377"/>
      <c r="H31" s="1376"/>
      <c r="I31" s="1377"/>
      <c r="J31" s="1376"/>
      <c r="K31" s="1376"/>
      <c r="L31" s="1378"/>
    </row>
    <row r="32" spans="2:12" s="322" customFormat="1" ht="44.25" customHeight="1" x14ac:dyDescent="0.2">
      <c r="B32" s="2594"/>
      <c r="C32" s="2594"/>
      <c r="D32" s="2595"/>
      <c r="E32" s="2595"/>
      <c r="F32" s="2595"/>
      <c r="G32" s="2595"/>
      <c r="H32" s="2595"/>
      <c r="I32" s="2595"/>
      <c r="J32" s="2595"/>
      <c r="K32" s="2595"/>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1843</v>
      </c>
      <c r="C35" s="1416"/>
      <c r="D35" s="322"/>
      <c r="E35" s="322"/>
      <c r="F35" s="322"/>
      <c r="L35" s="1378"/>
    </row>
    <row r="36" spans="1:13" ht="9.6" customHeight="1" x14ac:dyDescent="0.2">
      <c r="B36" s="1297" t="s">
        <v>1948</v>
      </c>
      <c r="C36" s="1297"/>
      <c r="L36" s="1378"/>
    </row>
    <row r="37" spans="1:13" ht="9.6" customHeight="1" x14ac:dyDescent="0.2">
      <c r="B37" s="1297" t="s">
        <v>1949</v>
      </c>
      <c r="C37" s="1297"/>
    </row>
    <row r="38" spans="1:13" ht="11.85" customHeight="1" x14ac:dyDescent="0.2">
      <c r="B38" s="1417" t="s">
        <v>1844</v>
      </c>
      <c r="C38" s="1417"/>
    </row>
    <row r="39" spans="1:13" ht="9.6" customHeight="1" x14ac:dyDescent="0.2">
      <c r="B39" s="1297" t="s">
        <v>1348</v>
      </c>
      <c r="C39" s="1297"/>
      <c r="M39" s="1418"/>
    </row>
    <row r="40" spans="1:13" ht="12.6" customHeight="1" x14ac:dyDescent="0.2">
      <c r="B40" s="1417" t="s">
        <v>1845</v>
      </c>
      <c r="C40" s="1417"/>
      <c r="M40" s="1418"/>
    </row>
    <row r="41" spans="1:13" ht="9.6" customHeight="1" x14ac:dyDescent="0.2">
      <c r="B41" s="1297"/>
      <c r="C41" s="1297"/>
      <c r="M41" s="141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603" t="str">
        <f>'Single Audit Cover'!A7</f>
        <v>Pekin PSD 108</v>
      </c>
      <c r="C1" s="2603"/>
      <c r="D1" s="2603"/>
      <c r="E1" s="2603"/>
      <c r="F1" s="2603"/>
      <c r="G1" s="2603"/>
      <c r="H1" s="2603"/>
      <c r="I1" s="2603"/>
      <c r="J1" s="2603"/>
      <c r="K1" s="2603"/>
      <c r="L1" s="1462"/>
    </row>
    <row r="2" spans="1:12" ht="12.75" customHeight="1" x14ac:dyDescent="0.2">
      <c r="B2" s="2604">
        <f>'Single Audit Cover'!E7</f>
        <v>53090108002</v>
      </c>
      <c r="C2" s="2604"/>
      <c r="D2" s="2604"/>
      <c r="E2" s="2604"/>
      <c r="F2" s="2604"/>
      <c r="G2" s="2604"/>
      <c r="H2" s="2604"/>
      <c r="I2" s="2604"/>
      <c r="J2" s="2604"/>
      <c r="K2" s="2604"/>
      <c r="L2" s="1463"/>
    </row>
    <row r="3" spans="1:12" ht="12.75" customHeight="1" x14ac:dyDescent="0.2">
      <c r="B3" s="2596" t="s">
        <v>1347</v>
      </c>
      <c r="C3" s="2596"/>
      <c r="D3" s="2596"/>
      <c r="E3" s="2596"/>
      <c r="F3" s="2596"/>
      <c r="G3" s="2596"/>
      <c r="H3" s="2596"/>
      <c r="I3" s="2596"/>
      <c r="J3" s="2596"/>
      <c r="K3" s="2596"/>
      <c r="L3" s="1374"/>
    </row>
    <row r="4" spans="1:12" ht="12.75" customHeight="1" x14ac:dyDescent="0.2">
      <c r="B4" s="2596" t="str">
        <f>'Single Audit Cover'!A4</f>
        <v>Year Ending June 30, 2018</v>
      </c>
      <c r="C4" s="2596"/>
      <c r="D4" s="2596"/>
      <c r="E4" s="2596"/>
      <c r="F4" s="2596"/>
      <c r="G4" s="2596"/>
      <c r="H4" s="2596"/>
      <c r="I4" s="2596"/>
      <c r="J4" s="2596"/>
      <c r="K4" s="2596"/>
      <c r="L4" s="1374"/>
    </row>
    <row r="5" spans="1:12" ht="5.25" customHeight="1" x14ac:dyDescent="0.2">
      <c r="B5" s="1257" t="s">
        <v>1231</v>
      </c>
      <c r="C5" s="1257"/>
      <c r="L5" s="322"/>
    </row>
    <row r="6" spans="1:12" ht="30.75" customHeight="1" x14ac:dyDescent="0.2">
      <c r="A6" s="322"/>
      <c r="B6" s="2605" t="s">
        <v>1375</v>
      </c>
      <c r="C6" s="2605"/>
      <c r="D6" s="2605"/>
      <c r="E6" s="2605"/>
      <c r="F6" s="2605"/>
      <c r="G6" s="2605"/>
      <c r="H6" s="2605"/>
      <c r="I6" s="2605"/>
      <c r="J6" s="2605"/>
      <c r="K6" s="2605"/>
      <c r="L6" s="322"/>
    </row>
    <row r="7" spans="1:12" ht="4.5" customHeight="1" x14ac:dyDescent="0.2">
      <c r="B7" s="1376"/>
      <c r="C7" s="1376"/>
      <c r="D7" s="1376"/>
      <c r="E7" s="1376"/>
      <c r="F7" s="1376"/>
      <c r="G7" s="1377"/>
      <c r="H7" s="1376"/>
      <c r="I7" s="1377"/>
      <c r="J7" s="1376"/>
      <c r="K7" s="1376"/>
      <c r="L7" s="322"/>
    </row>
    <row r="8" spans="1:12" ht="13.5" customHeight="1" x14ac:dyDescent="0.2">
      <c r="B8" s="1384" t="s">
        <v>1854</v>
      </c>
      <c r="C8" s="1464" t="s">
        <v>1947</v>
      </c>
      <c r="D8" s="1465" t="s">
        <v>2229</v>
      </c>
      <c r="E8" s="322"/>
      <c r="F8" s="1381" t="s">
        <v>1362</v>
      </c>
      <c r="G8" s="1466"/>
      <c r="H8" s="1467" t="s">
        <v>1374</v>
      </c>
      <c r="I8" s="1466"/>
      <c r="J8" s="1468" t="s">
        <v>1373</v>
      </c>
      <c r="L8" s="322"/>
    </row>
    <row r="9" spans="1:12" ht="13.5" customHeight="1" x14ac:dyDescent="0.2">
      <c r="D9" s="322"/>
      <c r="E9" s="322"/>
      <c r="F9" s="322"/>
      <c r="G9" s="1380"/>
      <c r="H9" s="322"/>
      <c r="I9" s="1469" t="s">
        <v>1359</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1372</v>
      </c>
      <c r="C12" s="1381"/>
      <c r="D12" s="304"/>
      <c r="E12" s="322"/>
      <c r="F12" s="2587"/>
      <c r="G12" s="2587"/>
      <c r="H12" s="2587"/>
      <c r="I12" s="2587"/>
      <c r="J12" s="2587"/>
      <c r="K12" s="2587"/>
      <c r="L12" s="322"/>
    </row>
    <row r="13" spans="1:12" ht="9.6" customHeight="1" x14ac:dyDescent="0.2">
      <c r="B13" s="1254"/>
      <c r="C13" s="1254"/>
      <c r="D13" s="304"/>
      <c r="E13" s="322"/>
      <c r="F13" s="322"/>
      <c r="G13" s="1380"/>
      <c r="H13" s="322"/>
      <c r="I13" s="1380"/>
      <c r="J13" s="322"/>
      <c r="K13" s="1429"/>
      <c r="L13" s="322"/>
    </row>
    <row r="14" spans="1:12" ht="13.5" customHeight="1" x14ac:dyDescent="0.2">
      <c r="B14" s="1384" t="s">
        <v>1371</v>
      </c>
      <c r="C14" s="1384"/>
      <c r="D14" s="2600"/>
      <c r="E14" s="2600"/>
      <c r="F14" s="2600"/>
      <c r="H14" s="1472" t="s">
        <v>1370</v>
      </c>
      <c r="I14" s="2601"/>
      <c r="J14" s="2601"/>
      <c r="K14" s="2601"/>
      <c r="L14" s="322"/>
    </row>
    <row r="15" spans="1:12" ht="9.4" customHeight="1" x14ac:dyDescent="0.2">
      <c r="B15" s="1384"/>
      <c r="C15" s="1384"/>
      <c r="D15" s="1370"/>
      <c r="E15" s="1257"/>
      <c r="F15" s="1257"/>
      <c r="G15" s="1283"/>
      <c r="H15" s="1257"/>
      <c r="I15" s="1473"/>
      <c r="J15" s="1291"/>
      <c r="K15" s="1288"/>
      <c r="L15" s="322"/>
    </row>
    <row r="16" spans="1:12" ht="13.5" customHeight="1" x14ac:dyDescent="0.2">
      <c r="B16" s="1384" t="s">
        <v>1369</v>
      </c>
      <c r="C16" s="1384"/>
      <c r="D16" s="2601"/>
      <c r="E16" s="2601"/>
      <c r="F16" s="2601"/>
      <c r="G16" s="2601"/>
      <c r="H16" s="2601"/>
      <c r="I16" s="2601"/>
      <c r="J16" s="2601"/>
      <c r="K16" s="2601"/>
      <c r="L16" s="322"/>
    </row>
    <row r="17" spans="2:12" ht="13.5" customHeight="1" x14ac:dyDescent="0.2">
      <c r="B17" s="1384" t="s">
        <v>1368</v>
      </c>
      <c r="C17" s="1384"/>
      <c r="D17" s="2602"/>
      <c r="E17" s="2602"/>
      <c r="F17" s="2602"/>
      <c r="G17" s="2602"/>
      <c r="H17" s="2602"/>
      <c r="I17" s="2602"/>
      <c r="J17" s="2602"/>
      <c r="K17" s="2602"/>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1367</v>
      </c>
      <c r="C19" s="1474"/>
      <c r="D19" s="328"/>
      <c r="E19" s="328"/>
      <c r="F19" s="328"/>
      <c r="G19" s="1475"/>
      <c r="H19" s="328"/>
      <c r="I19" s="1475"/>
      <c r="J19" s="322"/>
      <c r="K19" s="322"/>
      <c r="L19" s="322"/>
    </row>
    <row r="20" spans="2:12" ht="35.25" customHeight="1" x14ac:dyDescent="0.2">
      <c r="B20" s="2595"/>
      <c r="C20" s="2595"/>
      <c r="D20" s="2595"/>
      <c r="E20" s="2595"/>
      <c r="F20" s="2595"/>
      <c r="G20" s="2595"/>
      <c r="H20" s="2595"/>
      <c r="I20" s="2595"/>
      <c r="J20" s="2595"/>
      <c r="K20" s="2595"/>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1855</v>
      </c>
      <c r="C22" s="1474"/>
      <c r="D22" s="322"/>
      <c r="E22" s="322"/>
      <c r="F22" s="322"/>
      <c r="G22" s="1380"/>
      <c r="H22" s="322"/>
      <c r="I22" s="1380"/>
      <c r="J22" s="322"/>
      <c r="K22" s="322"/>
      <c r="L22" s="322"/>
    </row>
    <row r="23" spans="2:12" ht="37.5" customHeight="1" x14ac:dyDescent="0.2">
      <c r="B23" s="2595"/>
      <c r="C23" s="2595"/>
      <c r="D23" s="2595"/>
      <c r="E23" s="2595"/>
      <c r="F23" s="2595"/>
      <c r="G23" s="2595"/>
      <c r="H23" s="2595"/>
      <c r="I23" s="2595"/>
      <c r="J23" s="2595"/>
      <c r="K23" s="2595"/>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1856</v>
      </c>
      <c r="C25" s="1474"/>
      <c r="D25" s="322"/>
      <c r="E25" s="322"/>
      <c r="F25" s="322"/>
      <c r="G25" s="1380"/>
      <c r="H25" s="322"/>
      <c r="I25" s="1380"/>
      <c r="J25" s="322"/>
      <c r="K25" s="322"/>
      <c r="L25" s="322"/>
    </row>
    <row r="26" spans="2:12" ht="37.5" customHeight="1" x14ac:dyDescent="0.2">
      <c r="B26" s="2595"/>
      <c r="C26" s="2595"/>
      <c r="D26" s="2595"/>
      <c r="E26" s="2595"/>
      <c r="F26" s="2595"/>
      <c r="G26" s="2595"/>
      <c r="H26" s="2595"/>
      <c r="I26" s="2595"/>
      <c r="J26" s="2595"/>
      <c r="K26" s="2595"/>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1857</v>
      </c>
      <c r="C28" s="1474"/>
      <c r="D28" s="322"/>
      <c r="E28" s="322"/>
      <c r="F28" s="322"/>
      <c r="G28" s="1380"/>
      <c r="H28" s="322"/>
      <c r="I28" s="1380"/>
      <c r="J28" s="322"/>
      <c r="K28" s="322"/>
      <c r="L28" s="322"/>
    </row>
    <row r="29" spans="2:12" ht="37.5" customHeight="1" x14ac:dyDescent="0.2">
      <c r="B29" s="2595"/>
      <c r="C29" s="2595"/>
      <c r="D29" s="2595"/>
      <c r="E29" s="2595"/>
      <c r="F29" s="2595"/>
      <c r="G29" s="2595"/>
      <c r="H29" s="2595"/>
      <c r="I29" s="2595"/>
      <c r="J29" s="2595"/>
      <c r="K29" s="2595"/>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1366</v>
      </c>
      <c r="C31" s="1474"/>
      <c r="D31" s="322"/>
      <c r="E31" s="322"/>
      <c r="F31" s="322"/>
      <c r="G31" s="1380"/>
      <c r="H31" s="322"/>
      <c r="I31" s="1380"/>
      <c r="J31" s="322"/>
      <c r="K31" s="322"/>
      <c r="L31" s="322"/>
    </row>
    <row r="32" spans="2:12" ht="37.5" customHeight="1" x14ac:dyDescent="0.2">
      <c r="B32" s="2595"/>
      <c r="C32" s="2595"/>
      <c r="D32" s="2595"/>
      <c r="E32" s="2595"/>
      <c r="F32" s="2595"/>
      <c r="G32" s="2595"/>
      <c r="H32" s="2595"/>
      <c r="I32" s="2595"/>
      <c r="J32" s="2595"/>
      <c r="K32" s="2595"/>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1365</v>
      </c>
      <c r="C34" s="1381"/>
      <c r="D34" s="322"/>
      <c r="E34" s="322"/>
      <c r="F34" s="322"/>
      <c r="G34" s="1380"/>
      <c r="H34" s="322"/>
      <c r="I34" s="1380"/>
      <c r="J34" s="322"/>
      <c r="K34" s="322"/>
      <c r="L34" s="322"/>
    </row>
    <row r="35" spans="2:12" ht="37.5" customHeight="1" x14ac:dyDescent="0.2">
      <c r="B35" s="2595"/>
      <c r="C35" s="2595"/>
      <c r="D35" s="2595"/>
      <c r="E35" s="2595"/>
      <c r="F35" s="2595"/>
      <c r="G35" s="2595"/>
      <c r="H35" s="2595"/>
      <c r="I35" s="2595"/>
      <c r="J35" s="2595"/>
      <c r="K35" s="2595"/>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1364</v>
      </c>
      <c r="C37" s="1381"/>
      <c r="D37" s="322"/>
      <c r="E37" s="322"/>
      <c r="F37" s="322"/>
      <c r="G37" s="1380"/>
      <c r="H37" s="322"/>
      <c r="I37" s="1380"/>
      <c r="J37" s="322"/>
      <c r="K37" s="322"/>
      <c r="L37" s="322"/>
    </row>
    <row r="38" spans="2:12" ht="35.25" customHeight="1" x14ac:dyDescent="0.2">
      <c r="B38" s="2595"/>
      <c r="C38" s="2595"/>
      <c r="D38" s="2595"/>
      <c r="E38" s="2595"/>
      <c r="F38" s="2595"/>
      <c r="G38" s="2595"/>
      <c r="H38" s="2595"/>
      <c r="I38" s="2595"/>
      <c r="J38" s="2595"/>
      <c r="K38" s="259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1858</v>
      </c>
      <c r="C40" s="1400"/>
      <c r="D40" s="1375"/>
      <c r="E40" s="1376"/>
      <c r="F40" s="1376"/>
      <c r="G40" s="1377"/>
      <c r="H40" s="1376"/>
      <c r="I40" s="1377"/>
      <c r="J40" s="1376"/>
      <c r="K40" s="1376"/>
    </row>
    <row r="41" spans="2:12" s="322" customFormat="1" ht="33.75" customHeight="1" x14ac:dyDescent="0.2">
      <c r="B41" s="2595"/>
      <c r="C41" s="2595"/>
      <c r="D41" s="2595"/>
      <c r="E41" s="2595"/>
      <c r="F41" s="2595"/>
      <c r="G41" s="2595"/>
      <c r="H41" s="2595"/>
      <c r="I41" s="2595"/>
      <c r="J41" s="2595"/>
      <c r="K41" s="2595"/>
    </row>
    <row r="42" spans="2:12" s="322" customFormat="1" ht="4.5" customHeight="1" x14ac:dyDescent="0.2">
      <c r="B42" s="1399"/>
      <c r="C42" s="1399"/>
      <c r="G42" s="1380"/>
      <c r="I42" s="1380"/>
    </row>
    <row r="43" spans="2:12" s="322" customFormat="1" ht="13.5" customHeight="1" x14ac:dyDescent="0.2">
      <c r="B43" s="1479" t="s">
        <v>1353</v>
      </c>
      <c r="C43" s="1480"/>
      <c r="D43" s="1401"/>
      <c r="E43" s="1401"/>
      <c r="F43" s="1401"/>
      <c r="G43" s="1402"/>
      <c r="H43" s="1401"/>
      <c r="I43" s="1402"/>
      <c r="J43" s="1401"/>
      <c r="K43" s="1403"/>
      <c r="L43" s="1481"/>
    </row>
    <row r="44" spans="2:12" s="322" customFormat="1" ht="13.5" customHeight="1" x14ac:dyDescent="0.2">
      <c r="B44" s="1404" t="s">
        <v>1352</v>
      </c>
      <c r="C44" s="1405"/>
      <c r="D44" s="1482"/>
      <c r="E44" s="1406"/>
      <c r="F44" s="1410" t="s">
        <v>1351</v>
      </c>
      <c r="G44" s="1408"/>
      <c r="H44" s="1407"/>
      <c r="I44" s="1408"/>
      <c r="J44" s="1483"/>
      <c r="K44" s="1484"/>
      <c r="L44" s="1481"/>
    </row>
    <row r="45" spans="2:12" s="322" customFormat="1" ht="13.5" customHeight="1" x14ac:dyDescent="0.2">
      <c r="B45" s="1404" t="s">
        <v>1350</v>
      </c>
      <c r="C45" s="1405"/>
      <c r="D45" s="1483"/>
      <c r="E45" s="1407"/>
      <c r="F45" s="1410" t="s">
        <v>1349</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1859</v>
      </c>
      <c r="C48" s="1416"/>
      <c r="D48" s="322"/>
      <c r="E48" s="322"/>
      <c r="F48" s="322"/>
    </row>
    <row r="49" spans="2:3" s="317" customFormat="1" ht="10.5" customHeight="1" x14ac:dyDescent="0.2">
      <c r="B49" s="1417" t="s">
        <v>1860</v>
      </c>
      <c r="C49" s="1417"/>
    </row>
    <row r="50" spans="2:3" s="317" customFormat="1" ht="11.1" customHeight="1" x14ac:dyDescent="0.2">
      <c r="B50" s="1417" t="s">
        <v>1861</v>
      </c>
      <c r="C50" s="1417"/>
    </row>
    <row r="51" spans="2:3" s="317" customFormat="1" ht="11.1" customHeight="1" x14ac:dyDescent="0.2">
      <c r="B51" s="1417" t="s">
        <v>1862</v>
      </c>
      <c r="C51" s="1417"/>
    </row>
    <row r="52" spans="2:3" s="317" customFormat="1" ht="11.1" customHeight="1" x14ac:dyDescent="0.2">
      <c r="B52" s="1417" t="s">
        <v>1863</v>
      </c>
      <c r="C52" s="14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80" t="str">
        <f>'Single Audit Cover'!A7</f>
        <v>Pekin PSD 108</v>
      </c>
      <c r="C1" s="2580"/>
      <c r="D1" s="2580"/>
      <c r="E1" s="1488"/>
    </row>
    <row r="2" spans="2:5" s="1279" customFormat="1" ht="12.75" customHeight="1" x14ac:dyDescent="0.2">
      <c r="B2" s="2582">
        <f>'Single Audit Cover'!E7</f>
        <v>53090108002</v>
      </c>
      <c r="C2" s="2582"/>
      <c r="D2" s="2582"/>
      <c r="E2" s="1489"/>
    </row>
    <row r="3" spans="2:5" ht="12.75" customHeight="1" x14ac:dyDescent="0.2">
      <c r="B3" s="2596" t="s">
        <v>1864</v>
      </c>
      <c r="C3" s="2596"/>
      <c r="D3" s="2596"/>
      <c r="E3" s="1271"/>
    </row>
    <row r="4" spans="2:5" s="1279" customFormat="1" ht="12.75" customHeight="1" x14ac:dyDescent="0.2">
      <c r="B4" s="2606" t="str">
        <f>'Single Audit Cover'!A4</f>
        <v>Year Ending June 30, 2018</v>
      </c>
      <c r="C4" s="2606"/>
      <c r="D4" s="2606"/>
      <c r="E4" s="1490"/>
    </row>
    <row r="5" spans="2:5" s="1279" customFormat="1" ht="40.15" customHeight="1" x14ac:dyDescent="0.2">
      <c r="B5" s="1491"/>
      <c r="C5" s="328"/>
      <c r="D5" s="328"/>
      <c r="E5" s="328"/>
    </row>
    <row r="6" spans="2:5" s="1279" customFormat="1" ht="13.5" customHeight="1" x14ac:dyDescent="0.2">
      <c r="B6" s="1492" t="s">
        <v>1382</v>
      </c>
      <c r="C6" s="1492" t="s">
        <v>1381</v>
      </c>
      <c r="D6" s="1492" t="s">
        <v>1865</v>
      </c>
    </row>
    <row r="7" spans="2:5" ht="13.5" customHeight="1" x14ac:dyDescent="0.2">
      <c r="B7" s="1493"/>
      <c r="C7" s="324"/>
      <c r="D7" s="324"/>
      <c r="E7" s="324"/>
    </row>
    <row r="8" spans="2:5" ht="13.5" customHeight="1" x14ac:dyDescent="0.2">
      <c r="B8" s="1953" t="s">
        <v>2098</v>
      </c>
      <c r="C8" s="1954" t="s">
        <v>2099</v>
      </c>
      <c r="D8" s="1954" t="s">
        <v>2231</v>
      </c>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4" t="s">
        <v>1380</v>
      </c>
      <c r="C44" s="322"/>
    </row>
    <row r="45" spans="2:5" ht="12.2" customHeight="1" x14ac:dyDescent="0.2">
      <c r="B45" s="1502" t="s">
        <v>1866</v>
      </c>
    </row>
    <row r="46" spans="2:5" ht="12.2" customHeight="1" x14ac:dyDescent="0.2">
      <c r="B46" s="1502" t="s">
        <v>1867</v>
      </c>
    </row>
    <row r="47" spans="2:5" ht="12.2" customHeight="1" x14ac:dyDescent="0.2">
      <c r="B47" s="1503" t="s">
        <v>1379</v>
      </c>
    </row>
    <row r="48" spans="2:5" ht="12.2" customHeight="1" x14ac:dyDescent="0.2">
      <c r="B48" s="1503" t="s">
        <v>1378</v>
      </c>
    </row>
    <row r="49" spans="2:5" ht="12.2" customHeight="1" x14ac:dyDescent="0.2">
      <c r="B49" s="1503" t="s">
        <v>1377</v>
      </c>
    </row>
    <row r="50" spans="2:5" ht="12.2" customHeight="1" x14ac:dyDescent="0.2">
      <c r="B50" s="1503" t="s">
        <v>1376</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heetViews>
  <sheetFormatPr defaultColWidth="9.140625" defaultRowHeight="12.75" x14ac:dyDescent="0.2"/>
  <cols>
    <col min="1" max="1" width="1.5703125" style="2026" customWidth="1"/>
    <col min="2" max="2" width="11.28515625" style="2026" customWidth="1"/>
    <col min="3" max="3" width="6.42578125" style="2026" customWidth="1"/>
    <col min="4" max="4" width="5.42578125" style="2026" customWidth="1"/>
    <col min="5" max="5" width="74.7109375" style="2026" customWidth="1"/>
    <col min="6" max="6" width="1.5703125" style="2026" customWidth="1"/>
    <col min="7" max="8" width="2.42578125" style="2026" customWidth="1"/>
    <col min="9" max="9" width="9.28515625" style="2026" customWidth="1"/>
    <col min="10" max="10" width="14.42578125" style="2026" customWidth="1"/>
    <col min="11" max="11" width="7.28515625" style="2026" customWidth="1"/>
    <col min="12" max="12" width="3.140625" style="2026" customWidth="1"/>
    <col min="13" max="16384" width="9.140625" style="2026"/>
  </cols>
  <sheetData>
    <row r="1" spans="2:12" ht="13.5" customHeight="1" x14ac:dyDescent="0.2">
      <c r="B1" s="2609" t="s">
        <v>2084</v>
      </c>
      <c r="C1" s="2609"/>
      <c r="D1" s="2609"/>
      <c r="E1" s="2609"/>
      <c r="F1" s="2025"/>
      <c r="G1" s="2025"/>
      <c r="H1" s="2025"/>
      <c r="I1" s="2025"/>
      <c r="J1" s="2025"/>
      <c r="K1" s="2025"/>
      <c r="L1" s="2025"/>
    </row>
    <row r="2" spans="2:12" ht="13.5" customHeight="1" x14ac:dyDescent="0.2">
      <c r="B2" s="2610" t="s">
        <v>2082</v>
      </c>
      <c r="C2" s="2610"/>
      <c r="D2" s="2610"/>
      <c r="E2" s="2610"/>
      <c r="F2" s="2027"/>
      <c r="G2" s="2027"/>
      <c r="H2" s="2027"/>
      <c r="I2" s="2027"/>
      <c r="J2" s="2027"/>
      <c r="K2" s="2027"/>
      <c r="L2" s="2027"/>
    </row>
    <row r="3" spans="2:12" ht="13.5" customHeight="1" x14ac:dyDescent="0.2">
      <c r="B3" s="2611" t="s">
        <v>2201</v>
      </c>
      <c r="C3" s="2611"/>
      <c r="D3" s="2611"/>
      <c r="E3" s="2611"/>
      <c r="F3" s="2028"/>
      <c r="G3" s="2028"/>
      <c r="H3" s="2028"/>
      <c r="I3" s="2028"/>
      <c r="J3" s="2028"/>
      <c r="K3" s="2028"/>
      <c r="L3" s="2028"/>
    </row>
    <row r="4" spans="2:12" ht="13.5" customHeight="1" x14ac:dyDescent="0.2">
      <c r="B4" s="2612" t="s">
        <v>1797</v>
      </c>
      <c r="C4" s="2612"/>
      <c r="D4" s="2612"/>
      <c r="E4" s="2612"/>
      <c r="F4" s="2029"/>
      <c r="G4" s="2029"/>
      <c r="H4" s="2029"/>
      <c r="I4" s="2029"/>
      <c r="J4" s="2029"/>
      <c r="K4" s="2029"/>
      <c r="L4" s="2029"/>
    </row>
    <row r="5" spans="2:12" ht="29.85" customHeight="1" x14ac:dyDescent="0.2">
      <c r="B5" s="2030"/>
      <c r="C5" s="2030"/>
      <c r="D5" s="2030"/>
      <c r="E5" s="2030"/>
      <c r="F5" s="2030"/>
      <c r="G5" s="2030"/>
      <c r="H5" s="2030"/>
      <c r="I5" s="2030"/>
    </row>
    <row r="6" spans="2:12" ht="13.5" customHeight="1" x14ac:dyDescent="0.2">
      <c r="B6" s="2031" t="s">
        <v>2202</v>
      </c>
      <c r="C6" s="2031"/>
      <c r="D6" s="2032"/>
      <c r="E6" s="2033"/>
      <c r="F6" s="2033"/>
      <c r="G6" s="2034"/>
      <c r="H6" s="2034"/>
      <c r="I6" s="2034"/>
    </row>
    <row r="7" spans="2:12" ht="13.5" customHeight="1" x14ac:dyDescent="0.2">
      <c r="B7" s="2030" t="s">
        <v>1231</v>
      </c>
      <c r="C7" s="2030"/>
      <c r="D7" s="2030"/>
      <c r="E7" s="2030"/>
      <c r="F7" s="2030"/>
      <c r="G7" s="2030"/>
      <c r="H7" s="2030"/>
      <c r="I7" s="2030"/>
    </row>
    <row r="8" spans="2:12" ht="13.5" customHeight="1" x14ac:dyDescent="0.2">
      <c r="B8" s="2035" t="s">
        <v>2203</v>
      </c>
      <c r="C8" s="2036" t="s">
        <v>2210</v>
      </c>
      <c r="D8" s="2037"/>
      <c r="E8" s="2030"/>
      <c r="F8" s="2030"/>
      <c r="G8" s="2030"/>
      <c r="H8" s="2030"/>
      <c r="I8" s="2030"/>
    </row>
    <row r="9" spans="2:12" ht="13.5" customHeight="1" x14ac:dyDescent="0.2">
      <c r="B9" s="2038"/>
      <c r="C9" s="2038"/>
      <c r="D9" s="2038"/>
    </row>
    <row r="10" spans="2:12" ht="13.5" customHeight="1" x14ac:dyDescent="0.2">
      <c r="B10" s="2035" t="s">
        <v>2204</v>
      </c>
      <c r="C10" s="2035"/>
      <c r="D10" s="2030"/>
    </row>
    <row r="11" spans="2:12" ht="66.75" customHeight="1" x14ac:dyDescent="0.2">
      <c r="B11" s="2607"/>
      <c r="C11" s="2607"/>
      <c r="D11" s="2608"/>
      <c r="E11" s="2608"/>
    </row>
    <row r="12" spans="2:12" ht="13.5" customHeight="1" x14ac:dyDescent="0.2">
      <c r="B12" s="2030"/>
      <c r="C12" s="2030"/>
      <c r="D12" s="2030"/>
    </row>
    <row r="13" spans="2:12" ht="13.5" customHeight="1" x14ac:dyDescent="0.2">
      <c r="B13" s="2035" t="s">
        <v>2205</v>
      </c>
      <c r="C13" s="2035"/>
      <c r="D13" s="2030"/>
    </row>
    <row r="14" spans="2:12" ht="76.5" customHeight="1" x14ac:dyDescent="0.2">
      <c r="B14" s="2607"/>
      <c r="C14" s="2607"/>
      <c r="D14" s="2608"/>
      <c r="E14" s="2608"/>
    </row>
    <row r="15" spans="2:12" ht="13.5" customHeight="1" x14ac:dyDescent="0.2">
      <c r="B15" s="2030"/>
      <c r="C15" s="2030"/>
      <c r="D15" s="2030"/>
    </row>
    <row r="16" spans="2:12" ht="13.5" customHeight="1" x14ac:dyDescent="0.2">
      <c r="B16" s="2035" t="s">
        <v>2206</v>
      </c>
      <c r="C16" s="2035"/>
      <c r="D16" s="2030"/>
      <c r="E16" s="2039"/>
    </row>
    <row r="17" spans="2:5" ht="13.5" customHeight="1" x14ac:dyDescent="0.2">
      <c r="B17" s="2030"/>
      <c r="C17" s="2030"/>
      <c r="D17" s="2030"/>
    </row>
    <row r="18" spans="2:5" ht="13.5" customHeight="1" x14ac:dyDescent="0.2">
      <c r="B18" s="2035" t="s">
        <v>2207</v>
      </c>
      <c r="C18" s="2035"/>
      <c r="D18" s="2030"/>
      <c r="E18" s="2040"/>
    </row>
    <row r="19" spans="2:5" ht="13.5" customHeight="1" x14ac:dyDescent="0.2">
      <c r="B19" s="2030"/>
      <c r="C19" s="2030"/>
      <c r="D19" s="2030"/>
    </row>
    <row r="20" spans="2:5" ht="13.5" customHeight="1" x14ac:dyDescent="0.2">
      <c r="B20" s="2035" t="s">
        <v>2208</v>
      </c>
      <c r="C20" s="2035"/>
      <c r="D20" s="2030"/>
      <c r="E20" s="2040"/>
    </row>
    <row r="21" spans="2:5" ht="13.5" customHeight="1" x14ac:dyDescent="0.2">
      <c r="B21" s="2030"/>
      <c r="C21" s="2030"/>
      <c r="D21" s="2030"/>
      <c r="E21" s="2041"/>
    </row>
    <row r="22" spans="2:5" ht="13.5" customHeight="1" x14ac:dyDescent="0.2">
      <c r="B22" s="2030"/>
      <c r="C22" s="2030"/>
      <c r="D22" s="2030"/>
      <c r="E22" s="2042"/>
    </row>
    <row r="23" spans="2:5" ht="13.5" customHeight="1" x14ac:dyDescent="0.2">
      <c r="B23" s="2030"/>
      <c r="C23" s="2030"/>
      <c r="D23" s="2030"/>
    </row>
    <row r="24" spans="2:5" ht="13.5" customHeight="1" x14ac:dyDescent="0.2">
      <c r="B24" s="2030"/>
      <c r="C24" s="2030"/>
      <c r="D24" s="2030"/>
    </row>
    <row r="25" spans="2:5" ht="13.5" customHeight="1" x14ac:dyDescent="0.2">
      <c r="B25" s="2043"/>
      <c r="C25" s="2043"/>
      <c r="D25" s="2043"/>
    </row>
    <row r="26" spans="2:5" ht="13.5" customHeight="1" x14ac:dyDescent="0.2">
      <c r="B26" s="2043"/>
      <c r="C26" s="2043"/>
      <c r="D26" s="2043"/>
    </row>
    <row r="27" spans="2:5" ht="13.5" customHeight="1" x14ac:dyDescent="0.2">
      <c r="B27" s="2043"/>
      <c r="C27" s="2043"/>
      <c r="D27" s="2043"/>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44"/>
      <c r="C35" s="2044"/>
      <c r="D35" s="2044"/>
    </row>
    <row r="36" spans="2:5" ht="13.5" customHeight="1" x14ac:dyDescent="0.2"/>
    <row r="37" spans="2:5" ht="13.5" customHeight="1" x14ac:dyDescent="0.2">
      <c r="B37" s="2045"/>
      <c r="C37" s="2045"/>
      <c r="D37" s="2045"/>
    </row>
    <row r="38" spans="2:5" ht="13.5" customHeight="1" x14ac:dyDescent="0.2">
      <c r="B38" s="2045"/>
      <c r="C38" s="2045"/>
      <c r="D38" s="2045"/>
    </row>
    <row r="39" spans="2:5" ht="13.5" customHeight="1" x14ac:dyDescent="0.2">
      <c r="B39" s="2045"/>
      <c r="C39" s="2045"/>
      <c r="D39" s="2045"/>
    </row>
    <row r="40" spans="2:5" ht="13.5" customHeight="1" x14ac:dyDescent="0.2">
      <c r="B40" s="2045"/>
      <c r="C40" s="2045"/>
      <c r="D40" s="2045"/>
    </row>
    <row r="41" spans="2:5" ht="13.5" customHeight="1" x14ac:dyDescent="0.2">
      <c r="B41" s="2046"/>
      <c r="C41" s="2046"/>
      <c r="D41" s="2046"/>
      <c r="E41" s="2047"/>
    </row>
    <row r="42" spans="2:5" ht="12.2" customHeight="1" x14ac:dyDescent="0.2">
      <c r="B42" s="2048" t="s">
        <v>2209</v>
      </c>
      <c r="C42" s="2048"/>
      <c r="D42" s="2048"/>
    </row>
    <row r="43" spans="2:5" ht="12.2" customHeight="1" x14ac:dyDescent="0.2">
      <c r="B43" s="2049"/>
      <c r="C43" s="2049"/>
      <c r="D43" s="2049"/>
    </row>
    <row r="44" spans="2:5" ht="12.75" customHeight="1" x14ac:dyDescent="0.2">
      <c r="B44" s="2050"/>
      <c r="C44" s="2050"/>
      <c r="D44" s="2050"/>
    </row>
    <row r="45" spans="2:5" ht="12.75" customHeight="1" x14ac:dyDescent="0.2">
      <c r="B45" s="2050"/>
      <c r="C45" s="2050"/>
      <c r="D45" s="2050"/>
    </row>
    <row r="46" spans="2:5" x14ac:dyDescent="0.2">
      <c r="B46" s="2050"/>
      <c r="C46" s="2050"/>
      <c r="D46" s="2050"/>
    </row>
    <row r="47" spans="2:5" x14ac:dyDescent="0.2">
      <c r="B47" s="2050"/>
      <c r="C47" s="2050"/>
      <c r="D47" s="2050"/>
    </row>
    <row r="51" spans="2:9" x14ac:dyDescent="0.2">
      <c r="B51" s="2051"/>
      <c r="C51" s="2051"/>
      <c r="D51" s="2051"/>
    </row>
    <row r="52" spans="2:9" ht="12.75" customHeight="1" x14ac:dyDescent="0.2"/>
    <row r="53" spans="2:9" ht="12.75" customHeight="1" x14ac:dyDescent="0.2">
      <c r="B53" s="2030"/>
      <c r="C53" s="2030"/>
      <c r="D53" s="2030"/>
      <c r="E53" s="2030"/>
      <c r="F53" s="2030"/>
      <c r="G53" s="2030"/>
      <c r="H53" s="2030"/>
      <c r="I53" s="2030"/>
    </row>
    <row r="54" spans="2:9" ht="12.75" customHeight="1" x14ac:dyDescent="0.2">
      <c r="B54" s="2030"/>
      <c r="C54" s="2030"/>
      <c r="D54" s="2030"/>
      <c r="E54" s="2030"/>
      <c r="F54" s="2030"/>
      <c r="G54" s="2030"/>
      <c r="H54" s="2030"/>
      <c r="I54" s="2030"/>
    </row>
    <row r="55" spans="2:9" ht="12.75" customHeight="1" x14ac:dyDescent="0.2">
      <c r="B55" s="2030"/>
      <c r="C55" s="2030"/>
      <c r="D55" s="2030"/>
      <c r="E55" s="2030"/>
      <c r="F55" s="2030"/>
      <c r="G55" s="2030"/>
      <c r="H55" s="2030"/>
      <c r="I55" s="2030"/>
    </row>
    <row r="56" spans="2:9" ht="12.75" customHeight="1" x14ac:dyDescent="0.2">
      <c r="B56" s="2030"/>
      <c r="C56" s="2030"/>
      <c r="D56" s="2030"/>
      <c r="E56" s="2030"/>
      <c r="F56" s="2030"/>
      <c r="G56" s="2030"/>
      <c r="H56" s="2030"/>
      <c r="I56" s="2030"/>
    </row>
    <row r="57" spans="2:9" ht="12.75" customHeight="1" x14ac:dyDescent="0.2">
      <c r="B57" s="2030"/>
      <c r="C57" s="2030"/>
      <c r="D57" s="2030"/>
      <c r="E57" s="2030"/>
      <c r="F57" s="2030"/>
      <c r="G57" s="2030"/>
      <c r="H57" s="2030"/>
      <c r="I57" s="2030"/>
    </row>
    <row r="58" spans="2:9" ht="12.75" customHeight="1" x14ac:dyDescent="0.2">
      <c r="B58" s="2030"/>
      <c r="C58" s="2030"/>
      <c r="D58" s="2030"/>
      <c r="E58" s="2030"/>
      <c r="F58" s="2030"/>
      <c r="G58" s="2030"/>
      <c r="H58" s="2030"/>
      <c r="I58" s="2030"/>
    </row>
    <row r="59" spans="2:9" ht="12.75" customHeight="1" x14ac:dyDescent="0.2">
      <c r="B59" s="2030"/>
      <c r="C59" s="2030"/>
      <c r="D59" s="2030"/>
      <c r="E59" s="2030"/>
      <c r="F59" s="2030"/>
    </row>
    <row r="60" spans="2:9" ht="12.75" customHeight="1" x14ac:dyDescent="0.2">
      <c r="B60" s="2030"/>
      <c r="C60" s="2030"/>
      <c r="D60" s="2030"/>
      <c r="E60" s="2030"/>
      <c r="F60" s="2030"/>
      <c r="G60" s="2030"/>
      <c r="H60" s="2030"/>
      <c r="I60" s="2030"/>
    </row>
    <row r="64" spans="2:9" x14ac:dyDescent="0.2">
      <c r="B64" s="2052"/>
      <c r="C64" s="2052"/>
      <c r="D64" s="2052"/>
    </row>
    <row r="65" spans="2:4" x14ac:dyDescent="0.2">
      <c r="B65" s="2050"/>
      <c r="C65" s="2050"/>
      <c r="D65" s="2050"/>
    </row>
    <row r="66" spans="2:4" x14ac:dyDescent="0.2">
      <c r="B66" s="2050"/>
      <c r="C66" s="2050"/>
      <c r="D66" s="2050"/>
    </row>
    <row r="67" spans="2:4" x14ac:dyDescent="0.2">
      <c r="B67" s="2053"/>
      <c r="C67" s="2053"/>
      <c r="D67" s="2053"/>
    </row>
    <row r="68" spans="2:4" x14ac:dyDescent="0.2">
      <c r="B68" s="2053"/>
      <c r="C68" s="2053"/>
      <c r="D68" s="2053"/>
    </row>
    <row r="69" spans="2:4" x14ac:dyDescent="0.2">
      <c r="B69" s="2053"/>
      <c r="C69" s="2053"/>
      <c r="D69" s="2053"/>
    </row>
    <row r="70" spans="2:4" x14ac:dyDescent="0.2">
      <c r="B70" s="2050"/>
      <c r="C70" s="2050"/>
      <c r="D70" s="2050"/>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201" t="s">
        <v>404</v>
      </c>
      <c r="B1" s="2201"/>
      <c r="C1" s="2201"/>
      <c r="D1" s="2201"/>
      <c r="E1" s="2201"/>
      <c r="F1" s="2201"/>
      <c r="G1" s="2201"/>
      <c r="H1" s="2201"/>
      <c r="I1" s="2201"/>
      <c r="J1" s="2201"/>
      <c r="K1" s="2201"/>
      <c r="L1" s="2201"/>
      <c r="M1" s="22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1744</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1745</v>
      </c>
      <c r="E7" s="222"/>
      <c r="F7" s="351" t="s">
        <v>290</v>
      </c>
      <c r="G7" s="222"/>
      <c r="H7" s="222"/>
      <c r="I7" s="222"/>
      <c r="J7" s="352">
        <v>483581854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2.3751999999999999E-2</v>
      </c>
      <c r="E10" s="356" t="s">
        <v>1062</v>
      </c>
      <c r="F10" s="355">
        <v>3.4513E-3</v>
      </c>
      <c r="G10" s="356" t="s">
        <v>1062</v>
      </c>
      <c r="H10" s="355">
        <v>2.2331999999999999E-3</v>
      </c>
      <c r="I10" s="356" t="s">
        <v>1063</v>
      </c>
      <c r="J10" s="1751">
        <f>ROUND(D10+F10+H10,5)</f>
        <v>2.9440000000000001E-2</v>
      </c>
      <c r="K10" s="222"/>
      <c r="L10" s="355">
        <v>4.9089999999999995E-4</v>
      </c>
      <c r="M10" s="222"/>
    </row>
    <row r="11" spans="1:14" ht="7.5" customHeight="1" x14ac:dyDescent="0.2">
      <c r="B11" s="222"/>
      <c r="C11" s="222"/>
      <c r="D11" s="2211" t="str">
        <f>IF(SUM(J10)&lt;=0.0999999,"","Enter the Tax Rates by moving the decimal two places to the left.")</f>
        <v/>
      </c>
      <c r="E11" s="2212"/>
      <c r="F11" s="2212"/>
      <c r="G11" s="2212"/>
      <c r="H11" s="2212"/>
      <c r="I11" s="2212"/>
      <c r="J11" s="22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36196294</v>
      </c>
      <c r="E16" s="356"/>
      <c r="F16" s="1752">
        <f>SUM('Acct Summary 7-8'!C17,'Acct Summary 7-8'!D17,'Acct Summary 7-8'!F17)</f>
        <v>35977958</v>
      </c>
      <c r="G16" s="356"/>
      <c r="H16" s="1752">
        <f>SUM(D16-F16)</f>
        <v>218336</v>
      </c>
      <c r="I16" s="222"/>
      <c r="J16" s="1752">
        <f>SUM('Acct Summary 7-8'!C81,'Acct Summary 7-8'!D81,'Acct Summary 7-8'!F81,'Acct Summary 7-8'!I81)</f>
        <v>5154511</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1747</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2089</v>
      </c>
      <c r="C31" s="367" t="s">
        <v>607</v>
      </c>
      <c r="D31" s="237" t="s">
        <v>1132</v>
      </c>
      <c r="E31" s="222"/>
      <c r="F31" s="222"/>
      <c r="G31" s="363"/>
      <c r="H31" s="1754">
        <f>IF(B31="X",(J7*0.069),IF(B32="X",(J7*0.138),"Enter x in a.or b."))</f>
        <v>33367147.926000003</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4197847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202"/>
      <c r="C54" s="2203"/>
      <c r="D54" s="2203"/>
      <c r="E54" s="2203"/>
      <c r="F54" s="2203"/>
      <c r="G54" s="2203"/>
      <c r="H54" s="2203"/>
      <c r="I54" s="2203"/>
      <c r="J54" s="2203"/>
      <c r="K54" s="2203"/>
      <c r="L54" s="2204"/>
      <c r="M54" s="380"/>
    </row>
    <row r="55" spans="1:13" ht="12.75" customHeight="1" x14ac:dyDescent="0.2">
      <c r="B55" s="2205"/>
      <c r="C55" s="2206"/>
      <c r="D55" s="2206"/>
      <c r="E55" s="2206"/>
      <c r="F55" s="2206"/>
      <c r="G55" s="2206"/>
      <c r="H55" s="2206"/>
      <c r="I55" s="2206"/>
      <c r="J55" s="2206"/>
      <c r="K55" s="2206"/>
      <c r="L55" s="2207"/>
      <c r="M55" s="380"/>
    </row>
    <row r="56" spans="1:13" ht="12.75" customHeight="1" x14ac:dyDescent="0.2">
      <c r="B56" s="2205"/>
      <c r="C56" s="2206"/>
      <c r="D56" s="2206"/>
      <c r="E56" s="2206"/>
      <c r="F56" s="2206"/>
      <c r="G56" s="2206"/>
      <c r="H56" s="2206"/>
      <c r="I56" s="2206"/>
      <c r="J56" s="2206"/>
      <c r="K56" s="2206"/>
      <c r="L56" s="2207"/>
      <c r="M56" s="222"/>
    </row>
    <row r="57" spans="1:13" ht="12.75" customHeight="1" x14ac:dyDescent="0.2">
      <c r="B57" s="2205"/>
      <c r="C57" s="2206"/>
      <c r="D57" s="2206"/>
      <c r="E57" s="2206"/>
      <c r="F57" s="2206"/>
      <c r="G57" s="2206"/>
      <c r="H57" s="2206"/>
      <c r="I57" s="2206"/>
      <c r="J57" s="2206"/>
      <c r="K57" s="2206"/>
      <c r="L57" s="2207"/>
      <c r="M57" s="222"/>
    </row>
    <row r="58" spans="1:13" x14ac:dyDescent="0.2">
      <c r="B58" s="2208"/>
      <c r="C58" s="2209"/>
      <c r="D58" s="2209"/>
      <c r="E58" s="2209"/>
      <c r="F58" s="2209"/>
      <c r="G58" s="2209"/>
      <c r="H58" s="2209"/>
      <c r="I58" s="2209"/>
      <c r="J58" s="2209"/>
      <c r="K58" s="2209"/>
      <c r="L58" s="22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213"/>
      <c r="D61" s="22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216"/>
      <c r="B1" s="2217"/>
      <c r="C1" s="2217"/>
      <c r="D1" s="384"/>
      <c r="E1" s="384"/>
      <c r="F1" s="384"/>
      <c r="G1" s="384"/>
      <c r="H1" s="384"/>
      <c r="I1" s="384"/>
      <c r="J1" s="384"/>
      <c r="K1" s="384"/>
      <c r="L1" s="384"/>
      <c r="M1" s="384"/>
      <c r="N1" s="384"/>
      <c r="O1" s="2216"/>
      <c r="P1" s="2217"/>
      <c r="Q1" s="2217"/>
    </row>
    <row r="2" spans="1:18" ht="15" x14ac:dyDescent="0.2">
      <c r="A2" s="2220" t="s">
        <v>577</v>
      </c>
      <c r="B2" s="2220"/>
      <c r="C2" s="2220"/>
      <c r="D2" s="2220"/>
      <c r="E2" s="2220"/>
      <c r="F2" s="2220"/>
      <c r="G2" s="2220"/>
      <c r="H2" s="2220"/>
      <c r="I2" s="2220"/>
      <c r="J2" s="2220"/>
      <c r="K2" s="2220"/>
      <c r="L2" s="2220"/>
      <c r="M2" s="2220"/>
      <c r="N2" s="2220"/>
      <c r="O2" s="2220"/>
      <c r="P2" s="2220"/>
      <c r="Q2" s="2220"/>
      <c r="R2" s="2220"/>
    </row>
    <row r="3" spans="1:18" ht="12.75" x14ac:dyDescent="0.2">
      <c r="A3" s="2221" t="s">
        <v>1480</v>
      </c>
      <c r="B3" s="2221"/>
      <c r="C3" s="2221"/>
      <c r="D3" s="2221"/>
      <c r="E3" s="2221"/>
      <c r="F3" s="2221"/>
      <c r="G3" s="2221"/>
      <c r="H3" s="2221"/>
      <c r="I3" s="2221"/>
      <c r="J3" s="2221"/>
      <c r="K3" s="2221"/>
      <c r="L3" s="2221"/>
      <c r="M3" s="2221"/>
      <c r="N3" s="2221"/>
      <c r="O3" s="2221"/>
      <c r="P3" s="2221"/>
      <c r="Q3" s="2221"/>
      <c r="R3" s="2221"/>
    </row>
    <row r="4" spans="1:18" x14ac:dyDescent="0.2">
      <c r="A4" s="2222" t="s">
        <v>1633</v>
      </c>
      <c r="B4" s="2222"/>
      <c r="C4" s="2222"/>
      <c r="D4" s="2222"/>
      <c r="E4" s="2222"/>
      <c r="F4" s="2222"/>
      <c r="G4" s="2222"/>
      <c r="H4" s="2222"/>
      <c r="I4" s="2222"/>
      <c r="J4" s="2222"/>
      <c r="K4" s="2222"/>
      <c r="L4" s="2222"/>
      <c r="M4" s="2222"/>
      <c r="N4" s="2222"/>
      <c r="O4" s="2222"/>
      <c r="P4" s="2222"/>
      <c r="Q4" s="2222"/>
      <c r="R4" s="22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Pekin PSD 108</v>
      </c>
      <c r="E7" s="391"/>
      <c r="G7" s="252"/>
      <c r="H7" s="387"/>
      <c r="I7" s="387"/>
      <c r="J7" s="387"/>
      <c r="K7" s="387"/>
      <c r="L7" s="329"/>
      <c r="M7" s="329"/>
      <c r="N7" s="329"/>
      <c r="O7" s="329"/>
      <c r="P7" s="329"/>
    </row>
    <row r="8" spans="1:18" ht="12.75" x14ac:dyDescent="0.2">
      <c r="A8" s="329"/>
      <c r="B8" s="329"/>
      <c r="C8" s="389" t="s">
        <v>1187</v>
      </c>
      <c r="D8" s="392">
        <f>COVER!A13</f>
        <v>53090108002</v>
      </c>
      <c r="E8" s="393"/>
      <c r="G8" s="329"/>
      <c r="H8" s="329"/>
      <c r="I8" s="329"/>
      <c r="J8" s="329"/>
      <c r="K8" s="329"/>
      <c r="L8" s="329"/>
      <c r="M8" s="329"/>
      <c r="N8" s="329"/>
      <c r="O8" s="329"/>
      <c r="P8" s="329"/>
    </row>
    <row r="9" spans="1:18" ht="12.75" x14ac:dyDescent="0.2">
      <c r="A9" s="329"/>
      <c r="B9" s="329"/>
      <c r="C9" s="389" t="s">
        <v>737</v>
      </c>
      <c r="D9" s="394" t="str">
        <f>COVER!A15</f>
        <v>Tazewell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5154511</v>
      </c>
      <c r="I12" s="404"/>
      <c r="J12" s="404"/>
      <c r="K12" s="405">
        <f>TRUNC((H12/H13*100000),5)/100000</f>
        <v>0.1427316884</v>
      </c>
      <c r="L12" s="406"/>
      <c r="M12" s="360" t="s">
        <v>1206</v>
      </c>
      <c r="N12" s="360"/>
      <c r="O12" s="407">
        <v>0.35</v>
      </c>
      <c r="P12" s="218"/>
      <c r="Q12" s="218"/>
    </row>
    <row r="13" spans="1:18" s="408" customFormat="1" ht="12.75" x14ac:dyDescent="0.2">
      <c r="A13" s="218"/>
      <c r="B13" s="401"/>
      <c r="C13" s="2218" t="s">
        <v>1391</v>
      </c>
      <c r="D13" s="2219"/>
      <c r="E13" s="218"/>
      <c r="F13" s="409" t="s">
        <v>826</v>
      </c>
      <c r="G13" s="402"/>
      <c r="H13" s="403">
        <f>SUM('Acct Summary 7-8'!C8+'Acct Summary 7-8'!D8+'Acct Summary 7-8'!F8+'Acct Summary 7-8'!I8)+H14</f>
        <v>36113291</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-83003</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35977958</v>
      </c>
      <c r="I17" s="404"/>
      <c r="J17" s="416"/>
      <c r="K17" s="405">
        <f>TRUNC((H17/H18*100000),5)/100000</f>
        <v>0.9962525431</v>
      </c>
      <c r="L17" s="406"/>
      <c r="M17" s="417" t="s">
        <v>1233</v>
      </c>
      <c r="O17" s="418" t="str">
        <f>IF(AND(O16="2", J20 &gt; 2),"1",IF(AND(O16 = "1", J20 &gt; 2),"2",IF(AND(O16="1", J20 &gt;1),"1","0")))</f>
        <v>0</v>
      </c>
      <c r="P17" s="218"/>
    </row>
    <row r="18" spans="1:18" s="408" customFormat="1" ht="11.25" x14ac:dyDescent="0.2">
      <c r="A18" s="218"/>
      <c r="B18" s="401"/>
      <c r="C18" s="2218" t="s">
        <v>1384</v>
      </c>
      <c r="D18" s="2219"/>
      <c r="E18" s="218"/>
      <c r="F18" s="419" t="s">
        <v>827</v>
      </c>
      <c r="G18" s="402"/>
      <c r="H18" s="403">
        <f>SUM('Acct Summary 7-8'!C8+'Acct Summary 7-8'!D8+'Acct Summary 7-8'!F8+'Acct Summary 7-8'!I8)+H19</f>
        <v>36113291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-83003</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215" t="s">
        <v>1479</v>
      </c>
      <c r="D24" s="2215"/>
      <c r="E24" s="218"/>
      <c r="F24" s="218" t="s">
        <v>465</v>
      </c>
      <c r="G24" s="402"/>
      <c r="H24" s="403">
        <f>SUM('Assets-Liab 5-6'!C4+'Assets-Liab 5-6'!D4+'Assets-Liab 5-6'!F4+'Assets-Liab 5-6'!I4+'Assets-Liab 5-6'!C5+'Assets-Liab 5-6'!D5+'Assets-Liab 5-6'!F5+'Assets-Liab 5-6'!I5)</f>
        <v>5154646</v>
      </c>
      <c r="I24" s="422"/>
      <c r="J24" s="422"/>
      <c r="K24" s="423">
        <f>TRUNC(((H24/H25*100000)/100000),2)</f>
        <v>51.57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99938.772219999999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2066</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12101152.3145</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4197847</v>
      </c>
      <c r="I32" s="420"/>
      <c r="J32" s="420"/>
      <c r="K32" s="423">
        <f>TRUNC(100-((((H32/H33*100))*100)/100),2)</f>
        <v>87.41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33367147.926000003</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3.4499999999999997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2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2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225" t="s">
        <v>1030</v>
      </c>
      <c r="B3" s="2226"/>
      <c r="C3" s="1578"/>
      <c r="D3" s="1579"/>
      <c r="E3" s="1579"/>
      <c r="F3" s="1579"/>
      <c r="G3" s="1579"/>
      <c r="H3" s="1579"/>
      <c r="I3" s="1579"/>
      <c r="J3" s="1579"/>
      <c r="K3" s="1579"/>
      <c r="L3" s="1579"/>
      <c r="M3" s="1580"/>
      <c r="N3" s="1581"/>
    </row>
    <row r="4" spans="1:14" ht="13.5" customHeight="1" x14ac:dyDescent="0.2">
      <c r="A4" s="463" t="s">
        <v>1748</v>
      </c>
      <c r="B4" s="464"/>
      <c r="C4" s="465">
        <v>38063</v>
      </c>
      <c r="D4" s="465">
        <v>121363</v>
      </c>
      <c r="E4" s="466">
        <v>166020</v>
      </c>
      <c r="F4" s="466">
        <v>297322</v>
      </c>
      <c r="G4" s="466">
        <v>241322</v>
      </c>
      <c r="H4" s="466">
        <v>0</v>
      </c>
      <c r="I4" s="466">
        <v>4697118</v>
      </c>
      <c r="J4" s="467">
        <v>0</v>
      </c>
      <c r="K4" s="466">
        <v>95358</v>
      </c>
      <c r="L4" s="466">
        <v>18899</v>
      </c>
      <c r="M4" s="468"/>
      <c r="N4" s="469"/>
    </row>
    <row r="5" spans="1:14" x14ac:dyDescent="0.2">
      <c r="A5" s="463" t="s">
        <v>1049</v>
      </c>
      <c r="B5" s="470">
        <v>120</v>
      </c>
      <c r="C5" s="465">
        <v>80</v>
      </c>
      <c r="D5" s="466">
        <v>0</v>
      </c>
      <c r="E5" s="466">
        <v>22</v>
      </c>
      <c r="F5" s="466">
        <v>5</v>
      </c>
      <c r="G5" s="466">
        <v>29</v>
      </c>
      <c r="H5" s="466">
        <v>0</v>
      </c>
      <c r="I5" s="466">
        <v>695</v>
      </c>
      <c r="J5" s="467">
        <v>0</v>
      </c>
      <c r="K5" s="471">
        <v>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1590000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38143</v>
      </c>
      <c r="D13" s="1756">
        <f t="shared" ref="D13:L13" si="0">SUM(D4:D12)</f>
        <v>121363</v>
      </c>
      <c r="E13" s="1756">
        <f t="shared" si="0"/>
        <v>166042</v>
      </c>
      <c r="F13" s="1756">
        <f t="shared" si="0"/>
        <v>297327</v>
      </c>
      <c r="G13" s="1756">
        <f t="shared" si="0"/>
        <v>241351</v>
      </c>
      <c r="H13" s="1756">
        <f t="shared" si="0"/>
        <v>0</v>
      </c>
      <c r="I13" s="1756">
        <f t="shared" si="0"/>
        <v>6287813</v>
      </c>
      <c r="J13" s="1756">
        <f t="shared" si="0"/>
        <v>0</v>
      </c>
      <c r="K13" s="1756">
        <f t="shared" si="0"/>
        <v>95358</v>
      </c>
      <c r="L13" s="1756">
        <f t="shared" si="0"/>
        <v>18899</v>
      </c>
      <c r="M13" s="468"/>
      <c r="N13" s="469"/>
    </row>
    <row r="14" spans="1:14" ht="18" customHeight="1" thickTop="1" x14ac:dyDescent="0.2">
      <c r="A14" s="2227" t="s">
        <v>149</v>
      </c>
      <c r="B14" s="2228"/>
      <c r="C14" s="1582"/>
      <c r="D14" s="1583"/>
      <c r="E14" s="1583"/>
      <c r="F14" s="1583"/>
      <c r="G14" s="1583"/>
      <c r="H14" s="1583"/>
      <c r="I14" s="1583"/>
      <c r="J14" s="1583"/>
      <c r="K14" s="1583"/>
      <c r="L14" s="1583"/>
      <c r="M14" s="1584"/>
      <c r="N14" s="1585"/>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378038</v>
      </c>
      <c r="N16" s="483"/>
    </row>
    <row r="17" spans="1:14" s="484" customFormat="1" ht="12.75" customHeight="1" x14ac:dyDescent="0.2">
      <c r="A17" s="481" t="s">
        <v>1470</v>
      </c>
      <c r="B17" s="482">
        <v>230</v>
      </c>
      <c r="C17" s="476"/>
      <c r="D17" s="476"/>
      <c r="E17" s="476"/>
      <c r="F17" s="476"/>
      <c r="G17" s="476"/>
      <c r="H17" s="476"/>
      <c r="I17" s="476"/>
      <c r="J17" s="476"/>
      <c r="K17" s="476"/>
      <c r="L17" s="476"/>
      <c r="M17" s="467">
        <v>60716118</v>
      </c>
      <c r="N17" s="483"/>
    </row>
    <row r="18" spans="1:14" s="484" customFormat="1" ht="12.75" customHeight="1" x14ac:dyDescent="0.2">
      <c r="A18" s="481" t="s">
        <v>1471</v>
      </c>
      <c r="B18" s="482">
        <v>240</v>
      </c>
      <c r="C18" s="476"/>
      <c r="D18" s="476"/>
      <c r="E18" s="476"/>
      <c r="F18" s="476"/>
      <c r="G18" s="476"/>
      <c r="H18" s="476"/>
      <c r="I18" s="476"/>
      <c r="J18" s="476"/>
      <c r="K18" s="476"/>
      <c r="L18" s="476"/>
      <c r="M18" s="467">
        <v>248387</v>
      </c>
      <c r="N18" s="483"/>
    </row>
    <row r="19" spans="1:14" s="484" customFormat="1" ht="12.75" customHeight="1" x14ac:dyDescent="0.2">
      <c r="A19" s="481" t="s">
        <v>1472</v>
      </c>
      <c r="B19" s="482">
        <v>250</v>
      </c>
      <c r="C19" s="476"/>
      <c r="D19" s="476"/>
      <c r="E19" s="476"/>
      <c r="F19" s="476"/>
      <c r="G19" s="476"/>
      <c r="H19" s="476"/>
      <c r="I19" s="476"/>
      <c r="J19" s="476"/>
      <c r="K19" s="476"/>
      <c r="L19" s="476"/>
      <c r="M19" s="467">
        <v>3848037</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166042</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4031805</v>
      </c>
    </row>
    <row r="23" spans="1:14" ht="13.5" customHeight="1" thickBot="1" x14ac:dyDescent="0.25">
      <c r="A23" s="1755" t="s">
        <v>664</v>
      </c>
      <c r="B23" s="1760"/>
      <c r="C23" s="468"/>
      <c r="D23" s="468"/>
      <c r="E23" s="468"/>
      <c r="F23" s="468"/>
      <c r="G23" s="468"/>
      <c r="H23" s="468"/>
      <c r="I23" s="468"/>
      <c r="J23" s="468"/>
      <c r="K23" s="468"/>
      <c r="L23" s="468"/>
      <c r="M23" s="1707">
        <f>SUM(M15:M22)</f>
        <v>65190580</v>
      </c>
      <c r="N23" s="1707">
        <f>SUM(N21:N22)</f>
        <v>4197847</v>
      </c>
    </row>
    <row r="24" spans="1:14" ht="18" customHeight="1" thickTop="1" x14ac:dyDescent="0.2">
      <c r="A24" s="2229" t="s">
        <v>619</v>
      </c>
      <c r="B24" s="2230"/>
      <c r="C24" s="1587"/>
      <c r="D24" s="1584"/>
      <c r="E24" s="1584"/>
      <c r="F24" s="1584"/>
      <c r="G24" s="1584"/>
      <c r="H24" s="1584"/>
      <c r="I24" s="1584"/>
      <c r="J24" s="1584"/>
      <c r="K24" s="1584"/>
      <c r="L24" s="1584"/>
      <c r="M24" s="1583"/>
      <c r="N24" s="1588"/>
    </row>
    <row r="25" spans="1:14" x14ac:dyDescent="0.2">
      <c r="A25" s="473" t="s">
        <v>666</v>
      </c>
      <c r="B25" s="470">
        <v>410</v>
      </c>
      <c r="C25" s="465">
        <v>1110000</v>
      </c>
      <c r="D25" s="477">
        <v>0</v>
      </c>
      <c r="E25" s="477">
        <v>0</v>
      </c>
      <c r="F25" s="477">
        <v>480000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135</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0</v>
      </c>
      <c r="M33" s="468"/>
      <c r="N33" s="469"/>
    </row>
    <row r="34" spans="1:14" ht="13.5" customHeight="1" thickBot="1" x14ac:dyDescent="0.25">
      <c r="A34" s="1757" t="s">
        <v>675</v>
      </c>
      <c r="B34" s="1758"/>
      <c r="C34" s="1759">
        <f>SUM(C25:C33)</f>
        <v>1110135</v>
      </c>
      <c r="D34" s="1759">
        <f t="shared" ref="D34:K34" si="1">SUM(D25:D33)</f>
        <v>0</v>
      </c>
      <c r="E34" s="1759">
        <f t="shared" si="1"/>
        <v>0</v>
      </c>
      <c r="F34" s="1759">
        <f t="shared" si="1"/>
        <v>480000</v>
      </c>
      <c r="G34" s="1759">
        <f t="shared" si="1"/>
        <v>0</v>
      </c>
      <c r="H34" s="1759">
        <f t="shared" si="1"/>
        <v>0</v>
      </c>
      <c r="I34" s="1759">
        <f t="shared" si="1"/>
        <v>0</v>
      </c>
      <c r="J34" s="1759">
        <f t="shared" si="1"/>
        <v>0</v>
      </c>
      <c r="K34" s="1759">
        <f t="shared" si="1"/>
        <v>0</v>
      </c>
      <c r="L34" s="1740">
        <f>SUM(L33)</f>
        <v>0</v>
      </c>
      <c r="M34" s="468"/>
      <c r="N34" s="479"/>
    </row>
    <row r="35" spans="1:14" ht="18" customHeight="1" thickTop="1" x14ac:dyDescent="0.2">
      <c r="A35" s="2231" t="s">
        <v>550</v>
      </c>
      <c r="B35" s="2232"/>
      <c r="C35" s="1589"/>
      <c r="D35" s="1590"/>
      <c r="E35" s="1590"/>
      <c r="F35" s="1590"/>
      <c r="G35" s="1590"/>
      <c r="H35" s="1590"/>
      <c r="I35" s="1590"/>
      <c r="J35" s="1590"/>
      <c r="K35" s="1590"/>
      <c r="L35" s="1590"/>
      <c r="M35" s="1584"/>
      <c r="N35" s="1588"/>
    </row>
    <row r="36" spans="1:14" x14ac:dyDescent="0.2">
      <c r="A36" s="492" t="s">
        <v>1</v>
      </c>
      <c r="B36" s="470">
        <v>511</v>
      </c>
      <c r="C36" s="476"/>
      <c r="D36" s="476"/>
      <c r="E36" s="476"/>
      <c r="F36" s="476"/>
      <c r="G36" s="476"/>
      <c r="H36" s="476"/>
      <c r="I36" s="476"/>
      <c r="J36" s="476"/>
      <c r="K36" s="476"/>
      <c r="L36" s="468"/>
      <c r="M36" s="468"/>
      <c r="N36" s="493">
        <f>'Short-Term Long-Term Debt 24'!I49</f>
        <v>4197847</v>
      </c>
    </row>
    <row r="37" spans="1:14" ht="13.5" thickBot="1" x14ac:dyDescent="0.25">
      <c r="A37" s="1755" t="s">
        <v>674</v>
      </c>
      <c r="B37" s="1760"/>
      <c r="C37" s="476"/>
      <c r="D37" s="476"/>
      <c r="E37" s="476"/>
      <c r="F37" s="476"/>
      <c r="G37" s="476"/>
      <c r="H37" s="476"/>
      <c r="I37" s="476"/>
      <c r="J37" s="476"/>
      <c r="K37" s="476"/>
      <c r="L37" s="479"/>
      <c r="M37" s="468"/>
      <c r="N37" s="1707">
        <f>SUM(N36:N36)</f>
        <v>4197847</v>
      </c>
    </row>
    <row r="38" spans="1:14" s="329" customFormat="1" ht="13.5" customHeight="1" thickTop="1" x14ac:dyDescent="0.2">
      <c r="A38" s="494" t="s">
        <v>440</v>
      </c>
      <c r="B38" s="482">
        <v>714</v>
      </c>
      <c r="C38" s="465">
        <v>0</v>
      </c>
      <c r="D38" s="465">
        <v>0</v>
      </c>
      <c r="E38" s="465">
        <v>0</v>
      </c>
      <c r="F38" s="465">
        <v>0</v>
      </c>
      <c r="G38" s="465">
        <v>12660</v>
      </c>
      <c r="H38" s="465">
        <v>0</v>
      </c>
      <c r="I38" s="465">
        <v>0</v>
      </c>
      <c r="J38" s="465">
        <v>0</v>
      </c>
      <c r="K38" s="465">
        <v>0</v>
      </c>
      <c r="L38" s="465">
        <v>18899</v>
      </c>
      <c r="M38" s="495"/>
      <c r="N38" s="495"/>
    </row>
    <row r="39" spans="1:14" s="329" customFormat="1" ht="13.5" customHeight="1" x14ac:dyDescent="0.2">
      <c r="A39" s="494" t="s">
        <v>360</v>
      </c>
      <c r="B39" s="482">
        <v>730</v>
      </c>
      <c r="C39" s="465">
        <v>-1071992</v>
      </c>
      <c r="D39" s="465">
        <v>121363</v>
      </c>
      <c r="E39" s="465">
        <v>166042</v>
      </c>
      <c r="F39" s="465">
        <v>-182673</v>
      </c>
      <c r="G39" s="465">
        <v>228691</v>
      </c>
      <c r="H39" s="465">
        <v>0</v>
      </c>
      <c r="I39" s="465">
        <v>6287813</v>
      </c>
      <c r="J39" s="465">
        <v>0</v>
      </c>
      <c r="K39" s="465">
        <v>95358</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65190580</v>
      </c>
      <c r="N40" s="495"/>
    </row>
    <row r="41" spans="1:14" ht="13.5" customHeight="1" thickBot="1" x14ac:dyDescent="0.25">
      <c r="A41" s="1755" t="s">
        <v>676</v>
      </c>
      <c r="B41" s="1725"/>
      <c r="C41" s="1707">
        <f>(SUM(C34,C37,C38,C39))</f>
        <v>38143</v>
      </c>
      <c r="D41" s="1707">
        <f t="shared" ref="D41:L41" si="2">SUM(D34,D37,D38:D39)</f>
        <v>121363</v>
      </c>
      <c r="E41" s="1707">
        <f t="shared" si="2"/>
        <v>166042</v>
      </c>
      <c r="F41" s="1707">
        <f t="shared" si="2"/>
        <v>297327</v>
      </c>
      <c r="G41" s="1707">
        <f t="shared" si="2"/>
        <v>241351</v>
      </c>
      <c r="H41" s="1707">
        <f t="shared" si="2"/>
        <v>0</v>
      </c>
      <c r="I41" s="1707">
        <f t="shared" si="2"/>
        <v>6287813</v>
      </c>
      <c r="J41" s="1707">
        <f t="shared" si="2"/>
        <v>0</v>
      </c>
      <c r="K41" s="1707">
        <f t="shared" si="2"/>
        <v>95358</v>
      </c>
      <c r="L41" s="1707">
        <f t="shared" si="2"/>
        <v>18899</v>
      </c>
      <c r="M41" s="1707">
        <f>SUM(M40)</f>
        <v>65190580</v>
      </c>
      <c r="N41" s="1707">
        <f>SUM(N37)</f>
        <v>4197847</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241" t="s">
        <v>1749</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242"/>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253" t="s">
        <v>1237</v>
      </c>
      <c r="B3" s="2254"/>
      <c r="C3" s="1592"/>
      <c r="D3" s="1593"/>
      <c r="E3" s="1593"/>
      <c r="F3" s="1593"/>
      <c r="G3" s="1593"/>
      <c r="H3" s="1593"/>
      <c r="I3" s="1593"/>
      <c r="J3" s="1593"/>
      <c r="K3" s="1594"/>
      <c r="L3" s="504"/>
    </row>
    <row r="4" spans="1:13" ht="15.75" customHeight="1" x14ac:dyDescent="0.2">
      <c r="A4" s="1951" t="s">
        <v>1579</v>
      </c>
      <c r="B4" s="1952">
        <v>1000</v>
      </c>
      <c r="C4" s="1761">
        <f>'Revenues 9-14'!C109</f>
        <v>15183167</v>
      </c>
      <c r="D4" s="1761">
        <f>'Revenues 9-14'!D109</f>
        <v>1826091</v>
      </c>
      <c r="E4" s="1761">
        <f>'Revenues 9-14'!E109</f>
        <v>424858</v>
      </c>
      <c r="F4" s="1761">
        <f>'Revenues 9-14'!F109</f>
        <v>984474</v>
      </c>
      <c r="G4" s="1761">
        <f>'Revenues 9-14'!G109</f>
        <v>758460</v>
      </c>
      <c r="H4" s="1761">
        <f>'Revenues 9-14'!H109</f>
        <v>0</v>
      </c>
      <c r="I4" s="1761">
        <f>'Revenues 9-14'!I109</f>
        <v>340572</v>
      </c>
      <c r="J4" s="1761">
        <f>'Revenues 9-14'!J109</f>
        <v>0</v>
      </c>
      <c r="K4" s="1761">
        <f>'Revenues 9-14'!K109</f>
        <v>290914</v>
      </c>
      <c r="L4" s="347"/>
    </row>
    <row r="5" spans="1:13" ht="15.75" customHeight="1" x14ac:dyDescent="0.2">
      <c r="A5" s="1595" t="s">
        <v>1580</v>
      </c>
      <c r="B5" s="1596">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5" t="s">
        <v>1581</v>
      </c>
      <c r="B6" s="1597">
        <v>3000</v>
      </c>
      <c r="C6" s="1762">
        <f>'Revenues 9-14'!C173</f>
        <v>11298701</v>
      </c>
      <c r="D6" s="1762">
        <f>'Revenues 9-14'!D173</f>
        <v>785987</v>
      </c>
      <c r="E6" s="1762">
        <f>'Revenues 9-14'!E173</f>
        <v>0</v>
      </c>
      <c r="F6" s="1762">
        <f>'Revenues 9-14'!F173</f>
        <v>2053602</v>
      </c>
      <c r="G6" s="1762">
        <f>'Revenues 9-14'!G173</f>
        <v>32162</v>
      </c>
      <c r="H6" s="1762">
        <f>'Revenues 9-14'!H173</f>
        <v>0</v>
      </c>
      <c r="I6" s="1762">
        <f>'Revenues 9-14'!I173</f>
        <v>0</v>
      </c>
      <c r="J6" s="1762">
        <f>'Revenues 9-14'!J173</f>
        <v>0</v>
      </c>
      <c r="K6" s="1762">
        <f>'Revenues 9-14'!K173</f>
        <v>0</v>
      </c>
      <c r="L6" s="347"/>
      <c r="M6" s="511"/>
    </row>
    <row r="7" spans="1:13" ht="15.75" customHeight="1" x14ac:dyDescent="0.2">
      <c r="A7" s="1595" t="s">
        <v>1582</v>
      </c>
      <c r="B7" s="1597">
        <v>4000</v>
      </c>
      <c r="C7" s="1762">
        <f>'Revenues 9-14'!C274</f>
        <v>3723700</v>
      </c>
      <c r="D7" s="1762">
        <f>'Revenues 9-14'!D274</f>
        <v>0</v>
      </c>
      <c r="E7" s="1762">
        <f>'Revenues 9-14'!E274</f>
        <v>80824</v>
      </c>
      <c r="F7" s="1762">
        <f>'Revenues 9-14'!F274</f>
        <v>0</v>
      </c>
      <c r="G7" s="1762">
        <f>'Revenues 9-14'!G274</f>
        <v>105718</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30205568</v>
      </c>
      <c r="D8" s="1707">
        <f t="shared" ref="D8:K8" si="0">SUM(D4:D7)</f>
        <v>2612078</v>
      </c>
      <c r="E8" s="1707">
        <f t="shared" si="0"/>
        <v>505682</v>
      </c>
      <c r="F8" s="1707">
        <f t="shared" si="0"/>
        <v>3038076</v>
      </c>
      <c r="G8" s="1707">
        <f t="shared" si="0"/>
        <v>896340</v>
      </c>
      <c r="H8" s="1707">
        <f t="shared" si="0"/>
        <v>0</v>
      </c>
      <c r="I8" s="1707">
        <f t="shared" si="0"/>
        <v>340572</v>
      </c>
      <c r="J8" s="1707">
        <f t="shared" si="0"/>
        <v>0</v>
      </c>
      <c r="K8" s="1707">
        <f t="shared" si="0"/>
        <v>290914</v>
      </c>
      <c r="L8" s="347"/>
    </row>
    <row r="9" spans="1:13" ht="15.75" thickTop="1" x14ac:dyDescent="0.2">
      <c r="A9" s="512" t="s">
        <v>1750</v>
      </c>
      <c r="B9" s="513">
        <v>3998</v>
      </c>
      <c r="C9" s="465">
        <v>13303198</v>
      </c>
      <c r="D9" s="514"/>
      <c r="E9" s="480"/>
      <c r="F9" s="480"/>
      <c r="G9" s="515"/>
      <c r="H9" s="480"/>
      <c r="I9" s="507" t="s">
        <v>1231</v>
      </c>
      <c r="J9" s="477"/>
      <c r="K9" s="480"/>
      <c r="L9" s="347"/>
    </row>
    <row r="10" spans="1:13" s="517" customFormat="1" ht="13.5" thickBot="1" x14ac:dyDescent="0.25">
      <c r="A10" s="1755" t="s">
        <v>1235</v>
      </c>
      <c r="B10" s="1728"/>
      <c r="C10" s="1707">
        <f>SUM(C8:C9)</f>
        <v>43508766</v>
      </c>
      <c r="D10" s="1707">
        <f t="shared" ref="D10:K10" si="1">SUM(D8:D9)</f>
        <v>2612078</v>
      </c>
      <c r="E10" s="1707">
        <f t="shared" si="1"/>
        <v>505682</v>
      </c>
      <c r="F10" s="1707">
        <f t="shared" si="1"/>
        <v>3038076</v>
      </c>
      <c r="G10" s="1707">
        <f t="shared" si="1"/>
        <v>896340</v>
      </c>
      <c r="H10" s="1707">
        <f t="shared" si="1"/>
        <v>0</v>
      </c>
      <c r="I10" s="1707">
        <f t="shared" si="1"/>
        <v>340572</v>
      </c>
      <c r="J10" s="1707">
        <f t="shared" si="1"/>
        <v>0</v>
      </c>
      <c r="K10" s="1707">
        <f t="shared" si="1"/>
        <v>290914</v>
      </c>
      <c r="L10" s="516"/>
    </row>
    <row r="11" spans="1:13" s="517" customFormat="1" ht="16.7" customHeight="1" thickTop="1" x14ac:dyDescent="0.2">
      <c r="A11" s="2227" t="s">
        <v>1238</v>
      </c>
      <c r="B11" s="2228"/>
      <c r="C11" s="1589"/>
      <c r="D11" s="1590"/>
      <c r="E11" s="1590"/>
      <c r="F11" s="1590"/>
      <c r="G11" s="1590"/>
      <c r="H11" s="1590"/>
      <c r="I11" s="1590"/>
      <c r="J11" s="1590"/>
      <c r="K11" s="1591"/>
      <c r="L11" s="516"/>
    </row>
    <row r="12" spans="1:13" ht="15.75" customHeight="1" x14ac:dyDescent="0.2">
      <c r="A12" s="1595" t="s">
        <v>476</v>
      </c>
      <c r="B12" s="1597">
        <v>1000</v>
      </c>
      <c r="C12" s="1761">
        <f>'Expenditures 15-22'!K33</f>
        <v>19339804</v>
      </c>
      <c r="D12" s="518" t="s">
        <v>1231</v>
      </c>
      <c r="E12" s="468" t="s">
        <v>1231</v>
      </c>
      <c r="F12" s="468" t="s">
        <v>1231</v>
      </c>
      <c r="G12" s="1761">
        <f>'Expenditures 15-22'!K229</f>
        <v>424968</v>
      </c>
      <c r="H12" s="519"/>
      <c r="I12" s="468" t="s">
        <v>1231</v>
      </c>
      <c r="J12" s="468" t="s">
        <v>1231</v>
      </c>
      <c r="K12" s="519" t="s">
        <v>1231</v>
      </c>
      <c r="L12" s="347"/>
    </row>
    <row r="13" spans="1:13" ht="15.75" customHeight="1" x14ac:dyDescent="0.2">
      <c r="A13" s="1595" t="s">
        <v>477</v>
      </c>
      <c r="B13" s="1597">
        <v>2000</v>
      </c>
      <c r="C13" s="1762">
        <f>'Expenditures 15-22'!K74</f>
        <v>10775551</v>
      </c>
      <c r="D13" s="1762">
        <f>'Expenditures 15-22'!K129</f>
        <v>2370406</v>
      </c>
      <c r="E13" s="469" t="s">
        <v>1231</v>
      </c>
      <c r="F13" s="1762">
        <f>'Expenditures 15-22'!K184</f>
        <v>2857758</v>
      </c>
      <c r="G13" s="1762">
        <f>'Expenditures 15-22'!K279</f>
        <v>388727</v>
      </c>
      <c r="H13" s="1762">
        <f>'Expenditures 15-22'!K303</f>
        <v>0</v>
      </c>
      <c r="I13" s="468" t="s">
        <v>1231</v>
      </c>
      <c r="J13" s="1762">
        <f>'Expenditures 15-22'!K330</f>
        <v>0</v>
      </c>
      <c r="K13" s="1766">
        <f>'Expenditures 15-22'!K352</f>
        <v>198223</v>
      </c>
      <c r="L13" s="347"/>
    </row>
    <row r="14" spans="1:13" ht="15.75" customHeight="1" x14ac:dyDescent="0.2">
      <c r="A14" s="1595" t="s">
        <v>469</v>
      </c>
      <c r="B14" s="1597">
        <v>3000</v>
      </c>
      <c r="C14" s="1762">
        <f>'Expenditures 15-22'!K75</f>
        <v>147965</v>
      </c>
      <c r="D14" s="1762">
        <f>'Expenditures 15-22'!K130</f>
        <v>0</v>
      </c>
      <c r="E14" s="518" t="s">
        <v>1231</v>
      </c>
      <c r="F14" s="1762">
        <f>'Expenditures 15-22'!K185</f>
        <v>0</v>
      </c>
      <c r="G14" s="1762">
        <f>'Expenditures 15-22'!K280</f>
        <v>21400</v>
      </c>
      <c r="H14" s="510"/>
      <c r="I14" s="468" t="s">
        <v>1231</v>
      </c>
      <c r="J14" s="468" t="s">
        <v>1231</v>
      </c>
      <c r="K14" s="510" t="s">
        <v>1231</v>
      </c>
      <c r="L14" s="347"/>
    </row>
    <row r="15" spans="1:13" ht="15.75" customHeight="1" x14ac:dyDescent="0.2">
      <c r="A15" s="1595" t="s">
        <v>109</v>
      </c>
      <c r="B15" s="1597">
        <v>4000</v>
      </c>
      <c r="C15" s="1762">
        <f>'Expenditures 15-22'!K102</f>
        <v>486474</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5" t="s">
        <v>470</v>
      </c>
      <c r="B16" s="1597">
        <v>5000</v>
      </c>
      <c r="C16" s="1762">
        <f>'Expenditures 15-22'!K112</f>
        <v>0</v>
      </c>
      <c r="D16" s="1762">
        <f>'Expenditures 15-22'!K149</f>
        <v>0</v>
      </c>
      <c r="E16" s="1762">
        <f>'Expenditures 15-22'!K172</f>
        <v>585698</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30749794</v>
      </c>
      <c r="D17" s="1707">
        <f t="shared" si="2"/>
        <v>2370406</v>
      </c>
      <c r="E17" s="1707">
        <f t="shared" si="2"/>
        <v>585698</v>
      </c>
      <c r="F17" s="1707">
        <f t="shared" si="2"/>
        <v>2857758</v>
      </c>
      <c r="G17" s="1707">
        <f t="shared" si="2"/>
        <v>835095</v>
      </c>
      <c r="H17" s="1707">
        <f t="shared" si="2"/>
        <v>0</v>
      </c>
      <c r="I17" s="468"/>
      <c r="J17" s="1707">
        <f>SUM(J12:J16)</f>
        <v>0</v>
      </c>
      <c r="K17" s="1707">
        <f>SUM(K12:K16)</f>
        <v>198223</v>
      </c>
      <c r="L17" s="347"/>
    </row>
    <row r="18" spans="1:12" ht="15" customHeight="1" thickTop="1" x14ac:dyDescent="0.2">
      <c r="A18" s="1763" t="s">
        <v>1751</v>
      </c>
      <c r="B18" s="1764">
        <v>4180</v>
      </c>
      <c r="C18" s="1761">
        <f t="shared" ref="C18:H18" si="3">C9</f>
        <v>13303198</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44052992</v>
      </c>
      <c r="D19" s="1707">
        <f t="shared" si="4"/>
        <v>2370406</v>
      </c>
      <c r="E19" s="1707">
        <f t="shared" si="4"/>
        <v>585698</v>
      </c>
      <c r="F19" s="1707">
        <f t="shared" si="4"/>
        <v>2857758</v>
      </c>
      <c r="G19" s="1707">
        <f t="shared" si="4"/>
        <v>835095</v>
      </c>
      <c r="H19" s="1707">
        <f t="shared" si="4"/>
        <v>0</v>
      </c>
      <c r="I19" s="468"/>
      <c r="J19" s="1707">
        <f>SUM(J17:J18)</f>
        <v>0</v>
      </c>
      <c r="K19" s="1707">
        <f>SUM(K17:K18)</f>
        <v>198223</v>
      </c>
      <c r="L19" s="347"/>
    </row>
    <row r="20" spans="1:12" ht="16.5" thickTop="1" thickBot="1" x14ac:dyDescent="0.25">
      <c r="A20" s="2243" t="s">
        <v>1752</v>
      </c>
      <c r="B20" s="2244"/>
      <c r="C20" s="1765">
        <f>C8-C17</f>
        <v>-544226</v>
      </c>
      <c r="D20" s="1765">
        <f t="shared" ref="D20:K20" si="5">D8-D17</f>
        <v>241672</v>
      </c>
      <c r="E20" s="1765">
        <f t="shared" si="5"/>
        <v>-80016</v>
      </c>
      <c r="F20" s="1765">
        <f t="shared" si="5"/>
        <v>180318</v>
      </c>
      <c r="G20" s="1765">
        <f t="shared" si="5"/>
        <v>61245</v>
      </c>
      <c r="H20" s="1765">
        <f t="shared" si="5"/>
        <v>0</v>
      </c>
      <c r="I20" s="1765">
        <f t="shared" si="5"/>
        <v>340572</v>
      </c>
      <c r="J20" s="1765">
        <f t="shared" si="5"/>
        <v>0</v>
      </c>
      <c r="K20" s="1765">
        <f t="shared" si="5"/>
        <v>92691</v>
      </c>
      <c r="L20" s="347"/>
    </row>
    <row r="21" spans="1:12" ht="16.7" customHeight="1" thickTop="1" x14ac:dyDescent="0.2">
      <c r="A21" s="2255" t="s">
        <v>616</v>
      </c>
      <c r="B21" s="2256"/>
      <c r="C21" s="1589"/>
      <c r="D21" s="1590"/>
      <c r="E21" s="1590"/>
      <c r="F21" s="1590"/>
      <c r="G21" s="1590"/>
      <c r="H21" s="1590"/>
      <c r="I21" s="1590"/>
      <c r="J21" s="1590"/>
      <c r="K21" s="1591"/>
      <c r="L21" s="522"/>
    </row>
    <row r="22" spans="1:12" ht="15.75" customHeight="1" collapsed="1" x14ac:dyDescent="0.2">
      <c r="A22" s="2251" t="s">
        <v>617</v>
      </c>
      <c r="B22" s="2252"/>
      <c r="C22" s="476"/>
      <c r="D22" s="476"/>
      <c r="E22" s="476"/>
      <c r="F22" s="476"/>
      <c r="G22" s="476"/>
      <c r="H22" s="476"/>
      <c r="I22" s="476"/>
      <c r="J22" s="476"/>
      <c r="K22" s="476"/>
      <c r="L22" s="347"/>
    </row>
    <row r="23" spans="1:12" s="484" customFormat="1" ht="15.75" customHeight="1" x14ac:dyDescent="0.2">
      <c r="A23" s="2247" t="s">
        <v>311</v>
      </c>
      <c r="B23" s="2248"/>
      <c r="C23" s="479"/>
      <c r="D23" s="476"/>
      <c r="E23" s="476"/>
      <c r="F23" s="476"/>
      <c r="G23" s="476"/>
      <c r="H23" s="476"/>
      <c r="I23" s="476"/>
      <c r="J23" s="476"/>
      <c r="K23" s="476"/>
      <c r="L23" s="522"/>
    </row>
    <row r="24" spans="1:12" s="484" customFormat="1" ht="13.5" customHeight="1" x14ac:dyDescent="0.2">
      <c r="A24" s="1508" t="s">
        <v>1753</v>
      </c>
      <c r="B24" s="523">
        <v>7110</v>
      </c>
      <c r="C24" s="465">
        <v>0</v>
      </c>
      <c r="D24" s="476"/>
      <c r="E24" s="476"/>
      <c r="F24" s="476"/>
      <c r="G24" s="476"/>
      <c r="H24" s="476"/>
      <c r="I24" s="476"/>
      <c r="J24" s="476"/>
      <c r="K24" s="476"/>
      <c r="L24" s="522"/>
    </row>
    <row r="25" spans="1:12" s="484" customFormat="1" ht="13.5" customHeight="1" x14ac:dyDescent="0.2">
      <c r="A25" s="1508" t="s">
        <v>1754</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8"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8" t="s">
        <v>194</v>
      </c>
      <c r="B27" s="482">
        <v>7130</v>
      </c>
      <c r="C27" s="465">
        <v>0</v>
      </c>
      <c r="D27" s="467">
        <v>0</v>
      </c>
      <c r="E27" s="524"/>
      <c r="F27" s="467">
        <v>0</v>
      </c>
      <c r="G27" s="479"/>
      <c r="H27" s="479"/>
      <c r="I27" s="479"/>
      <c r="J27" s="479"/>
      <c r="K27" s="479"/>
      <c r="L27" s="522"/>
    </row>
    <row r="28" spans="1:12" s="484" customFormat="1" ht="13.5" customHeight="1" x14ac:dyDescent="0.2">
      <c r="A28" s="1508"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8" t="s">
        <v>312</v>
      </c>
      <c r="B29" s="482">
        <v>7150</v>
      </c>
      <c r="C29" s="475"/>
      <c r="D29" s="467">
        <v>0</v>
      </c>
      <c r="E29" s="475"/>
      <c r="F29" s="475"/>
      <c r="G29" s="475"/>
      <c r="H29" s="475"/>
      <c r="I29" s="475"/>
      <c r="J29" s="475"/>
      <c r="K29" s="475"/>
      <c r="L29" s="522"/>
    </row>
    <row r="30" spans="1:12" s="484" customFormat="1" ht="26.25" x14ac:dyDescent="0.2">
      <c r="A30" s="1508" t="s">
        <v>1891</v>
      </c>
      <c r="B30" s="525">
        <v>7160</v>
      </c>
      <c r="C30" s="476"/>
      <c r="D30" s="467">
        <v>0</v>
      </c>
      <c r="E30" s="476"/>
      <c r="F30" s="476"/>
      <c r="G30" s="476"/>
      <c r="H30" s="476"/>
      <c r="I30" s="476"/>
      <c r="J30" s="476"/>
      <c r="K30" s="476"/>
      <c r="L30" s="522"/>
    </row>
    <row r="31" spans="1:12" s="484" customFormat="1" ht="26.25" x14ac:dyDescent="0.2">
      <c r="A31" s="1508" t="s">
        <v>1895</v>
      </c>
      <c r="B31" s="525">
        <v>7170</v>
      </c>
      <c r="C31" s="476"/>
      <c r="D31" s="476"/>
      <c r="E31" s="474">
        <v>0</v>
      </c>
      <c r="F31" s="476"/>
      <c r="G31" s="476"/>
      <c r="H31" s="476"/>
      <c r="I31" s="476"/>
      <c r="J31" s="476"/>
      <c r="K31" s="476"/>
      <c r="L31" s="522"/>
    </row>
    <row r="32" spans="1:12" s="484" customFormat="1" ht="15.75" customHeight="1" x14ac:dyDescent="0.2">
      <c r="A32" s="2249" t="s">
        <v>1038</v>
      </c>
      <c r="B32" s="2250"/>
      <c r="C32" s="476"/>
      <c r="D32" s="476"/>
      <c r="E32" s="475"/>
      <c r="F32" s="476"/>
      <c r="G32" s="476"/>
      <c r="H32" s="476"/>
      <c r="I32" s="476"/>
      <c r="J32" s="476"/>
      <c r="K32" s="476"/>
      <c r="L32" s="522"/>
    </row>
    <row r="33" spans="1:12" s="484" customFormat="1" x14ac:dyDescent="0.2">
      <c r="A33" s="1508" t="s">
        <v>432</v>
      </c>
      <c r="B33" s="523">
        <v>7210</v>
      </c>
      <c r="C33" s="465">
        <v>0</v>
      </c>
      <c r="D33" s="467">
        <v>0</v>
      </c>
      <c r="E33" s="467">
        <v>0</v>
      </c>
      <c r="F33" s="467">
        <v>0</v>
      </c>
      <c r="G33" s="476"/>
      <c r="H33" s="467">
        <v>0</v>
      </c>
      <c r="I33" s="467">
        <v>0</v>
      </c>
      <c r="J33" s="467">
        <v>0</v>
      </c>
      <c r="K33" s="467">
        <v>0</v>
      </c>
      <c r="L33" s="522"/>
    </row>
    <row r="34" spans="1:12" s="484" customFormat="1" x14ac:dyDescent="0.2">
      <c r="A34" s="1508" t="s">
        <v>1058</v>
      </c>
      <c r="B34" s="523">
        <v>7220</v>
      </c>
      <c r="C34" s="465">
        <v>0</v>
      </c>
      <c r="D34" s="467">
        <v>0</v>
      </c>
      <c r="E34" s="467">
        <v>0</v>
      </c>
      <c r="F34" s="467">
        <v>0</v>
      </c>
      <c r="G34" s="476"/>
      <c r="H34" s="477">
        <v>0</v>
      </c>
      <c r="I34" s="477">
        <v>0</v>
      </c>
      <c r="J34" s="477">
        <v>0</v>
      </c>
      <c r="K34" s="477">
        <v>0</v>
      </c>
      <c r="L34" s="522"/>
    </row>
    <row r="35" spans="1:12" s="484" customFormat="1" x14ac:dyDescent="0.2">
      <c r="A35" s="1508" t="s">
        <v>1047</v>
      </c>
      <c r="B35" s="523">
        <v>7230</v>
      </c>
      <c r="C35" s="465">
        <v>0</v>
      </c>
      <c r="D35" s="467">
        <v>0</v>
      </c>
      <c r="E35" s="467">
        <v>0</v>
      </c>
      <c r="F35" s="467">
        <v>0</v>
      </c>
      <c r="G35" s="479"/>
      <c r="H35" s="467">
        <v>0</v>
      </c>
      <c r="I35" s="467">
        <v>0</v>
      </c>
      <c r="J35" s="467">
        <v>0</v>
      </c>
      <c r="K35" s="467">
        <v>0</v>
      </c>
      <c r="L35" s="522"/>
    </row>
    <row r="36" spans="1:12" s="484" customFormat="1" ht="15" x14ac:dyDescent="0.2">
      <c r="A36" s="1508" t="s">
        <v>1755</v>
      </c>
      <c r="B36" s="523">
        <v>7300</v>
      </c>
      <c r="C36" s="465">
        <v>652</v>
      </c>
      <c r="D36" s="467">
        <v>0</v>
      </c>
      <c r="E36" s="467">
        <v>0</v>
      </c>
      <c r="F36" s="467">
        <v>0</v>
      </c>
      <c r="G36" s="467">
        <v>0</v>
      </c>
      <c r="H36" s="467">
        <v>0</v>
      </c>
      <c r="I36" s="475"/>
      <c r="J36" s="467">
        <v>0</v>
      </c>
      <c r="K36" s="467">
        <v>0</v>
      </c>
      <c r="L36" s="522"/>
    </row>
    <row r="37" spans="1:12" s="484" customFormat="1" x14ac:dyDescent="0.2">
      <c r="A37" s="1508" t="s">
        <v>461</v>
      </c>
      <c r="B37" s="523">
        <v>7400</v>
      </c>
      <c r="C37" s="475"/>
      <c r="D37" s="475"/>
      <c r="E37" s="1762">
        <f>SUM(C54:D57,H54:H57)</f>
        <v>0</v>
      </c>
      <c r="F37" s="475"/>
      <c r="G37" s="475"/>
      <c r="H37" s="475"/>
      <c r="I37" s="476"/>
      <c r="J37" s="475"/>
      <c r="K37" s="475"/>
      <c r="L37" s="522"/>
    </row>
    <row r="38" spans="1:12" s="484" customFormat="1" x14ac:dyDescent="0.2">
      <c r="A38" s="1508" t="s">
        <v>462</v>
      </c>
      <c r="B38" s="523">
        <v>7500</v>
      </c>
      <c r="C38" s="476"/>
      <c r="D38" s="476"/>
      <c r="E38" s="1762">
        <f>SUM(C58:D61,H58:H61)</f>
        <v>0</v>
      </c>
      <c r="F38" s="476"/>
      <c r="G38" s="476"/>
      <c r="H38" s="476"/>
      <c r="I38" s="476"/>
      <c r="J38" s="476"/>
      <c r="K38" s="476"/>
      <c r="L38" s="522"/>
    </row>
    <row r="39" spans="1:12" s="484" customFormat="1" x14ac:dyDescent="0.2">
      <c r="A39" s="1508" t="s">
        <v>463</v>
      </c>
      <c r="B39" s="523">
        <v>7600</v>
      </c>
      <c r="C39" s="476"/>
      <c r="D39" s="476"/>
      <c r="E39" s="1762">
        <f>SUM(C62:D65)</f>
        <v>0</v>
      </c>
      <c r="F39" s="476"/>
      <c r="G39" s="476"/>
      <c r="H39" s="476"/>
      <c r="I39" s="476"/>
      <c r="J39" s="476"/>
      <c r="K39" s="476"/>
      <c r="L39" s="522"/>
    </row>
    <row r="40" spans="1:12" s="484" customFormat="1" ht="13.5" customHeight="1" x14ac:dyDescent="0.2">
      <c r="A40" s="1508" t="s">
        <v>663</v>
      </c>
      <c r="B40" s="482">
        <v>7700</v>
      </c>
      <c r="C40" s="476"/>
      <c r="D40" s="476"/>
      <c r="E40" s="1762">
        <f>SUM(C66:D69)</f>
        <v>0</v>
      </c>
      <c r="F40" s="476"/>
      <c r="G40" s="476"/>
      <c r="H40" s="479"/>
      <c r="I40" s="476"/>
      <c r="J40" s="476"/>
      <c r="K40" s="476"/>
      <c r="L40" s="522"/>
    </row>
    <row r="41" spans="1:12" s="484" customFormat="1" ht="13.5" customHeight="1" x14ac:dyDescent="0.2">
      <c r="A41" s="1508" t="s">
        <v>661</v>
      </c>
      <c r="B41" s="482">
        <v>7800</v>
      </c>
      <c r="C41" s="479"/>
      <c r="D41" s="479"/>
      <c r="E41" s="524"/>
      <c r="F41" s="479"/>
      <c r="G41" s="479"/>
      <c r="H41" s="1762">
        <f>SUM(C70:D73)</f>
        <v>0</v>
      </c>
      <c r="I41" s="476"/>
      <c r="J41" s="476"/>
      <c r="K41" s="479"/>
      <c r="L41" s="522"/>
    </row>
    <row r="42" spans="1:12" s="484" customFormat="1" ht="13.5" customHeight="1" x14ac:dyDescent="0.2">
      <c r="A42" s="1508" t="s">
        <v>662</v>
      </c>
      <c r="B42" s="482">
        <v>7900</v>
      </c>
      <c r="C42" s="465">
        <v>483650</v>
      </c>
      <c r="D42" s="467">
        <v>0</v>
      </c>
      <c r="E42" s="467">
        <v>0</v>
      </c>
      <c r="F42" s="467">
        <v>0</v>
      </c>
      <c r="G42" s="467">
        <v>0</v>
      </c>
      <c r="H42" s="467">
        <v>0</v>
      </c>
      <c r="I42" s="479"/>
      <c r="J42" s="479"/>
      <c r="K42" s="467">
        <v>0</v>
      </c>
      <c r="L42" s="522"/>
    </row>
    <row r="43" spans="1:12" s="484" customFormat="1" ht="13.5" customHeight="1" x14ac:dyDescent="0.2">
      <c r="A43" s="1508" t="s">
        <v>391</v>
      </c>
      <c r="B43" s="482">
        <v>7990</v>
      </c>
      <c r="C43" s="465">
        <v>0</v>
      </c>
      <c r="D43" s="467">
        <v>0</v>
      </c>
      <c r="E43" s="467">
        <v>83003</v>
      </c>
      <c r="F43" s="467">
        <v>0</v>
      </c>
      <c r="G43" s="467">
        <v>0</v>
      </c>
      <c r="H43" s="467">
        <v>0</v>
      </c>
      <c r="I43" s="467">
        <v>0</v>
      </c>
      <c r="J43" s="467">
        <v>0</v>
      </c>
      <c r="K43" s="467">
        <v>0</v>
      </c>
      <c r="L43" s="522"/>
    </row>
    <row r="44" spans="1:12" s="484" customFormat="1" ht="13.5" customHeight="1" thickBot="1" x14ac:dyDescent="0.25">
      <c r="A44" s="2257" t="s">
        <v>392</v>
      </c>
      <c r="B44" s="2258"/>
      <c r="C44" s="1722">
        <f>SUM(C24:C43)</f>
        <v>484302</v>
      </c>
      <c r="D44" s="1722">
        <f t="shared" ref="D44:K44" si="6">SUM(D24:D43)</f>
        <v>0</v>
      </c>
      <c r="E44" s="1722">
        <f t="shared" si="6"/>
        <v>83003</v>
      </c>
      <c r="F44" s="1722">
        <f t="shared" si="6"/>
        <v>0</v>
      </c>
      <c r="G44" s="1722">
        <f t="shared" si="6"/>
        <v>0</v>
      </c>
      <c r="H44" s="1722">
        <f t="shared" si="6"/>
        <v>0</v>
      </c>
      <c r="I44" s="1722">
        <f t="shared" si="6"/>
        <v>0</v>
      </c>
      <c r="J44" s="1722">
        <f t="shared" si="6"/>
        <v>0</v>
      </c>
      <c r="K44" s="1722">
        <f t="shared" si="6"/>
        <v>0</v>
      </c>
      <c r="L44" s="522"/>
    </row>
    <row r="45" spans="1:12" ht="15.75" customHeight="1" thickTop="1" x14ac:dyDescent="0.2">
      <c r="A45" s="2251" t="s">
        <v>110</v>
      </c>
      <c r="B45" s="2252"/>
      <c r="C45" s="526"/>
      <c r="D45" s="526"/>
      <c r="E45" s="526"/>
      <c r="F45" s="526"/>
      <c r="G45" s="526"/>
      <c r="H45" s="526"/>
      <c r="I45" s="526"/>
      <c r="J45" s="526"/>
      <c r="K45" s="526"/>
      <c r="L45" s="347"/>
    </row>
    <row r="46" spans="1:12" s="484" customFormat="1" ht="15.75" customHeight="1" x14ac:dyDescent="0.2">
      <c r="A46" s="2259" t="s">
        <v>111</v>
      </c>
      <c r="B46" s="2260"/>
      <c r="C46" s="476"/>
      <c r="D46" s="476"/>
      <c r="E46" s="476"/>
      <c r="F46" s="476"/>
      <c r="G46" s="476"/>
      <c r="H46" s="476"/>
      <c r="I46" s="479"/>
      <c r="J46" s="476"/>
      <c r="K46" s="476"/>
      <c r="L46" s="527"/>
    </row>
    <row r="47" spans="1:12" s="484" customFormat="1" ht="15" x14ac:dyDescent="0.2">
      <c r="A47" s="1509" t="s">
        <v>1756</v>
      </c>
      <c r="B47" s="482">
        <v>8110</v>
      </c>
      <c r="C47" s="476"/>
      <c r="D47" s="476"/>
      <c r="E47" s="476"/>
      <c r="F47" s="476"/>
      <c r="G47" s="476"/>
      <c r="H47" s="476"/>
      <c r="I47" s="1762">
        <f>SUM(C24,C25:H25,J25:K25)</f>
        <v>0</v>
      </c>
      <c r="J47" s="476"/>
      <c r="K47" s="476"/>
      <c r="L47" s="527"/>
    </row>
    <row r="48" spans="1:12" s="484" customFormat="1" ht="15" x14ac:dyDescent="0.2">
      <c r="A48" s="1509" t="s">
        <v>1757</v>
      </c>
      <c r="B48" s="482">
        <v>8120</v>
      </c>
      <c r="C48" s="479"/>
      <c r="D48" s="479"/>
      <c r="E48" s="476"/>
      <c r="F48" s="479"/>
      <c r="G48" s="476"/>
      <c r="H48" s="476"/>
      <c r="I48" s="1762">
        <f>SUM(C26:H26,J26,K26)</f>
        <v>0</v>
      </c>
      <c r="J48" s="476"/>
      <c r="K48" s="476"/>
      <c r="L48" s="527"/>
    </row>
    <row r="49" spans="1:12" s="484" customFormat="1" x14ac:dyDescent="0.2">
      <c r="A49" s="1509" t="s">
        <v>194</v>
      </c>
      <c r="B49" s="482">
        <v>8130</v>
      </c>
      <c r="C49" s="465">
        <v>0</v>
      </c>
      <c r="D49" s="467">
        <v>0</v>
      </c>
      <c r="E49" s="479"/>
      <c r="F49" s="467">
        <v>0</v>
      </c>
      <c r="G49" s="479"/>
      <c r="H49" s="479"/>
      <c r="I49" s="476"/>
      <c r="J49" s="479"/>
      <c r="K49" s="476"/>
      <c r="L49" s="522"/>
    </row>
    <row r="50" spans="1:12" s="484" customFormat="1" x14ac:dyDescent="0.2">
      <c r="A50" s="1509" t="s">
        <v>1465</v>
      </c>
      <c r="B50" s="482">
        <v>8140</v>
      </c>
      <c r="C50" s="465">
        <v>0</v>
      </c>
      <c r="D50" s="467">
        <v>0</v>
      </c>
      <c r="E50" s="467">
        <v>0</v>
      </c>
      <c r="F50" s="467">
        <v>0</v>
      </c>
      <c r="G50" s="467">
        <v>0</v>
      </c>
      <c r="H50" s="467">
        <v>0</v>
      </c>
      <c r="I50" s="476"/>
      <c r="J50" s="467">
        <v>0</v>
      </c>
      <c r="K50" s="476"/>
      <c r="L50" s="522"/>
    </row>
    <row r="51" spans="1:12" s="484" customFormat="1" x14ac:dyDescent="0.2">
      <c r="A51" s="1509" t="s">
        <v>312</v>
      </c>
      <c r="B51" s="482">
        <v>8150</v>
      </c>
      <c r="C51" s="475"/>
      <c r="D51" s="475"/>
      <c r="E51" s="475"/>
      <c r="F51" s="475"/>
      <c r="G51" s="475"/>
      <c r="H51" s="1762">
        <f>SUM(D29)</f>
        <v>0</v>
      </c>
      <c r="I51" s="476"/>
      <c r="J51" s="475"/>
      <c r="K51" s="479"/>
      <c r="L51" s="522"/>
    </row>
    <row r="52" spans="1:12" s="484" customFormat="1" ht="26.25" x14ac:dyDescent="0.2">
      <c r="A52" s="1509" t="s">
        <v>1894</v>
      </c>
      <c r="B52" s="482">
        <v>8160</v>
      </c>
      <c r="C52" s="476"/>
      <c r="D52" s="476"/>
      <c r="E52" s="476"/>
      <c r="F52" s="476"/>
      <c r="G52" s="476"/>
      <c r="H52" s="476"/>
      <c r="I52" s="476"/>
      <c r="J52" s="476"/>
      <c r="K52" s="1762">
        <f>D30</f>
        <v>0</v>
      </c>
      <c r="L52" s="522"/>
    </row>
    <row r="53" spans="1:12" s="484" customFormat="1" ht="26.25" x14ac:dyDescent="0.2">
      <c r="A53" s="1509" t="s">
        <v>1893</v>
      </c>
      <c r="B53" s="482">
        <v>8170</v>
      </c>
      <c r="C53" s="479"/>
      <c r="D53" s="479"/>
      <c r="E53" s="476"/>
      <c r="F53" s="476"/>
      <c r="G53" s="476"/>
      <c r="H53" s="479"/>
      <c r="I53" s="476"/>
      <c r="J53" s="476"/>
      <c r="K53" s="1762">
        <f>E31</f>
        <v>0</v>
      </c>
      <c r="L53" s="522"/>
    </row>
    <row r="54" spans="1:12" s="484" customFormat="1" ht="13.5" thickBot="1" x14ac:dyDescent="0.25">
      <c r="A54" s="1509" t="s">
        <v>716</v>
      </c>
      <c r="B54" s="482">
        <v>8410</v>
      </c>
      <c r="C54" s="528">
        <v>0</v>
      </c>
      <c r="D54" s="528">
        <v>0</v>
      </c>
      <c r="E54" s="476"/>
      <c r="F54" s="476"/>
      <c r="G54" s="476"/>
      <c r="H54" s="528">
        <v>0</v>
      </c>
      <c r="I54" s="476"/>
      <c r="J54" s="476"/>
      <c r="K54" s="475"/>
      <c r="L54" s="522"/>
    </row>
    <row r="55" spans="1:12" s="484" customFormat="1" ht="14.25" thickTop="1" thickBot="1" x14ac:dyDescent="0.25">
      <c r="A55" s="1510" t="s">
        <v>717</v>
      </c>
      <c r="B55" s="482">
        <v>8420</v>
      </c>
      <c r="C55" s="528">
        <v>0</v>
      </c>
      <c r="D55" s="529">
        <v>0</v>
      </c>
      <c r="E55" s="476"/>
      <c r="F55" s="476"/>
      <c r="G55" s="476"/>
      <c r="H55" s="528">
        <v>0</v>
      </c>
      <c r="I55" s="476"/>
      <c r="J55" s="476"/>
      <c r="K55" s="476"/>
      <c r="L55" s="522"/>
    </row>
    <row r="56" spans="1:12" s="484" customFormat="1" ht="14.25" thickTop="1" thickBot="1" x14ac:dyDescent="0.25">
      <c r="A56" s="1509" t="s">
        <v>602</v>
      </c>
      <c r="B56" s="482">
        <v>8430</v>
      </c>
      <c r="C56" s="528">
        <v>0</v>
      </c>
      <c r="D56" s="529">
        <v>0</v>
      </c>
      <c r="E56" s="476"/>
      <c r="F56" s="476"/>
      <c r="G56" s="476"/>
      <c r="H56" s="528">
        <v>0</v>
      </c>
      <c r="I56" s="476"/>
      <c r="J56" s="476"/>
      <c r="K56" s="476"/>
      <c r="L56" s="522"/>
    </row>
    <row r="57" spans="1:12" s="484" customFormat="1" ht="14.25" thickTop="1" thickBot="1" x14ac:dyDescent="0.25">
      <c r="A57" s="1510" t="s">
        <v>599</v>
      </c>
      <c r="B57" s="482">
        <v>8440</v>
      </c>
      <c r="C57" s="528">
        <v>0</v>
      </c>
      <c r="D57" s="529">
        <v>0</v>
      </c>
      <c r="E57" s="476"/>
      <c r="F57" s="476"/>
      <c r="G57" s="476"/>
      <c r="H57" s="528">
        <v>0</v>
      </c>
      <c r="I57" s="476"/>
      <c r="J57" s="476"/>
      <c r="K57" s="476"/>
      <c r="L57" s="522"/>
    </row>
    <row r="58" spans="1:12" s="484" customFormat="1" ht="14.25" thickTop="1" thickBot="1" x14ac:dyDescent="0.25">
      <c r="A58" s="1509" t="s">
        <v>600</v>
      </c>
      <c r="B58" s="482">
        <v>8510</v>
      </c>
      <c r="C58" s="528">
        <v>0</v>
      </c>
      <c r="D58" s="529">
        <v>0</v>
      </c>
      <c r="E58" s="476"/>
      <c r="F58" s="476"/>
      <c r="G58" s="476"/>
      <c r="H58" s="528">
        <v>0</v>
      </c>
      <c r="I58" s="476"/>
      <c r="J58" s="476"/>
      <c r="K58" s="476"/>
      <c r="L58" s="522"/>
    </row>
    <row r="59" spans="1:12" s="484" customFormat="1" ht="14.25" thickTop="1" thickBot="1" x14ac:dyDescent="0.25">
      <c r="A59" s="1511" t="s">
        <v>718</v>
      </c>
      <c r="B59" s="482">
        <v>8520</v>
      </c>
      <c r="C59" s="528">
        <v>0</v>
      </c>
      <c r="D59" s="529">
        <v>0</v>
      </c>
      <c r="E59" s="476"/>
      <c r="F59" s="476"/>
      <c r="G59" s="476"/>
      <c r="H59" s="528">
        <v>0</v>
      </c>
      <c r="I59" s="476"/>
      <c r="J59" s="476"/>
      <c r="K59" s="476"/>
      <c r="L59" s="522"/>
    </row>
    <row r="60" spans="1:12" s="484" customFormat="1" ht="14.25" thickTop="1" thickBot="1" x14ac:dyDescent="0.25">
      <c r="A60" s="1509" t="s">
        <v>601</v>
      </c>
      <c r="B60" s="482">
        <v>8530</v>
      </c>
      <c r="C60" s="528">
        <v>0</v>
      </c>
      <c r="D60" s="529">
        <v>0</v>
      </c>
      <c r="E60" s="476"/>
      <c r="F60" s="476"/>
      <c r="G60" s="476"/>
      <c r="H60" s="528">
        <v>0</v>
      </c>
      <c r="I60" s="476"/>
      <c r="J60" s="476"/>
      <c r="K60" s="476"/>
      <c r="L60" s="522"/>
    </row>
    <row r="61" spans="1:12" s="484" customFormat="1" ht="14.25" thickTop="1" thickBot="1" x14ac:dyDescent="0.25">
      <c r="A61" s="1510" t="s">
        <v>767</v>
      </c>
      <c r="B61" s="482">
        <v>8540</v>
      </c>
      <c r="C61" s="528">
        <v>0</v>
      </c>
      <c r="D61" s="529">
        <v>0</v>
      </c>
      <c r="E61" s="476"/>
      <c r="F61" s="476"/>
      <c r="G61" s="476"/>
      <c r="H61" s="528">
        <v>0</v>
      </c>
      <c r="I61" s="476"/>
      <c r="J61" s="476"/>
      <c r="K61" s="476"/>
      <c r="L61" s="522"/>
    </row>
    <row r="62" spans="1:12" s="484" customFormat="1" ht="13.5" customHeight="1" thickTop="1" thickBot="1" x14ac:dyDescent="0.25">
      <c r="A62" s="1509" t="s">
        <v>768</v>
      </c>
      <c r="B62" s="482">
        <v>8610</v>
      </c>
      <c r="C62" s="528">
        <v>0</v>
      </c>
      <c r="D62" s="529">
        <v>0</v>
      </c>
      <c r="E62" s="476"/>
      <c r="F62" s="476"/>
      <c r="G62" s="476"/>
      <c r="H62" s="476"/>
      <c r="I62" s="476"/>
      <c r="J62" s="476"/>
      <c r="K62" s="476"/>
      <c r="L62" s="522"/>
    </row>
    <row r="63" spans="1:12" s="484" customFormat="1" ht="14.25" thickTop="1" thickBot="1" x14ac:dyDescent="0.25">
      <c r="A63" s="1510" t="s">
        <v>719</v>
      </c>
      <c r="B63" s="482">
        <v>8620</v>
      </c>
      <c r="C63" s="528">
        <v>0</v>
      </c>
      <c r="D63" s="529">
        <v>0</v>
      </c>
      <c r="E63" s="476"/>
      <c r="F63" s="476"/>
      <c r="G63" s="476"/>
      <c r="H63" s="476"/>
      <c r="I63" s="476"/>
      <c r="J63" s="476"/>
      <c r="K63" s="476"/>
      <c r="L63" s="522"/>
    </row>
    <row r="64" spans="1:12" s="484" customFormat="1" ht="13.5" customHeight="1" thickTop="1" thickBot="1" x14ac:dyDescent="0.25">
      <c r="A64" s="1509" t="s">
        <v>769</v>
      </c>
      <c r="B64" s="482">
        <v>8630</v>
      </c>
      <c r="C64" s="528">
        <v>0</v>
      </c>
      <c r="D64" s="529">
        <v>0</v>
      </c>
      <c r="E64" s="476"/>
      <c r="F64" s="476"/>
      <c r="G64" s="476"/>
      <c r="H64" s="476"/>
      <c r="I64" s="476"/>
      <c r="J64" s="476"/>
      <c r="K64" s="476"/>
      <c r="L64" s="522"/>
    </row>
    <row r="65" spans="1:12" s="484" customFormat="1" ht="14.25" thickTop="1" thickBot="1" x14ac:dyDescent="0.25">
      <c r="A65" s="1510" t="s">
        <v>770</v>
      </c>
      <c r="B65" s="482">
        <v>8640</v>
      </c>
      <c r="C65" s="528">
        <v>0</v>
      </c>
      <c r="D65" s="529">
        <v>0</v>
      </c>
      <c r="E65" s="476"/>
      <c r="F65" s="476"/>
      <c r="G65" s="476"/>
      <c r="H65" s="476"/>
      <c r="I65" s="476"/>
      <c r="J65" s="476"/>
      <c r="K65" s="476"/>
      <c r="L65" s="522"/>
    </row>
    <row r="66" spans="1:12" s="484" customFormat="1" ht="14.25" thickTop="1" thickBot="1" x14ac:dyDescent="0.25">
      <c r="A66" s="1509" t="s">
        <v>771</v>
      </c>
      <c r="B66" s="482">
        <v>8710</v>
      </c>
      <c r="C66" s="528">
        <v>0</v>
      </c>
      <c r="D66" s="529">
        <v>0</v>
      </c>
      <c r="E66" s="476"/>
      <c r="F66" s="476"/>
      <c r="G66" s="476"/>
      <c r="H66" s="476"/>
      <c r="I66" s="476"/>
      <c r="J66" s="476"/>
      <c r="K66" s="476"/>
      <c r="L66" s="522"/>
    </row>
    <row r="67" spans="1:12" s="484" customFormat="1" ht="14.25" thickTop="1" thickBot="1" x14ac:dyDescent="0.25">
      <c r="A67" s="1510" t="s">
        <v>720</v>
      </c>
      <c r="B67" s="482">
        <v>8720</v>
      </c>
      <c r="C67" s="528">
        <v>0</v>
      </c>
      <c r="D67" s="529">
        <v>0</v>
      </c>
      <c r="E67" s="476"/>
      <c r="F67" s="476"/>
      <c r="G67" s="476"/>
      <c r="H67" s="476"/>
      <c r="I67" s="476"/>
      <c r="J67" s="476"/>
      <c r="K67" s="476"/>
      <c r="L67" s="522"/>
    </row>
    <row r="68" spans="1:12" s="484" customFormat="1" ht="14.25" thickTop="1" thickBot="1" x14ac:dyDescent="0.25">
      <c r="A68" s="1511" t="s">
        <v>772</v>
      </c>
      <c r="B68" s="482">
        <v>8730</v>
      </c>
      <c r="C68" s="528">
        <v>0</v>
      </c>
      <c r="D68" s="529">
        <v>0</v>
      </c>
      <c r="E68" s="476"/>
      <c r="F68" s="476"/>
      <c r="G68" s="476"/>
      <c r="H68" s="476"/>
      <c r="I68" s="476"/>
      <c r="J68" s="476"/>
      <c r="K68" s="476"/>
      <c r="L68" s="522"/>
    </row>
    <row r="69" spans="1:12" s="484" customFormat="1" ht="14.25" thickTop="1" thickBot="1" x14ac:dyDescent="0.25">
      <c r="A69" s="1510" t="s">
        <v>773</v>
      </c>
      <c r="B69" s="482">
        <v>8740</v>
      </c>
      <c r="C69" s="528">
        <v>0</v>
      </c>
      <c r="D69" s="529">
        <v>0</v>
      </c>
      <c r="E69" s="476"/>
      <c r="F69" s="476"/>
      <c r="G69" s="476"/>
      <c r="H69" s="476"/>
      <c r="I69" s="476"/>
      <c r="J69" s="476"/>
      <c r="K69" s="476"/>
      <c r="L69" s="522"/>
    </row>
    <row r="70" spans="1:12" s="484" customFormat="1" ht="14.25" thickTop="1" thickBot="1" x14ac:dyDescent="0.25">
      <c r="A70" s="1509" t="s">
        <v>774</v>
      </c>
      <c r="B70" s="482">
        <v>8810</v>
      </c>
      <c r="C70" s="528">
        <v>0</v>
      </c>
      <c r="D70" s="529">
        <v>0</v>
      </c>
      <c r="E70" s="476"/>
      <c r="F70" s="476"/>
      <c r="G70" s="476"/>
      <c r="H70" s="476"/>
      <c r="I70" s="476"/>
      <c r="J70" s="476"/>
      <c r="K70" s="476"/>
      <c r="L70" s="522"/>
    </row>
    <row r="71" spans="1:12" s="484" customFormat="1" ht="14.25" thickTop="1" thickBot="1" x14ac:dyDescent="0.25">
      <c r="A71" s="1509" t="s">
        <v>778</v>
      </c>
      <c r="B71" s="482">
        <v>8820</v>
      </c>
      <c r="C71" s="528">
        <v>0</v>
      </c>
      <c r="D71" s="529">
        <v>0</v>
      </c>
      <c r="E71" s="476"/>
      <c r="F71" s="476"/>
      <c r="G71" s="476"/>
      <c r="H71" s="476"/>
      <c r="I71" s="476"/>
      <c r="J71" s="476"/>
      <c r="K71" s="476"/>
      <c r="L71" s="522"/>
    </row>
    <row r="72" spans="1:12" s="484" customFormat="1" ht="14.25" thickTop="1" thickBot="1" x14ac:dyDescent="0.25">
      <c r="A72" s="1509" t="s">
        <v>775</v>
      </c>
      <c r="B72" s="482">
        <v>8830</v>
      </c>
      <c r="C72" s="528">
        <v>0</v>
      </c>
      <c r="D72" s="529">
        <v>0</v>
      </c>
      <c r="E72" s="476"/>
      <c r="F72" s="476"/>
      <c r="G72" s="476"/>
      <c r="H72" s="476"/>
      <c r="I72" s="476"/>
      <c r="J72" s="476"/>
      <c r="K72" s="476"/>
      <c r="L72" s="522"/>
    </row>
    <row r="73" spans="1:12" s="484" customFormat="1" ht="14.25" thickTop="1" thickBot="1" x14ac:dyDescent="0.25">
      <c r="A73" s="1509" t="s">
        <v>776</v>
      </c>
      <c r="B73" s="482">
        <v>8840</v>
      </c>
      <c r="C73" s="528">
        <v>0</v>
      </c>
      <c r="D73" s="529">
        <v>0</v>
      </c>
      <c r="E73" s="476"/>
      <c r="F73" s="476"/>
      <c r="G73" s="476"/>
      <c r="H73" s="476"/>
      <c r="I73" s="476"/>
      <c r="J73" s="476"/>
      <c r="K73" s="479"/>
      <c r="L73" s="522"/>
    </row>
    <row r="74" spans="1:12" s="484" customFormat="1" ht="14.25" thickTop="1" thickBot="1" x14ac:dyDescent="0.25">
      <c r="A74" s="1509" t="s">
        <v>393</v>
      </c>
      <c r="B74" s="482">
        <v>8910</v>
      </c>
      <c r="C74" s="528">
        <v>83003</v>
      </c>
      <c r="D74" s="529">
        <v>0</v>
      </c>
      <c r="E74" s="479"/>
      <c r="F74" s="528">
        <v>0</v>
      </c>
      <c r="G74" s="528">
        <v>0</v>
      </c>
      <c r="H74" s="528">
        <v>0</v>
      </c>
      <c r="I74" s="479"/>
      <c r="J74" s="479"/>
      <c r="K74" s="528">
        <v>0</v>
      </c>
      <c r="L74" s="522"/>
    </row>
    <row r="75" spans="1:12" s="484" customFormat="1" ht="14.25" thickTop="1" thickBot="1" x14ac:dyDescent="0.25">
      <c r="A75" s="1512"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233" t="s">
        <v>460</v>
      </c>
      <c r="B76" s="2234"/>
      <c r="C76" s="1722">
        <f t="shared" ref="C76:K76" si="7">SUM(C47:C75)</f>
        <v>83003</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235" t="s">
        <v>1239</v>
      </c>
      <c r="B77" s="2236"/>
      <c r="C77" s="1722">
        <f t="shared" ref="C77:K77" si="8">C44-C76</f>
        <v>401299</v>
      </c>
      <c r="D77" s="1722">
        <f t="shared" si="8"/>
        <v>0</v>
      </c>
      <c r="E77" s="1722">
        <f t="shared" si="8"/>
        <v>83003</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239" t="s">
        <v>618</v>
      </c>
      <c r="B78" s="2240"/>
      <c r="C78" s="1721">
        <f t="shared" ref="C78:K78" si="9">C20+C77</f>
        <v>-142927</v>
      </c>
      <c r="D78" s="1721">
        <f t="shared" si="9"/>
        <v>241672</v>
      </c>
      <c r="E78" s="1721">
        <f t="shared" si="9"/>
        <v>2987</v>
      </c>
      <c r="F78" s="1721">
        <f t="shared" si="9"/>
        <v>180318</v>
      </c>
      <c r="G78" s="1721">
        <f t="shared" si="9"/>
        <v>61245</v>
      </c>
      <c r="H78" s="1721">
        <f t="shared" si="9"/>
        <v>0</v>
      </c>
      <c r="I78" s="1721">
        <f t="shared" si="9"/>
        <v>340572</v>
      </c>
      <c r="J78" s="1721">
        <f t="shared" si="9"/>
        <v>0</v>
      </c>
      <c r="K78" s="1721">
        <f t="shared" si="9"/>
        <v>92691</v>
      </c>
      <c r="L78" s="531"/>
    </row>
    <row r="79" spans="1:12" ht="13.5" thickTop="1" x14ac:dyDescent="0.2">
      <c r="A79" s="1513" t="s">
        <v>2067</v>
      </c>
      <c r="B79" s="532"/>
      <c r="C79" s="467">
        <v>-929065</v>
      </c>
      <c r="D79" s="467">
        <v>-120309</v>
      </c>
      <c r="E79" s="467">
        <v>163055</v>
      </c>
      <c r="F79" s="467">
        <v>-362991</v>
      </c>
      <c r="G79" s="467">
        <v>180106</v>
      </c>
      <c r="H79" s="467">
        <v>0</v>
      </c>
      <c r="I79" s="467">
        <v>5947241</v>
      </c>
      <c r="J79" s="467">
        <v>0</v>
      </c>
      <c r="K79" s="467">
        <v>2667</v>
      </c>
      <c r="L79" s="347"/>
    </row>
    <row r="80" spans="1:12" x14ac:dyDescent="0.2">
      <c r="A80" s="2245" t="s">
        <v>1892</v>
      </c>
      <c r="B80" s="2246"/>
      <c r="C80" s="467">
        <v>0</v>
      </c>
      <c r="D80" s="467">
        <v>0</v>
      </c>
      <c r="E80" s="467">
        <v>0</v>
      </c>
      <c r="F80" s="467">
        <v>0</v>
      </c>
      <c r="G80" s="467">
        <v>0</v>
      </c>
      <c r="H80" s="467">
        <v>0</v>
      </c>
      <c r="I80" s="467">
        <v>0</v>
      </c>
      <c r="J80" s="467">
        <v>0</v>
      </c>
      <c r="K80" s="467">
        <v>0</v>
      </c>
      <c r="L80" s="347"/>
    </row>
    <row r="81" spans="1:12" ht="13.5" thickBot="1" x14ac:dyDescent="0.25">
      <c r="A81" s="2237" t="s">
        <v>2068</v>
      </c>
      <c r="B81" s="2238"/>
      <c r="C81" s="1707">
        <f>(SUM(C78:C80))</f>
        <v>-1071992</v>
      </c>
      <c r="D81" s="1707">
        <f>SUM(D78:D80)</f>
        <v>121363</v>
      </c>
      <c r="E81" s="1707">
        <f t="shared" ref="E81:K81" si="10">SUM(E78:E80)</f>
        <v>166042</v>
      </c>
      <c r="F81" s="1707">
        <f t="shared" si="10"/>
        <v>-182673</v>
      </c>
      <c r="G81" s="1707">
        <f t="shared" si="10"/>
        <v>241351</v>
      </c>
      <c r="H81" s="1707">
        <f t="shared" si="10"/>
        <v>0</v>
      </c>
      <c r="I81" s="1707">
        <f t="shared" si="10"/>
        <v>6287813</v>
      </c>
      <c r="J81" s="1707">
        <f t="shared" si="10"/>
        <v>0</v>
      </c>
      <c r="K81" s="1707">
        <f t="shared" si="10"/>
        <v>95358</v>
      </c>
      <c r="L81" s="347"/>
    </row>
    <row r="82" spans="1:12" ht="0.75" customHeight="1" thickTop="1" thickBot="1" x14ac:dyDescent="0.25">
      <c r="A82" s="534" t="s">
        <v>361</v>
      </c>
      <c r="B82" s="535"/>
      <c r="C82" s="536">
        <f>(C81-C79)</f>
        <v>-142927</v>
      </c>
      <c r="D82" s="536">
        <f t="shared" ref="D82:K82" si="11">(D81-D79)</f>
        <v>241672</v>
      </c>
      <c r="E82" s="536">
        <f t="shared" si="11"/>
        <v>2987</v>
      </c>
      <c r="F82" s="536">
        <f t="shared" si="11"/>
        <v>180318</v>
      </c>
      <c r="G82" s="536">
        <f t="shared" si="11"/>
        <v>61245</v>
      </c>
      <c r="H82" s="536">
        <f t="shared" si="11"/>
        <v>0</v>
      </c>
      <c r="I82" s="536">
        <f t="shared" si="11"/>
        <v>340572</v>
      </c>
      <c r="J82" s="536">
        <f t="shared" si="11"/>
        <v>0</v>
      </c>
      <c r="K82" s="536">
        <f t="shared" si="11"/>
        <v>92691</v>
      </c>
    </row>
    <row r="83" spans="1:12" ht="14.25" hidden="1" thickTop="1" thickBot="1" x14ac:dyDescent="0.25">
      <c r="A83" s="537" t="s">
        <v>362</v>
      </c>
      <c r="B83" s="464"/>
      <c r="C83" s="538">
        <f>C82/C81</f>
        <v>0.13332842036134598</v>
      </c>
      <c r="D83" s="538">
        <f t="shared" ref="D83:K83" si="12">D82/D81</f>
        <v>1.9913153102675445</v>
      </c>
      <c r="E83" s="538">
        <f t="shared" si="12"/>
        <v>1.7989424362510689E-2</v>
      </c>
      <c r="F83" s="538">
        <f t="shared" si="12"/>
        <v>-0.9871081112151221</v>
      </c>
      <c r="G83" s="538">
        <f t="shared" si="12"/>
        <v>0.25375904802548982</v>
      </c>
      <c r="H83" s="538" t="e">
        <f t="shared" si="12"/>
        <v>#DIV/0!</v>
      </c>
      <c r="I83" s="538">
        <f t="shared" si="12"/>
        <v>5.4163824528496635E-2</v>
      </c>
      <c r="J83" s="538" t="e">
        <f t="shared" si="12"/>
        <v>#DIV/0!</v>
      </c>
      <c r="K83" s="538">
        <f t="shared" si="12"/>
        <v>0.97203171207449823</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241" t="s">
        <v>1899</v>
      </c>
      <c r="B1" s="452"/>
      <c r="C1" s="453" t="s">
        <v>445</v>
      </c>
      <c r="D1" s="453" t="s">
        <v>446</v>
      </c>
      <c r="E1" s="453" t="s">
        <v>447</v>
      </c>
      <c r="F1" s="453" t="s">
        <v>448</v>
      </c>
      <c r="G1" s="453" t="s">
        <v>449</v>
      </c>
      <c r="H1" s="453" t="s">
        <v>450</v>
      </c>
      <c r="I1" s="453" t="s">
        <v>451</v>
      </c>
      <c r="J1" s="453" t="s">
        <v>452</v>
      </c>
      <c r="K1" s="453" t="s">
        <v>780</v>
      </c>
    </row>
    <row r="2" spans="1:12" ht="36" x14ac:dyDescent="0.2">
      <c r="A2" s="2242"/>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397</v>
      </c>
      <c r="B4" s="1610">
        <v>1100</v>
      </c>
      <c r="C4" s="541"/>
      <c r="D4" s="541"/>
      <c r="E4" s="541"/>
      <c r="F4" s="542"/>
      <c r="G4" s="543"/>
      <c r="H4" s="544"/>
      <c r="I4" s="544"/>
      <c r="J4" s="544"/>
      <c r="K4" s="544"/>
    </row>
    <row r="5" spans="1:12" ht="15" x14ac:dyDescent="0.2">
      <c r="A5" s="491" t="s">
        <v>1758</v>
      </c>
      <c r="B5" s="545"/>
      <c r="C5" s="480">
        <v>11236217</v>
      </c>
      <c r="D5" s="480">
        <v>1549869</v>
      </c>
      <c r="E5" s="480">
        <v>418289</v>
      </c>
      <c r="F5" s="546">
        <v>968704</v>
      </c>
      <c r="G5" s="466">
        <v>241237</v>
      </c>
      <c r="H5" s="466">
        <v>0</v>
      </c>
      <c r="I5" s="466">
        <v>231158</v>
      </c>
      <c r="J5" s="466">
        <v>0</v>
      </c>
      <c r="K5" s="466">
        <v>287691</v>
      </c>
    </row>
    <row r="6" spans="1:12" ht="15" x14ac:dyDescent="0.2">
      <c r="A6" s="463" t="s">
        <v>1759</v>
      </c>
      <c r="B6" s="470">
        <v>1130</v>
      </c>
      <c r="C6" s="466">
        <v>0</v>
      </c>
      <c r="D6" s="466">
        <v>0</v>
      </c>
      <c r="E6" s="475"/>
      <c r="F6" s="475"/>
      <c r="G6" s="468"/>
      <c r="H6" s="468"/>
      <c r="I6" s="468"/>
      <c r="J6" s="468"/>
      <c r="K6" s="468"/>
    </row>
    <row r="7" spans="1:12" x14ac:dyDescent="0.2">
      <c r="A7" s="463" t="s">
        <v>112</v>
      </c>
      <c r="B7" s="547">
        <v>1140</v>
      </c>
      <c r="C7" s="466">
        <v>107544</v>
      </c>
      <c r="D7" s="466">
        <v>0</v>
      </c>
      <c r="E7" s="468"/>
      <c r="F7" s="467">
        <v>0</v>
      </c>
      <c r="G7" s="467">
        <v>0</v>
      </c>
      <c r="H7" s="467">
        <v>0</v>
      </c>
      <c r="I7" s="468"/>
      <c r="J7" s="468"/>
      <c r="K7" s="468"/>
    </row>
    <row r="8" spans="1:12" x14ac:dyDescent="0.2">
      <c r="A8" s="463" t="s">
        <v>433</v>
      </c>
      <c r="B8" s="470">
        <v>1150</v>
      </c>
      <c r="C8" s="475"/>
      <c r="D8" s="475"/>
      <c r="E8" s="476"/>
      <c r="F8" s="476"/>
      <c r="G8" s="480">
        <v>166641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11343761</v>
      </c>
      <c r="D12" s="1726">
        <f t="shared" si="0"/>
        <v>1549869</v>
      </c>
      <c r="E12" s="1726">
        <f t="shared" si="0"/>
        <v>418289</v>
      </c>
      <c r="F12" s="1726">
        <f t="shared" si="0"/>
        <v>968704</v>
      </c>
      <c r="G12" s="1726">
        <f t="shared" si="0"/>
        <v>407878</v>
      </c>
      <c r="H12" s="1726">
        <f t="shared" si="0"/>
        <v>0</v>
      </c>
      <c r="I12" s="1726">
        <f t="shared" si="0"/>
        <v>231158</v>
      </c>
      <c r="J12" s="1726">
        <f t="shared" si="0"/>
        <v>0</v>
      </c>
      <c r="K12" s="1707">
        <f t="shared" si="0"/>
        <v>287691</v>
      </c>
    </row>
    <row r="13" spans="1:12" ht="15.75" customHeight="1" thickTop="1" x14ac:dyDescent="0.2">
      <c r="A13" s="1611" t="s">
        <v>471</v>
      </c>
      <c r="B13" s="1612">
        <v>1200</v>
      </c>
      <c r="C13" s="551"/>
      <c r="D13" s="551"/>
      <c r="E13" s="551"/>
      <c r="F13" s="551"/>
      <c r="G13" s="551"/>
      <c r="H13" s="551"/>
      <c r="I13" s="551"/>
      <c r="J13" s="551"/>
      <c r="K13" s="468"/>
    </row>
    <row r="14" spans="1:12" x14ac:dyDescent="0.2">
      <c r="A14" s="463" t="s">
        <v>3</v>
      </c>
      <c r="B14" s="470">
        <v>1210</v>
      </c>
      <c r="C14" s="549">
        <v>231</v>
      </c>
      <c r="D14" s="466">
        <v>31</v>
      </c>
      <c r="E14" s="466">
        <v>8</v>
      </c>
      <c r="F14" s="466">
        <v>20</v>
      </c>
      <c r="G14" s="466">
        <v>8</v>
      </c>
      <c r="H14" s="466">
        <v>0</v>
      </c>
      <c r="I14" s="466">
        <v>5</v>
      </c>
      <c r="J14" s="467">
        <v>0</v>
      </c>
      <c r="K14" s="466">
        <v>6</v>
      </c>
    </row>
    <row r="15" spans="1:12" ht="12.75" customHeight="1" x14ac:dyDescent="0.2">
      <c r="A15" s="463" t="s">
        <v>97</v>
      </c>
      <c r="B15" s="470">
        <v>1220</v>
      </c>
      <c r="C15" s="549">
        <v>5983</v>
      </c>
      <c r="D15" s="466">
        <v>828</v>
      </c>
      <c r="E15" s="466">
        <v>228</v>
      </c>
      <c r="F15" s="466">
        <v>519</v>
      </c>
      <c r="G15" s="466">
        <v>216</v>
      </c>
      <c r="H15" s="466">
        <v>0</v>
      </c>
      <c r="I15" s="466">
        <v>117</v>
      </c>
      <c r="J15" s="467">
        <v>0</v>
      </c>
      <c r="K15" s="466">
        <v>200</v>
      </c>
    </row>
    <row r="16" spans="1:12" ht="15" customHeight="1" x14ac:dyDescent="0.2">
      <c r="A16" s="463" t="s">
        <v>1760</v>
      </c>
      <c r="B16" s="547">
        <v>1230</v>
      </c>
      <c r="C16" s="549">
        <v>2792481</v>
      </c>
      <c r="D16" s="466">
        <v>218423</v>
      </c>
      <c r="E16" s="466">
        <v>0</v>
      </c>
      <c r="F16" s="466">
        <v>0</v>
      </c>
      <c r="G16" s="466">
        <v>345322</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2798695</v>
      </c>
      <c r="D18" s="1729">
        <f t="shared" ref="D18:K18" si="1">SUM(D14:D17)</f>
        <v>219282</v>
      </c>
      <c r="E18" s="1729">
        <f t="shared" si="1"/>
        <v>236</v>
      </c>
      <c r="F18" s="1729">
        <f t="shared" si="1"/>
        <v>539</v>
      </c>
      <c r="G18" s="1729">
        <f t="shared" si="1"/>
        <v>345546</v>
      </c>
      <c r="H18" s="1729">
        <f t="shared" si="1"/>
        <v>0</v>
      </c>
      <c r="I18" s="1729">
        <f t="shared" si="1"/>
        <v>122</v>
      </c>
      <c r="J18" s="1729">
        <f t="shared" si="1"/>
        <v>0</v>
      </c>
      <c r="K18" s="1730">
        <f t="shared" si="1"/>
        <v>206</v>
      </c>
    </row>
    <row r="19" spans="1:11" ht="15.75" customHeight="1" thickTop="1" x14ac:dyDescent="0.2">
      <c r="A19" s="1611" t="s">
        <v>472</v>
      </c>
      <c r="B19" s="1612">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138788</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4"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138788</v>
      </c>
      <c r="D40" s="468"/>
      <c r="E40" s="468"/>
      <c r="F40" s="468"/>
      <c r="G40" s="468"/>
      <c r="H40" s="468"/>
      <c r="I40" s="468"/>
      <c r="J40" s="468"/>
      <c r="K40" s="468"/>
    </row>
    <row r="41" spans="1:11" ht="15.75" customHeight="1" thickTop="1" x14ac:dyDescent="0.2">
      <c r="A41" s="1611" t="s">
        <v>292</v>
      </c>
      <c r="B41" s="1612">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5" t="s">
        <v>62</v>
      </c>
      <c r="B51" s="555">
        <v>1431</v>
      </c>
      <c r="C51" s="468"/>
      <c r="D51" s="468"/>
      <c r="E51" s="468"/>
      <c r="F51" s="466">
        <v>0</v>
      </c>
      <c r="G51" s="468"/>
      <c r="H51" s="468"/>
      <c r="I51" s="468"/>
      <c r="J51" s="468"/>
      <c r="K51" s="468"/>
    </row>
    <row r="52" spans="1:11" ht="12.75" customHeight="1" x14ac:dyDescent="0.2">
      <c r="A52" s="1515" t="s">
        <v>1168</v>
      </c>
      <c r="B52" s="555">
        <v>1432</v>
      </c>
      <c r="C52" s="468"/>
      <c r="D52" s="468"/>
      <c r="E52" s="468"/>
      <c r="F52" s="466">
        <v>0</v>
      </c>
      <c r="G52" s="468"/>
      <c r="H52" s="468"/>
      <c r="I52" s="468"/>
      <c r="J52" s="468"/>
      <c r="K52" s="468"/>
    </row>
    <row r="53" spans="1:11" ht="12.75" customHeight="1" x14ac:dyDescent="0.2">
      <c r="A53" s="1515" t="s">
        <v>63</v>
      </c>
      <c r="B53" s="555">
        <v>1433</v>
      </c>
      <c r="C53" s="468"/>
      <c r="D53" s="468"/>
      <c r="E53" s="468"/>
      <c r="F53" s="466">
        <v>0</v>
      </c>
      <c r="G53" s="468"/>
      <c r="H53" s="468"/>
      <c r="I53" s="468"/>
      <c r="J53" s="468"/>
      <c r="K53" s="468"/>
    </row>
    <row r="54" spans="1:11" ht="12.75" customHeight="1" x14ac:dyDescent="0.2">
      <c r="A54" s="1515" t="s">
        <v>64</v>
      </c>
      <c r="B54" s="555">
        <v>1434</v>
      </c>
      <c r="C54" s="468"/>
      <c r="D54" s="468"/>
      <c r="E54" s="468"/>
      <c r="F54" s="467">
        <v>0</v>
      </c>
      <c r="G54" s="468"/>
      <c r="H54" s="468"/>
      <c r="I54" s="468"/>
      <c r="J54" s="468"/>
      <c r="K54" s="468"/>
    </row>
    <row r="55" spans="1:11" ht="12.75" customHeight="1" x14ac:dyDescent="0.2">
      <c r="A55" s="1515" t="s">
        <v>65</v>
      </c>
      <c r="B55" s="555">
        <v>1441</v>
      </c>
      <c r="C55" s="468"/>
      <c r="D55" s="468"/>
      <c r="E55" s="468"/>
      <c r="F55" s="466">
        <v>0</v>
      </c>
      <c r="G55" s="468"/>
      <c r="H55" s="468"/>
      <c r="I55" s="468"/>
      <c r="J55" s="468"/>
      <c r="K55" s="468"/>
    </row>
    <row r="56" spans="1:11" ht="12.75" customHeight="1" x14ac:dyDescent="0.2">
      <c r="A56" s="1515" t="s">
        <v>1169</v>
      </c>
      <c r="B56" s="555">
        <v>1442</v>
      </c>
      <c r="C56" s="468"/>
      <c r="D56" s="468"/>
      <c r="E56" s="468"/>
      <c r="F56" s="466">
        <v>0</v>
      </c>
      <c r="G56" s="468"/>
      <c r="H56" s="468"/>
      <c r="I56" s="468"/>
      <c r="J56" s="468"/>
      <c r="K56" s="468"/>
    </row>
    <row r="57" spans="1:11" ht="12.75" customHeight="1" x14ac:dyDescent="0.2">
      <c r="A57" s="1515" t="s">
        <v>510</v>
      </c>
      <c r="B57" s="555">
        <v>1443</v>
      </c>
      <c r="C57" s="468"/>
      <c r="D57" s="468"/>
      <c r="E57" s="468"/>
      <c r="F57" s="466">
        <v>0</v>
      </c>
      <c r="G57" s="468"/>
      <c r="H57" s="468"/>
      <c r="I57" s="468"/>
      <c r="J57" s="468"/>
      <c r="K57" s="468"/>
    </row>
    <row r="58" spans="1:11" ht="12.75" customHeight="1" x14ac:dyDescent="0.2">
      <c r="A58" s="1515" t="s">
        <v>67</v>
      </c>
      <c r="B58" s="555">
        <v>1444</v>
      </c>
      <c r="C58" s="468"/>
      <c r="D58" s="468"/>
      <c r="E58" s="468"/>
      <c r="F58" s="466">
        <v>0</v>
      </c>
      <c r="G58" s="468"/>
      <c r="H58" s="468"/>
      <c r="I58" s="468"/>
      <c r="J58" s="468"/>
      <c r="K58" s="468"/>
    </row>
    <row r="59" spans="1:11" ht="12.75" customHeight="1" x14ac:dyDescent="0.2">
      <c r="A59" s="1515" t="s">
        <v>933</v>
      </c>
      <c r="B59" s="555">
        <v>1451</v>
      </c>
      <c r="C59" s="468"/>
      <c r="D59" s="468"/>
      <c r="E59" s="468"/>
      <c r="F59" s="466">
        <v>0</v>
      </c>
      <c r="G59" s="468"/>
      <c r="H59" s="468"/>
      <c r="I59" s="468"/>
      <c r="J59" s="468"/>
      <c r="K59" s="468"/>
    </row>
    <row r="60" spans="1:11" ht="12.75" customHeight="1" x14ac:dyDescent="0.2">
      <c r="A60" s="1515"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6"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1" t="s">
        <v>474</v>
      </c>
      <c r="B64" s="1612">
        <v>1500</v>
      </c>
      <c r="C64" s="468"/>
      <c r="D64" s="468"/>
      <c r="E64" s="468"/>
      <c r="F64" s="468"/>
      <c r="G64" s="468"/>
      <c r="H64" s="468"/>
      <c r="I64" s="468"/>
      <c r="J64" s="468"/>
      <c r="K64" s="468"/>
    </row>
    <row r="65" spans="1:11" ht="12.75" customHeight="1" x14ac:dyDescent="0.2">
      <c r="A65" s="463" t="s">
        <v>568</v>
      </c>
      <c r="B65" s="470">
        <v>1510</v>
      </c>
      <c r="C65" s="466">
        <v>64030</v>
      </c>
      <c r="D65" s="466">
        <v>7940</v>
      </c>
      <c r="E65" s="466">
        <v>6333</v>
      </c>
      <c r="F65" s="467">
        <v>4123</v>
      </c>
      <c r="G65" s="466">
        <v>5036</v>
      </c>
      <c r="H65" s="466">
        <v>0</v>
      </c>
      <c r="I65" s="466">
        <v>109292</v>
      </c>
      <c r="J65" s="467">
        <v>0</v>
      </c>
      <c r="K65" s="466">
        <v>3017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64030</v>
      </c>
      <c r="D67" s="1707">
        <f t="shared" ref="D67:K67" si="2">SUM(D65:D66)</f>
        <v>7940</v>
      </c>
      <c r="E67" s="1707">
        <f t="shared" si="2"/>
        <v>6333</v>
      </c>
      <c r="F67" s="1707">
        <f t="shared" si="2"/>
        <v>4123</v>
      </c>
      <c r="G67" s="1707">
        <f t="shared" si="2"/>
        <v>5036</v>
      </c>
      <c r="H67" s="1707">
        <f t="shared" si="2"/>
        <v>0</v>
      </c>
      <c r="I67" s="1707">
        <f t="shared" si="2"/>
        <v>109292</v>
      </c>
      <c r="J67" s="1707">
        <f t="shared" si="2"/>
        <v>0</v>
      </c>
      <c r="K67" s="1707">
        <f t="shared" si="2"/>
        <v>3017</v>
      </c>
    </row>
    <row r="68" spans="1:11" ht="15.75" customHeight="1" thickTop="1" x14ac:dyDescent="0.2">
      <c r="A68" s="1611" t="s">
        <v>475</v>
      </c>
      <c r="B68" s="1613">
        <v>1600</v>
      </c>
      <c r="C68" s="551"/>
      <c r="D68" s="468"/>
      <c r="E68" s="468"/>
      <c r="F68" s="468"/>
      <c r="G68" s="468"/>
      <c r="H68" s="468"/>
      <c r="I68" s="468"/>
      <c r="J68" s="468"/>
      <c r="K68" s="468"/>
    </row>
    <row r="69" spans="1:11" ht="12.75" customHeight="1" x14ac:dyDescent="0.2">
      <c r="A69" s="463" t="s">
        <v>687</v>
      </c>
      <c r="B69" s="470">
        <v>1611</v>
      </c>
      <c r="C69" s="466">
        <v>16043</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0</v>
      </c>
      <c r="D72" s="468"/>
      <c r="E72" s="468"/>
      <c r="F72" s="468"/>
      <c r="G72" s="468"/>
      <c r="H72" s="468"/>
      <c r="I72" s="468"/>
      <c r="J72" s="468"/>
      <c r="K72" s="468"/>
    </row>
    <row r="73" spans="1:11" ht="12.75" customHeight="1" x14ac:dyDescent="0.2">
      <c r="A73" s="463" t="s">
        <v>1055</v>
      </c>
      <c r="B73" s="470">
        <v>1620</v>
      </c>
      <c r="C73" s="549">
        <v>1258</v>
      </c>
      <c r="D73" s="468"/>
      <c r="E73" s="468"/>
      <c r="F73" s="468"/>
      <c r="G73" s="468"/>
      <c r="H73" s="468"/>
      <c r="I73" s="468"/>
      <c r="J73" s="468"/>
      <c r="K73" s="468"/>
    </row>
    <row r="74" spans="1:11" ht="12.75" customHeight="1" x14ac:dyDescent="0.2">
      <c r="A74" s="463" t="s">
        <v>25</v>
      </c>
      <c r="B74" s="470">
        <v>1690</v>
      </c>
      <c r="C74" s="549">
        <v>31846</v>
      </c>
      <c r="D74" s="468"/>
      <c r="E74" s="468"/>
      <c r="F74" s="468"/>
      <c r="G74" s="468"/>
      <c r="H74" s="468"/>
      <c r="I74" s="468"/>
      <c r="J74" s="468"/>
      <c r="K74" s="468"/>
    </row>
    <row r="75" spans="1:11" ht="12.75" customHeight="1" thickBot="1" x14ac:dyDescent="0.25">
      <c r="A75" s="1727" t="s">
        <v>569</v>
      </c>
      <c r="B75" s="1728"/>
      <c r="C75" s="1707">
        <f>SUM(C69:C74)</f>
        <v>49147</v>
      </c>
      <c r="D75" s="468"/>
      <c r="E75" s="468"/>
      <c r="F75" s="468"/>
      <c r="G75" s="468"/>
      <c r="H75" s="468"/>
      <c r="I75" s="468"/>
      <c r="J75" s="468"/>
      <c r="K75" s="468"/>
    </row>
    <row r="76" spans="1:11" ht="15.75" customHeight="1" thickTop="1" x14ac:dyDescent="0.2">
      <c r="A76" s="1611" t="s">
        <v>936</v>
      </c>
      <c r="B76" s="1613">
        <v>1700</v>
      </c>
      <c r="C76" s="551"/>
      <c r="D76" s="468"/>
      <c r="E76" s="468"/>
      <c r="F76" s="468"/>
      <c r="G76" s="468"/>
      <c r="H76" s="468"/>
      <c r="I76" s="468"/>
      <c r="J76" s="468"/>
      <c r="K76" s="468"/>
    </row>
    <row r="77" spans="1:11" ht="12.75" customHeight="1" x14ac:dyDescent="0.2">
      <c r="A77" s="463" t="s">
        <v>570</v>
      </c>
      <c r="B77" s="470">
        <v>1711</v>
      </c>
      <c r="C77" s="514">
        <v>1262</v>
      </c>
      <c r="D77" s="466">
        <v>0</v>
      </c>
      <c r="E77" s="468"/>
      <c r="F77" s="468"/>
      <c r="G77" s="468"/>
      <c r="H77" s="468"/>
      <c r="I77" s="468"/>
      <c r="J77" s="468"/>
      <c r="K77" s="468"/>
    </row>
    <row r="78" spans="1:11" ht="12.75" customHeight="1" x14ac:dyDescent="0.2">
      <c r="A78" s="463" t="s">
        <v>78</v>
      </c>
      <c r="B78" s="470">
        <v>1719</v>
      </c>
      <c r="C78" s="549">
        <v>0</v>
      </c>
      <c r="D78" s="466">
        <v>0</v>
      </c>
      <c r="E78" s="468"/>
      <c r="F78" s="468"/>
      <c r="G78" s="468"/>
      <c r="H78" s="468"/>
      <c r="I78" s="468"/>
      <c r="J78" s="468"/>
      <c r="K78" s="468"/>
    </row>
    <row r="79" spans="1:11" ht="12.75" customHeight="1" x14ac:dyDescent="0.2">
      <c r="A79" s="463" t="s">
        <v>571</v>
      </c>
      <c r="B79" s="470">
        <v>1720</v>
      </c>
      <c r="C79" s="549">
        <v>86196</v>
      </c>
      <c r="D79" s="466">
        <v>0</v>
      </c>
      <c r="E79" s="468"/>
      <c r="F79" s="468"/>
      <c r="G79" s="468"/>
      <c r="H79" s="468"/>
      <c r="I79" s="468"/>
      <c r="J79" s="468"/>
      <c r="K79" s="468"/>
    </row>
    <row r="80" spans="1:11" ht="12.75" customHeight="1" x14ac:dyDescent="0.2">
      <c r="A80" s="463" t="s">
        <v>572</v>
      </c>
      <c r="B80" s="470">
        <v>1730</v>
      </c>
      <c r="C80" s="549">
        <v>289772</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377230</v>
      </c>
      <c r="D82" s="1707">
        <f>SUM(D77:D81)</f>
        <v>0</v>
      </c>
      <c r="E82" s="468"/>
      <c r="F82" s="468"/>
      <c r="G82" s="468"/>
      <c r="H82" s="468"/>
      <c r="I82" s="468"/>
      <c r="J82" s="468"/>
      <c r="K82" s="468"/>
    </row>
    <row r="83" spans="1:11" ht="15.75" customHeight="1" thickTop="1" x14ac:dyDescent="0.2">
      <c r="A83" s="1611" t="s">
        <v>260</v>
      </c>
      <c r="B83" s="1613">
        <v>1800</v>
      </c>
      <c r="C83" s="551"/>
      <c r="D83" s="468"/>
      <c r="E83" s="468"/>
      <c r="F83" s="468"/>
      <c r="G83" s="468"/>
      <c r="H83" s="468"/>
      <c r="I83" s="468"/>
      <c r="J83" s="468"/>
      <c r="K83" s="468"/>
    </row>
    <row r="84" spans="1:11" ht="12.75" customHeight="1" x14ac:dyDescent="0.2">
      <c r="A84" s="463" t="s">
        <v>573</v>
      </c>
      <c r="B84" s="470">
        <v>1811</v>
      </c>
      <c r="C84" s="466">
        <v>102400</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102400</v>
      </c>
      <c r="D93" s="468"/>
      <c r="E93" s="468"/>
      <c r="F93" s="468"/>
      <c r="G93" s="468"/>
      <c r="H93" s="468"/>
      <c r="I93" s="468"/>
      <c r="J93" s="468"/>
      <c r="K93" s="468"/>
    </row>
    <row r="94" spans="1:11" ht="15.75" customHeight="1" thickTop="1" x14ac:dyDescent="0.2">
      <c r="A94" s="1611" t="s">
        <v>1199</v>
      </c>
      <c r="B94" s="1613">
        <v>1900</v>
      </c>
      <c r="C94" s="551"/>
      <c r="D94" s="519"/>
      <c r="E94" s="468"/>
      <c r="F94" s="468"/>
      <c r="G94" s="468"/>
      <c r="H94" s="468"/>
      <c r="I94" s="468"/>
      <c r="J94" s="468"/>
      <c r="K94" s="468"/>
    </row>
    <row r="95" spans="1:11" ht="12.75" customHeight="1" x14ac:dyDescent="0.2">
      <c r="A95" s="463" t="s">
        <v>1124</v>
      </c>
      <c r="B95" s="470">
        <v>1910</v>
      </c>
      <c r="C95" s="466">
        <v>3686</v>
      </c>
      <c r="D95" s="549">
        <v>49000</v>
      </c>
      <c r="E95" s="519"/>
      <c r="F95" s="519"/>
      <c r="G95" s="519"/>
      <c r="H95" s="519"/>
      <c r="I95" s="519"/>
      <c r="J95" s="519"/>
      <c r="K95" s="519"/>
    </row>
    <row r="96" spans="1:11" ht="12.75" customHeight="1" x14ac:dyDescent="0.2">
      <c r="A96" s="463" t="s">
        <v>409</v>
      </c>
      <c r="B96" s="470">
        <v>1920</v>
      </c>
      <c r="C96" s="549">
        <v>6661</v>
      </c>
      <c r="D96" s="549">
        <v>0</v>
      </c>
      <c r="E96" s="478">
        <v>0</v>
      </c>
      <c r="F96" s="477">
        <v>200</v>
      </c>
      <c r="G96" s="477">
        <v>0</v>
      </c>
      <c r="H96" s="477">
        <v>0</v>
      </c>
      <c r="I96" s="477">
        <v>0</v>
      </c>
      <c r="J96" s="477">
        <v>0</v>
      </c>
      <c r="K96" s="477">
        <v>0</v>
      </c>
    </row>
    <row r="97" spans="1:12" ht="12.75" customHeight="1" x14ac:dyDescent="0.2">
      <c r="A97" s="1514"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25265</v>
      </c>
      <c r="D98" s="466">
        <v>0</v>
      </c>
      <c r="E98" s="510"/>
      <c r="F98" s="466">
        <v>10908</v>
      </c>
      <c r="G98" s="510"/>
      <c r="H98" s="510"/>
      <c r="I98" s="508"/>
      <c r="J98" s="510"/>
      <c r="K98" s="510"/>
    </row>
    <row r="99" spans="1:12" ht="12.75" customHeight="1" x14ac:dyDescent="0.2">
      <c r="A99" s="463" t="s">
        <v>875</v>
      </c>
      <c r="B99" s="470">
        <v>1950</v>
      </c>
      <c r="C99" s="487">
        <v>248411</v>
      </c>
      <c r="D99" s="466">
        <v>0</v>
      </c>
      <c r="E99" s="466">
        <v>0</v>
      </c>
      <c r="F99" s="466">
        <v>0</v>
      </c>
      <c r="G99" s="466">
        <v>0</v>
      </c>
      <c r="H99" s="466">
        <v>0</v>
      </c>
      <c r="I99" s="468"/>
      <c r="J99" s="467">
        <v>0</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0</v>
      </c>
      <c r="I103" s="468"/>
      <c r="J103" s="508"/>
      <c r="K103" s="508"/>
    </row>
    <row r="104" spans="1:12" ht="12.75" customHeight="1" x14ac:dyDescent="0.2">
      <c r="A104" s="463" t="s">
        <v>885</v>
      </c>
      <c r="B104" s="470">
        <v>1991</v>
      </c>
      <c r="C104" s="487">
        <v>25000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93</v>
      </c>
      <c r="D107" s="466">
        <v>0</v>
      </c>
      <c r="E107" s="466">
        <v>0</v>
      </c>
      <c r="F107" s="466">
        <v>0</v>
      </c>
      <c r="G107" s="466">
        <v>0</v>
      </c>
      <c r="H107" s="466">
        <v>0</v>
      </c>
      <c r="I107" s="466">
        <v>0</v>
      </c>
      <c r="J107" s="467">
        <v>0</v>
      </c>
      <c r="K107" s="466">
        <v>0</v>
      </c>
    </row>
    <row r="108" spans="1:12" ht="12.75" customHeight="1" thickBot="1" x14ac:dyDescent="0.25">
      <c r="A108" s="1727" t="s">
        <v>508</v>
      </c>
      <c r="B108" s="1731"/>
      <c r="C108" s="1726">
        <f>SUM(C95:C107)</f>
        <v>309116</v>
      </c>
      <c r="D108" s="1726">
        <f t="shared" ref="D108:K108" si="3">SUM(D95:D107)</f>
        <v>49000</v>
      </c>
      <c r="E108" s="1726">
        <f t="shared" si="3"/>
        <v>0</v>
      </c>
      <c r="F108" s="1726">
        <f t="shared" si="3"/>
        <v>11108</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15183167</v>
      </c>
      <c r="D109" s="1734">
        <f t="shared" si="4"/>
        <v>1826091</v>
      </c>
      <c r="E109" s="1734">
        <f t="shared" si="4"/>
        <v>424858</v>
      </c>
      <c r="F109" s="1734">
        <f t="shared" si="4"/>
        <v>984474</v>
      </c>
      <c r="G109" s="1734">
        <f t="shared" si="4"/>
        <v>758460</v>
      </c>
      <c r="H109" s="1734">
        <f t="shared" si="4"/>
        <v>0</v>
      </c>
      <c r="I109" s="1734">
        <f t="shared" si="4"/>
        <v>340572</v>
      </c>
      <c r="J109" s="1734">
        <f t="shared" si="4"/>
        <v>0</v>
      </c>
      <c r="K109" s="1721">
        <f t="shared" si="4"/>
        <v>290914</v>
      </c>
    </row>
    <row r="110" spans="1:12" ht="30" customHeight="1" thickTop="1" x14ac:dyDescent="0.2">
      <c r="A110" s="1604" t="s">
        <v>364</v>
      </c>
      <c r="B110" s="1605"/>
      <c r="C110" s="1590"/>
      <c r="D110" s="1590"/>
      <c r="E110" s="1590"/>
      <c r="F110" s="1590"/>
      <c r="G110" s="1590"/>
      <c r="H110" s="1590"/>
      <c r="I110" s="1590"/>
      <c r="J110" s="1590"/>
      <c r="K110" s="1591"/>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6" t="s">
        <v>836</v>
      </c>
      <c r="B115" s="1607"/>
      <c r="C115" s="1589"/>
      <c r="D115" s="1590"/>
      <c r="E115" s="1590"/>
      <c r="F115" s="1590"/>
      <c r="G115" s="1590"/>
      <c r="H115" s="1590"/>
      <c r="I115" s="1590"/>
      <c r="J115" s="1590"/>
      <c r="K115" s="1591"/>
    </row>
    <row r="116" spans="1:11" ht="18" customHeight="1" x14ac:dyDescent="0.2">
      <c r="A116" s="1614" t="s">
        <v>1571</v>
      </c>
      <c r="B116" s="1615"/>
      <c r="C116" s="520"/>
      <c r="D116" s="519"/>
      <c r="E116" s="559"/>
      <c r="F116" s="519"/>
      <c r="G116" s="519"/>
      <c r="H116" s="559"/>
      <c r="I116" s="468"/>
      <c r="J116" s="519"/>
      <c r="K116" s="519"/>
    </row>
    <row r="117" spans="1:11" ht="12.75" customHeight="1" x14ac:dyDescent="0.2">
      <c r="A117" s="463" t="s">
        <v>1764</v>
      </c>
      <c r="B117" s="560">
        <v>3001</v>
      </c>
      <c r="C117" s="514">
        <v>9479858</v>
      </c>
      <c r="D117" s="480">
        <v>785987</v>
      </c>
      <c r="E117" s="466">
        <v>0</v>
      </c>
      <c r="F117" s="480">
        <v>0</v>
      </c>
      <c r="G117" s="480">
        <v>0</v>
      </c>
      <c r="H117" s="466">
        <v>0</v>
      </c>
      <c r="I117" s="468"/>
      <c r="J117" s="467">
        <v>0</v>
      </c>
      <c r="K117" s="466">
        <v>0</v>
      </c>
    </row>
    <row r="118" spans="1:11" ht="12.75" customHeight="1" x14ac:dyDescent="0.2">
      <c r="A118" s="463" t="s">
        <v>1896</v>
      </c>
      <c r="B118" s="560">
        <v>3002</v>
      </c>
      <c r="C118" s="549">
        <v>0</v>
      </c>
      <c r="D118" s="466">
        <v>0</v>
      </c>
      <c r="E118" s="466">
        <v>0</v>
      </c>
      <c r="F118" s="466">
        <v>0</v>
      </c>
      <c r="G118" s="466">
        <v>0</v>
      </c>
      <c r="H118" s="466">
        <v>0</v>
      </c>
      <c r="I118" s="468"/>
      <c r="J118" s="467">
        <v>0</v>
      </c>
      <c r="K118" s="466">
        <v>0</v>
      </c>
    </row>
    <row r="119" spans="1:11" ht="12.75" customHeight="1" x14ac:dyDescent="0.2">
      <c r="A119" s="463" t="s">
        <v>1897</v>
      </c>
      <c r="B119" s="560">
        <v>3005</v>
      </c>
      <c r="C119" s="549">
        <v>0</v>
      </c>
      <c r="D119" s="466">
        <v>0</v>
      </c>
      <c r="E119" s="466">
        <v>0</v>
      </c>
      <c r="F119" s="466">
        <v>0</v>
      </c>
      <c r="G119" s="466">
        <v>0</v>
      </c>
      <c r="H119" s="466">
        <v>0</v>
      </c>
      <c r="I119" s="468"/>
      <c r="J119" s="467">
        <v>0</v>
      </c>
      <c r="K119" s="466">
        <v>0</v>
      </c>
    </row>
    <row r="120" spans="1:11" x14ac:dyDescent="0.2">
      <c r="A120" s="1515" t="s">
        <v>1898</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9479858</v>
      </c>
      <c r="D121" s="1726">
        <f t="shared" si="5"/>
        <v>785987</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1" t="s">
        <v>1570</v>
      </c>
      <c r="B122" s="1616"/>
      <c r="C122" s="563"/>
      <c r="D122" s="507"/>
      <c r="E122" s="468"/>
      <c r="F122" s="564"/>
      <c r="G122" s="468"/>
      <c r="H122" s="468"/>
      <c r="I122" s="468"/>
      <c r="J122" s="468"/>
      <c r="K122" s="468"/>
    </row>
    <row r="123" spans="1:11" ht="15" customHeight="1" x14ac:dyDescent="0.2">
      <c r="A123" s="1617" t="s">
        <v>688</v>
      </c>
      <c r="B123" s="1618"/>
      <c r="C123" s="519"/>
      <c r="D123" s="507"/>
      <c r="E123" s="468"/>
      <c r="F123" s="519"/>
      <c r="G123" s="468"/>
      <c r="H123" s="468"/>
      <c r="I123" s="468"/>
      <c r="J123" s="468"/>
      <c r="K123" s="468"/>
    </row>
    <row r="124" spans="1:11" ht="12.75" customHeight="1" x14ac:dyDescent="0.2">
      <c r="A124" s="463" t="s">
        <v>921</v>
      </c>
      <c r="B124" s="565">
        <v>3100</v>
      </c>
      <c r="C124" s="480">
        <v>310988</v>
      </c>
      <c r="D124" s="559"/>
      <c r="E124" s="468"/>
      <c r="F124" s="546">
        <v>0</v>
      </c>
      <c r="G124" s="468"/>
      <c r="H124" s="468"/>
      <c r="I124" s="468"/>
      <c r="J124" s="468"/>
      <c r="K124" s="468"/>
    </row>
    <row r="125" spans="1:11" ht="12.75" customHeight="1" x14ac:dyDescent="0.2">
      <c r="A125" s="463" t="s">
        <v>1521</v>
      </c>
      <c r="B125" s="560">
        <v>3105</v>
      </c>
      <c r="C125" s="466">
        <v>244226</v>
      </c>
      <c r="D125" s="559"/>
      <c r="E125" s="468"/>
      <c r="F125" s="466">
        <v>0</v>
      </c>
      <c r="G125" s="468"/>
      <c r="H125" s="468"/>
      <c r="I125" s="468"/>
      <c r="J125" s="468"/>
      <c r="K125" s="468"/>
    </row>
    <row r="126" spans="1:11" ht="12.75" customHeight="1" x14ac:dyDescent="0.2">
      <c r="A126" s="463" t="s">
        <v>922</v>
      </c>
      <c r="B126" s="560">
        <v>3110</v>
      </c>
      <c r="C126" s="549">
        <v>368260</v>
      </c>
      <c r="D126" s="466">
        <v>0</v>
      </c>
      <c r="E126" s="468"/>
      <c r="F126" s="466">
        <v>0</v>
      </c>
      <c r="G126" s="468"/>
      <c r="H126" s="468"/>
      <c r="I126" s="468"/>
      <c r="J126" s="468"/>
      <c r="K126" s="468"/>
    </row>
    <row r="127" spans="1:11" ht="12.75" customHeight="1" x14ac:dyDescent="0.2">
      <c r="A127" s="463" t="s">
        <v>107</v>
      </c>
      <c r="B127" s="560">
        <v>3120</v>
      </c>
      <c r="C127" s="466">
        <v>78271</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1807</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1003552</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19" t="s">
        <v>268</v>
      </c>
      <c r="B132" s="1620"/>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0</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0</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19" t="s">
        <v>691</v>
      </c>
      <c r="B141" s="1620"/>
      <c r="C141" s="551"/>
      <c r="D141" s="564"/>
      <c r="E141" s="559"/>
      <c r="F141" s="551"/>
      <c r="G141" s="551"/>
      <c r="H141" s="468"/>
      <c r="I141" s="468"/>
      <c r="J141" s="468"/>
      <c r="K141" s="468"/>
    </row>
    <row r="142" spans="1:11" ht="12.75" customHeight="1" x14ac:dyDescent="0.2">
      <c r="A142" s="463" t="s">
        <v>625</v>
      </c>
      <c r="B142" s="560">
        <v>3305</v>
      </c>
      <c r="C142" s="466">
        <v>0</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0</v>
      </c>
      <c r="D144" s="468"/>
      <c r="E144" s="507"/>
      <c r="F144" s="468"/>
      <c r="G144" s="1740">
        <f>SUM(G142:G143)</f>
        <v>0</v>
      </c>
      <c r="H144" s="468"/>
      <c r="I144" s="468"/>
      <c r="J144" s="468"/>
      <c r="K144" s="468"/>
    </row>
    <row r="145" spans="1:11" s="202" customFormat="1" ht="12.75" customHeight="1" thickTop="1" x14ac:dyDescent="0.2">
      <c r="A145" s="1517" t="s">
        <v>1116</v>
      </c>
      <c r="B145" s="566">
        <v>3360</v>
      </c>
      <c r="C145" s="567">
        <v>22941</v>
      </c>
      <c r="D145" s="568"/>
      <c r="E145" s="507"/>
      <c r="F145" s="468"/>
      <c r="G145" s="569"/>
      <c r="H145" s="468"/>
      <c r="I145" s="468"/>
      <c r="J145" s="468"/>
      <c r="K145" s="468"/>
    </row>
    <row r="146" spans="1:11" ht="12.75" customHeight="1" thickBot="1" x14ac:dyDescent="0.25">
      <c r="A146" s="1518" t="s">
        <v>979</v>
      </c>
      <c r="B146" s="570">
        <v>3365</v>
      </c>
      <c r="C146" s="571">
        <v>0</v>
      </c>
      <c r="D146" s="530">
        <v>0</v>
      </c>
      <c r="E146" s="559"/>
      <c r="F146" s="468"/>
      <c r="G146" s="530">
        <v>0</v>
      </c>
      <c r="H146" s="468"/>
      <c r="I146" s="468"/>
      <c r="J146" s="468"/>
      <c r="K146" s="468"/>
    </row>
    <row r="147" spans="1:11" ht="12.75" customHeight="1" thickTop="1" thickBot="1" x14ac:dyDescent="0.25">
      <c r="A147" s="1519" t="s">
        <v>140</v>
      </c>
      <c r="B147" s="572">
        <v>3370</v>
      </c>
      <c r="C147" s="571">
        <v>0</v>
      </c>
      <c r="D147" s="571">
        <v>0</v>
      </c>
      <c r="E147" s="507"/>
      <c r="F147" s="468"/>
      <c r="G147" s="468"/>
      <c r="H147" s="468"/>
      <c r="I147" s="468"/>
      <c r="J147" s="468"/>
      <c r="K147" s="468"/>
    </row>
    <row r="148" spans="1:11" ht="12.75" customHeight="1" thickTop="1" thickBot="1" x14ac:dyDescent="0.25">
      <c r="A148" s="1519"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19" t="s">
        <v>70</v>
      </c>
      <c r="B149" s="572">
        <v>3499</v>
      </c>
      <c r="C149" s="573">
        <v>0</v>
      </c>
      <c r="D149" s="574">
        <v>0</v>
      </c>
      <c r="E149" s="530">
        <v>0</v>
      </c>
      <c r="F149" s="530">
        <v>0</v>
      </c>
      <c r="G149" s="530">
        <v>0</v>
      </c>
      <c r="H149" s="530">
        <v>0</v>
      </c>
      <c r="I149" s="530"/>
      <c r="J149" s="530">
        <v>0</v>
      </c>
      <c r="K149" s="530">
        <v>0</v>
      </c>
    </row>
    <row r="150" spans="1:11" ht="15.75" customHeight="1" thickTop="1" x14ac:dyDescent="0.2">
      <c r="A150" s="1619" t="s">
        <v>473</v>
      </c>
      <c r="B150" s="1621"/>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1012127</v>
      </c>
      <c r="G151" s="467">
        <v>0</v>
      </c>
      <c r="H151" s="468"/>
      <c r="I151" s="468"/>
      <c r="J151" s="468"/>
      <c r="K151" s="468"/>
    </row>
    <row r="152" spans="1:11" ht="12.75" customHeight="1" x14ac:dyDescent="0.2">
      <c r="A152" s="463" t="s">
        <v>1117</v>
      </c>
      <c r="B152" s="560">
        <v>3510</v>
      </c>
      <c r="C152" s="549">
        <v>0</v>
      </c>
      <c r="D152" s="466">
        <v>0</v>
      </c>
      <c r="E152" s="559"/>
      <c r="F152" s="466">
        <v>868831</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1880958</v>
      </c>
      <c r="G154" s="1726">
        <f>SUM(G151:G153)</f>
        <v>0</v>
      </c>
      <c r="H154" s="468"/>
      <c r="I154" s="468"/>
      <c r="J154" s="468"/>
      <c r="K154" s="468"/>
    </row>
    <row r="155" spans="1:11" ht="12.75" customHeight="1" thickTop="1" thickBot="1" x14ac:dyDescent="0.25">
      <c r="A155" s="1519" t="s">
        <v>398</v>
      </c>
      <c r="B155" s="572">
        <v>3610</v>
      </c>
      <c r="C155" s="574">
        <v>0</v>
      </c>
      <c r="D155" s="468"/>
      <c r="E155" s="507"/>
      <c r="F155" s="468"/>
      <c r="G155" s="468"/>
      <c r="H155" s="468"/>
      <c r="I155" s="468"/>
      <c r="J155" s="468"/>
      <c r="K155" s="468"/>
    </row>
    <row r="156" spans="1:11" ht="12.75" customHeight="1" thickTop="1" thickBot="1" x14ac:dyDescent="0.25">
      <c r="A156" s="1519" t="s">
        <v>52</v>
      </c>
      <c r="B156" s="572">
        <v>3660</v>
      </c>
      <c r="C156" s="571">
        <v>0</v>
      </c>
      <c r="D156" s="576">
        <v>0</v>
      </c>
      <c r="E156" s="559"/>
      <c r="F156" s="576">
        <v>0</v>
      </c>
      <c r="G156" s="576">
        <v>0</v>
      </c>
      <c r="H156" s="468"/>
      <c r="I156" s="468"/>
      <c r="J156" s="468"/>
      <c r="K156" s="468"/>
    </row>
    <row r="157" spans="1:11" ht="12.75" customHeight="1" thickTop="1" thickBot="1" x14ac:dyDescent="0.25">
      <c r="A157" s="1519" t="s">
        <v>1057</v>
      </c>
      <c r="B157" s="572">
        <v>3695</v>
      </c>
      <c r="C157" s="574">
        <v>0</v>
      </c>
      <c r="D157" s="468"/>
      <c r="E157" s="559"/>
      <c r="F157" s="574">
        <v>0</v>
      </c>
      <c r="G157" s="574">
        <v>0</v>
      </c>
      <c r="H157" s="468"/>
      <c r="I157" s="468"/>
      <c r="J157" s="468"/>
      <c r="K157" s="468"/>
    </row>
    <row r="158" spans="1:11" ht="12.75" customHeight="1" thickTop="1" thickBot="1" x14ac:dyDescent="0.25">
      <c r="A158" s="1519" t="s">
        <v>1111</v>
      </c>
      <c r="B158" s="572">
        <v>3705</v>
      </c>
      <c r="C158" s="574">
        <v>792350</v>
      </c>
      <c r="D158" s="576">
        <v>0</v>
      </c>
      <c r="E158" s="559"/>
      <c r="F158" s="574">
        <v>172644</v>
      </c>
      <c r="G158" s="574">
        <v>32162</v>
      </c>
      <c r="H158" s="468"/>
      <c r="I158" s="468"/>
      <c r="J158" s="468"/>
      <c r="K158" s="468"/>
    </row>
    <row r="159" spans="1:11" ht="12.75" customHeight="1" thickTop="1" thickBot="1" x14ac:dyDescent="0.25">
      <c r="A159" s="1519" t="s">
        <v>39</v>
      </c>
      <c r="B159" s="572">
        <v>3715</v>
      </c>
      <c r="C159" s="574">
        <v>0</v>
      </c>
      <c r="D159" s="468"/>
      <c r="E159" s="559"/>
      <c r="F159" s="574">
        <v>0</v>
      </c>
      <c r="G159" s="574">
        <v>0</v>
      </c>
      <c r="H159" s="468"/>
      <c r="I159" s="468"/>
      <c r="J159" s="468"/>
      <c r="K159" s="468"/>
    </row>
    <row r="160" spans="1:11" ht="12.75" customHeight="1" thickTop="1" thickBot="1" x14ac:dyDescent="0.25">
      <c r="A160" s="1519" t="s">
        <v>40</v>
      </c>
      <c r="B160" s="572">
        <v>3720</v>
      </c>
      <c r="C160" s="574">
        <v>0</v>
      </c>
      <c r="D160" s="468"/>
      <c r="E160" s="559"/>
      <c r="F160" s="574">
        <v>0</v>
      </c>
      <c r="G160" s="574">
        <v>0</v>
      </c>
      <c r="H160" s="468"/>
      <c r="I160" s="468"/>
      <c r="J160" s="468"/>
      <c r="K160" s="468"/>
    </row>
    <row r="161" spans="1:11" ht="12.75" customHeight="1" thickTop="1" thickBot="1" x14ac:dyDescent="0.25">
      <c r="A161" s="1519" t="s">
        <v>415</v>
      </c>
      <c r="B161" s="572">
        <v>3725</v>
      </c>
      <c r="C161" s="529">
        <v>0</v>
      </c>
      <c r="D161" s="468"/>
      <c r="E161" s="559"/>
      <c r="F161" s="529">
        <v>0</v>
      </c>
      <c r="G161" s="529">
        <v>0</v>
      </c>
      <c r="H161" s="468"/>
      <c r="I161" s="468"/>
      <c r="J161" s="468"/>
      <c r="K161" s="468"/>
    </row>
    <row r="162" spans="1:11" ht="12.75" customHeight="1" thickTop="1" thickBot="1" x14ac:dyDescent="0.25">
      <c r="A162" s="1519" t="s">
        <v>416</v>
      </c>
      <c r="B162" s="572">
        <v>3726</v>
      </c>
      <c r="C162" s="529">
        <v>0</v>
      </c>
      <c r="D162" s="468"/>
      <c r="E162" s="559"/>
      <c r="F162" s="529">
        <v>0</v>
      </c>
      <c r="G162" s="529">
        <v>0</v>
      </c>
      <c r="H162" s="468"/>
      <c r="I162" s="468"/>
      <c r="J162" s="468"/>
      <c r="K162" s="468"/>
    </row>
    <row r="163" spans="1:11" ht="12.75" customHeight="1" thickTop="1" thickBot="1" x14ac:dyDescent="0.25">
      <c r="A163" s="1519" t="s">
        <v>41</v>
      </c>
      <c r="B163" s="572">
        <v>3766</v>
      </c>
      <c r="C163" s="574"/>
      <c r="D163" s="576"/>
      <c r="E163" s="559"/>
      <c r="F163" s="574"/>
      <c r="G163" s="529"/>
      <c r="H163" s="468"/>
      <c r="I163" s="468"/>
      <c r="J163" s="468"/>
      <c r="K163" s="468"/>
    </row>
    <row r="164" spans="1:11" ht="12.75" customHeight="1" thickTop="1" thickBot="1" x14ac:dyDescent="0.25">
      <c r="A164" s="1519" t="s">
        <v>1042</v>
      </c>
      <c r="B164" s="572">
        <v>3767</v>
      </c>
      <c r="C164" s="574"/>
      <c r="D164" s="529"/>
      <c r="E164" s="559"/>
      <c r="F164" s="529"/>
      <c r="G164" s="529"/>
      <c r="H164" s="468"/>
      <c r="I164" s="468"/>
      <c r="J164" s="468"/>
      <c r="K164" s="468"/>
    </row>
    <row r="165" spans="1:11" ht="12.75" customHeight="1" thickTop="1" thickBot="1" x14ac:dyDescent="0.25">
      <c r="A165" s="1519"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19"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19" t="s">
        <v>913</v>
      </c>
      <c r="B167" s="572">
        <v>3815</v>
      </c>
      <c r="C167" s="574">
        <v>0</v>
      </c>
      <c r="D167" s="468"/>
      <c r="E167" s="559"/>
      <c r="F167" s="574">
        <v>0</v>
      </c>
      <c r="G167" s="468"/>
      <c r="H167" s="468"/>
      <c r="I167" s="468"/>
      <c r="J167" s="468"/>
      <c r="K167" s="468"/>
    </row>
    <row r="168" spans="1:11" ht="12.75" customHeight="1" thickTop="1" thickBot="1" x14ac:dyDescent="0.25">
      <c r="A168" s="1519" t="s">
        <v>417</v>
      </c>
      <c r="B168" s="572">
        <v>3825</v>
      </c>
      <c r="C168" s="574">
        <v>0</v>
      </c>
      <c r="D168" s="468"/>
      <c r="E168" s="559"/>
      <c r="F168" s="574">
        <v>0</v>
      </c>
      <c r="G168" s="468"/>
      <c r="H168" s="468"/>
      <c r="I168" s="468"/>
      <c r="J168" s="468"/>
      <c r="K168" s="468"/>
    </row>
    <row r="169" spans="1:11" ht="12.75" customHeight="1" thickTop="1" thickBot="1" x14ac:dyDescent="0.25">
      <c r="A169" s="1519" t="s">
        <v>366</v>
      </c>
      <c r="B169" s="572">
        <v>3920</v>
      </c>
      <c r="C169" s="564"/>
      <c r="D169" s="576">
        <v>0</v>
      </c>
      <c r="E169" s="468"/>
      <c r="F169" s="564"/>
      <c r="G169" s="468"/>
      <c r="H169" s="528">
        <v>0</v>
      </c>
      <c r="I169" s="468"/>
      <c r="J169" s="468"/>
      <c r="K169" s="468"/>
    </row>
    <row r="170" spans="1:11" ht="12.75" customHeight="1" thickTop="1" thickBot="1" x14ac:dyDescent="0.25">
      <c r="A170" s="1519" t="s">
        <v>367</v>
      </c>
      <c r="B170" s="572">
        <v>3925</v>
      </c>
      <c r="C170" s="519"/>
      <c r="D170" s="574">
        <v>0</v>
      </c>
      <c r="E170" s="519"/>
      <c r="F170" s="519"/>
      <c r="G170" s="468"/>
      <c r="H170" s="529">
        <v>0</v>
      </c>
      <c r="I170" s="468"/>
      <c r="J170" s="468"/>
      <c r="K170" s="528">
        <v>0</v>
      </c>
    </row>
    <row r="171" spans="1:11" ht="14.25" thickTop="1" thickBot="1" x14ac:dyDescent="0.25">
      <c r="A171" s="1519" t="s">
        <v>72</v>
      </c>
      <c r="B171" s="572">
        <v>3999</v>
      </c>
      <c r="C171" s="577">
        <v>0</v>
      </c>
      <c r="D171" s="578">
        <v>0</v>
      </c>
      <c r="E171" s="578">
        <v>0</v>
      </c>
      <c r="F171" s="578">
        <v>0</v>
      </c>
      <c r="G171" s="579">
        <v>0</v>
      </c>
      <c r="H171" s="580">
        <v>0</v>
      </c>
      <c r="I171" s="579">
        <v>0</v>
      </c>
      <c r="J171" s="579">
        <v>0</v>
      </c>
      <c r="K171" s="580">
        <v>0</v>
      </c>
    </row>
    <row r="172" spans="1:11" ht="12.75" customHeight="1" thickTop="1" thickBot="1" x14ac:dyDescent="0.25">
      <c r="A172" s="2261" t="s">
        <v>418</v>
      </c>
      <c r="B172" s="2262"/>
      <c r="C172" s="1741">
        <f t="shared" ref="C172:K172" si="6">SUM(C131,C140,C144,C145:C149,C154,C155:C170,C171)</f>
        <v>1818843</v>
      </c>
      <c r="D172" s="1741">
        <f t="shared" si="6"/>
        <v>0</v>
      </c>
      <c r="E172" s="1741">
        <f t="shared" si="6"/>
        <v>0</v>
      </c>
      <c r="F172" s="1741">
        <f t="shared" si="6"/>
        <v>2053602</v>
      </c>
      <c r="G172" s="1741">
        <f t="shared" si="6"/>
        <v>32162</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11298701</v>
      </c>
      <c r="D173" s="1734">
        <f>SUM(D121,D172)</f>
        <v>785987</v>
      </c>
      <c r="E173" s="1734">
        <f>SUM(E121,E172)</f>
        <v>0</v>
      </c>
      <c r="F173" s="1734">
        <f t="shared" ref="F173:K173" si="7">SUM(F121,F172)</f>
        <v>2053602</v>
      </c>
      <c r="G173" s="1734">
        <f t="shared" si="7"/>
        <v>32162</v>
      </c>
      <c r="H173" s="1734">
        <f t="shared" si="7"/>
        <v>0</v>
      </c>
      <c r="I173" s="1734">
        <f t="shared" si="7"/>
        <v>0</v>
      </c>
      <c r="J173" s="1734">
        <f t="shared" si="7"/>
        <v>0</v>
      </c>
      <c r="K173" s="1721">
        <f t="shared" si="7"/>
        <v>0</v>
      </c>
    </row>
    <row r="174" spans="1:11" ht="16.7" customHeight="1" thickTop="1" x14ac:dyDescent="0.2">
      <c r="A174" s="1608" t="s">
        <v>837</v>
      </c>
      <c r="B174" s="1586"/>
      <c r="C174" s="1589"/>
      <c r="D174" s="1590"/>
      <c r="E174" s="1590"/>
      <c r="F174" s="1590"/>
      <c r="G174" s="1590"/>
      <c r="H174" s="1590"/>
      <c r="I174" s="1590"/>
      <c r="J174" s="1590"/>
      <c r="K174" s="1591"/>
    </row>
    <row r="175" spans="1:11" ht="15.75" customHeight="1" x14ac:dyDescent="0.2">
      <c r="A175" s="2263" t="s">
        <v>1572</v>
      </c>
      <c r="B175" s="2264"/>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267" t="s">
        <v>1762</v>
      </c>
      <c r="B178" s="2268"/>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71" t="s">
        <v>1761</v>
      </c>
      <c r="B179" s="2272"/>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269" t="s">
        <v>818</v>
      </c>
      <c r="B184" s="2270"/>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265" t="s">
        <v>1900</v>
      </c>
      <c r="B185" s="2266"/>
      <c r="C185" s="582"/>
      <c r="D185" s="564"/>
      <c r="E185" s="507"/>
      <c r="F185" s="564"/>
      <c r="G185" s="564"/>
      <c r="H185" s="468"/>
      <c r="I185" s="468"/>
      <c r="J185" s="468"/>
      <c r="K185" s="468"/>
    </row>
    <row r="186" spans="1:11" ht="15.75" customHeight="1" x14ac:dyDescent="0.2">
      <c r="A186" s="1622" t="s">
        <v>1690</v>
      </c>
      <c r="B186" s="1623"/>
      <c r="C186" s="520"/>
      <c r="D186" s="519"/>
      <c r="E186" s="507"/>
      <c r="F186" s="519"/>
      <c r="G186" s="519"/>
      <c r="H186" s="468"/>
      <c r="I186" s="468"/>
      <c r="J186" s="468"/>
      <c r="K186" s="468"/>
    </row>
    <row r="187" spans="1:11" ht="12.75" customHeight="1" x14ac:dyDescent="0.2">
      <c r="A187" s="463" t="s">
        <v>1691</v>
      </c>
      <c r="B187" s="470">
        <v>4100</v>
      </c>
      <c r="C187" s="514">
        <v>0</v>
      </c>
      <c r="D187" s="480">
        <v>0</v>
      </c>
      <c r="E187" s="559"/>
      <c r="F187" s="480">
        <v>0</v>
      </c>
      <c r="G187" s="480">
        <v>0</v>
      </c>
      <c r="H187" s="468"/>
      <c r="I187" s="468"/>
      <c r="J187" s="468"/>
      <c r="K187" s="468"/>
    </row>
    <row r="188" spans="1:11" ht="12.75" customHeight="1" x14ac:dyDescent="0.2">
      <c r="A188" s="463" t="s">
        <v>1692</v>
      </c>
      <c r="B188" s="470">
        <v>4105</v>
      </c>
      <c r="C188" s="549">
        <v>0</v>
      </c>
      <c r="D188" s="466">
        <v>0</v>
      </c>
      <c r="E188" s="559"/>
      <c r="F188" s="466">
        <v>0</v>
      </c>
      <c r="G188" s="466">
        <v>0</v>
      </c>
      <c r="H188" s="468"/>
      <c r="I188" s="468"/>
      <c r="J188" s="468"/>
      <c r="K188" s="468"/>
    </row>
    <row r="189" spans="1:11" ht="12.75" customHeight="1" x14ac:dyDescent="0.2">
      <c r="A189" s="463" t="s">
        <v>1694</v>
      </c>
      <c r="B189" s="470">
        <v>4107</v>
      </c>
      <c r="C189" s="549">
        <v>0</v>
      </c>
      <c r="D189" s="466">
        <v>0</v>
      </c>
      <c r="E189" s="559"/>
      <c r="F189" s="466">
        <v>0</v>
      </c>
      <c r="G189" s="466">
        <v>0</v>
      </c>
      <c r="H189" s="468"/>
      <c r="I189" s="468"/>
      <c r="J189" s="468"/>
      <c r="K189" s="468"/>
    </row>
    <row r="190" spans="1:11" ht="12.75" customHeight="1" x14ac:dyDescent="0.2">
      <c r="A190" s="463" t="s">
        <v>1693</v>
      </c>
      <c r="B190" s="470">
        <v>4199</v>
      </c>
      <c r="C190" s="549">
        <v>0</v>
      </c>
      <c r="D190" s="466">
        <v>0</v>
      </c>
      <c r="E190" s="559"/>
      <c r="F190" s="466">
        <v>0</v>
      </c>
      <c r="G190" s="466">
        <v>0</v>
      </c>
      <c r="H190" s="468"/>
      <c r="I190" s="468"/>
      <c r="J190" s="468"/>
      <c r="K190" s="468"/>
    </row>
    <row r="191" spans="1:11" ht="12.75" customHeight="1" thickBot="1" x14ac:dyDescent="0.25">
      <c r="A191" s="1727" t="s">
        <v>1695</v>
      </c>
      <c r="B191" s="1728"/>
      <c r="C191" s="1726">
        <f>SUM(C187:C190)</f>
        <v>0</v>
      </c>
      <c r="D191" s="1726">
        <f>SUM(D187:D190)</f>
        <v>0</v>
      </c>
      <c r="E191" s="559"/>
      <c r="F191" s="1726">
        <f>SUM(F187:F190)</f>
        <v>0</v>
      </c>
      <c r="G191" s="1726">
        <f>SUM(G187:G190)</f>
        <v>0</v>
      </c>
      <c r="H191" s="468"/>
      <c r="I191" s="468"/>
      <c r="J191" s="468"/>
      <c r="K191" s="468"/>
    </row>
    <row r="192" spans="1:11" ht="15.75" customHeight="1" thickTop="1" x14ac:dyDescent="0.2">
      <c r="A192" s="1619" t="s">
        <v>475</v>
      </c>
      <c r="B192" s="1624"/>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1318372</v>
      </c>
      <c r="D194" s="468"/>
      <c r="E194" s="559"/>
      <c r="F194" s="468"/>
      <c r="G194" s="583">
        <v>0</v>
      </c>
      <c r="H194" s="468"/>
      <c r="I194" s="468"/>
      <c r="J194" s="468"/>
      <c r="K194" s="468"/>
    </row>
    <row r="195" spans="1:11" ht="12.75" customHeight="1" x14ac:dyDescent="0.2">
      <c r="A195" s="463" t="s">
        <v>1107</v>
      </c>
      <c r="B195" s="470">
        <v>4215</v>
      </c>
      <c r="C195" s="549">
        <v>0</v>
      </c>
      <c r="D195" s="468"/>
      <c r="E195" s="559"/>
      <c r="F195" s="468"/>
      <c r="G195" s="583">
        <v>0</v>
      </c>
      <c r="H195" s="468"/>
      <c r="I195" s="468"/>
      <c r="J195" s="468"/>
      <c r="K195" s="468"/>
    </row>
    <row r="196" spans="1:11" ht="12.75" customHeight="1" x14ac:dyDescent="0.2">
      <c r="A196" s="463" t="s">
        <v>1119</v>
      </c>
      <c r="B196" s="470">
        <v>4220</v>
      </c>
      <c r="C196" s="549">
        <v>431733</v>
      </c>
      <c r="D196" s="468"/>
      <c r="E196" s="559"/>
      <c r="F196" s="468"/>
      <c r="G196" s="583">
        <v>0</v>
      </c>
      <c r="H196" s="468"/>
      <c r="I196" s="468"/>
      <c r="J196" s="468"/>
      <c r="K196" s="468"/>
    </row>
    <row r="197" spans="1:11" ht="12.75" customHeight="1" x14ac:dyDescent="0.2">
      <c r="A197" s="463" t="s">
        <v>1526</v>
      </c>
      <c r="B197" s="470">
        <v>4225</v>
      </c>
      <c r="C197" s="549">
        <v>7480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1757585</v>
      </c>
      <c r="D201" s="468"/>
      <c r="E201" s="468"/>
      <c r="F201" s="468"/>
      <c r="G201" s="1707">
        <f>SUM(G193:G200)</f>
        <v>0</v>
      </c>
      <c r="H201" s="468"/>
      <c r="I201" s="468"/>
      <c r="J201" s="468"/>
      <c r="K201" s="468"/>
    </row>
    <row r="202" spans="1:11" ht="15.75" customHeight="1" thickTop="1" x14ac:dyDescent="0.2">
      <c r="A202" s="1619" t="s">
        <v>1200</v>
      </c>
      <c r="B202" s="1624"/>
      <c r="C202" s="551"/>
      <c r="D202" s="468"/>
      <c r="E202" s="468"/>
      <c r="F202" s="468"/>
      <c r="G202" s="468"/>
      <c r="H202" s="468"/>
      <c r="I202" s="468"/>
      <c r="J202" s="468"/>
      <c r="K202" s="468"/>
    </row>
    <row r="203" spans="1:11" ht="12.75" customHeight="1" x14ac:dyDescent="0.2">
      <c r="A203" s="463" t="s">
        <v>974</v>
      </c>
      <c r="B203" s="470">
        <v>4300</v>
      </c>
      <c r="C203" s="466">
        <v>728238</v>
      </c>
      <c r="D203" s="466">
        <v>0</v>
      </c>
      <c r="E203" s="468"/>
      <c r="F203" s="466">
        <v>0</v>
      </c>
      <c r="G203" s="466">
        <v>18650</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728238</v>
      </c>
      <c r="D211" s="1726">
        <f>SUM(D203:D210)</f>
        <v>0</v>
      </c>
      <c r="E211" s="468"/>
      <c r="F211" s="1726">
        <f>SUM(F203:F210)</f>
        <v>0</v>
      </c>
      <c r="G211" s="1726">
        <f>SUM(G203:G210)</f>
        <v>18650</v>
      </c>
      <c r="H211" s="468"/>
      <c r="I211" s="468"/>
      <c r="J211" s="468"/>
      <c r="K211" s="468"/>
    </row>
    <row r="212" spans="1:11" ht="15.75" customHeight="1" thickTop="1" x14ac:dyDescent="0.2">
      <c r="A212" s="1619" t="s">
        <v>1201</v>
      </c>
      <c r="B212" s="1624"/>
      <c r="C212" s="551"/>
      <c r="D212" s="551"/>
      <c r="E212" s="468"/>
      <c r="F212" s="551"/>
      <c r="G212" s="551"/>
      <c r="H212" s="468"/>
      <c r="I212" s="468"/>
      <c r="J212" s="468"/>
      <c r="K212" s="468"/>
    </row>
    <row r="213" spans="1:11" ht="12.75" customHeight="1" x14ac:dyDescent="0.2">
      <c r="A213" s="463" t="s">
        <v>783</v>
      </c>
      <c r="B213" s="470">
        <v>4400</v>
      </c>
      <c r="C213" s="549">
        <v>0</v>
      </c>
      <c r="D213" s="466">
        <v>0</v>
      </c>
      <c r="E213" s="468"/>
      <c r="F213" s="466">
        <v>0</v>
      </c>
      <c r="G213" s="466">
        <v>0</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0</v>
      </c>
      <c r="D216" s="1726">
        <f>SUM(D213:D215)</f>
        <v>0</v>
      </c>
      <c r="E216" s="468" t="s">
        <v>1231</v>
      </c>
      <c r="F216" s="1726">
        <f>SUM(F213:F215)</f>
        <v>0</v>
      </c>
      <c r="G216" s="1726">
        <f>SUM(G213:G215)</f>
        <v>0</v>
      </c>
      <c r="H216" s="468"/>
      <c r="I216" s="468"/>
      <c r="J216" s="468"/>
      <c r="K216" s="468"/>
    </row>
    <row r="217" spans="1:11" ht="15.75" customHeight="1" thickTop="1" x14ac:dyDescent="0.2">
      <c r="A217" s="1619" t="s">
        <v>1154</v>
      </c>
      <c r="B217" s="1624"/>
      <c r="C217" s="551"/>
      <c r="D217" s="551"/>
      <c r="E217" s="468"/>
      <c r="F217" s="551"/>
      <c r="G217" s="551"/>
      <c r="H217" s="468"/>
      <c r="I217" s="468"/>
      <c r="J217" s="468"/>
      <c r="K217" s="468"/>
    </row>
    <row r="218" spans="1:11" ht="12.75" customHeight="1" x14ac:dyDescent="0.2">
      <c r="A218" s="463" t="s">
        <v>1112</v>
      </c>
      <c r="B218" s="470">
        <v>4600</v>
      </c>
      <c r="C218" s="549">
        <v>51938</v>
      </c>
      <c r="D218" s="466">
        <v>0</v>
      </c>
      <c r="E218" s="468"/>
      <c r="F218" s="466">
        <v>0</v>
      </c>
      <c r="G218" s="466">
        <v>11164</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438403</v>
      </c>
      <c r="D220" s="466">
        <v>0</v>
      </c>
      <c r="E220" s="468"/>
      <c r="F220" s="466">
        <v>0</v>
      </c>
      <c r="G220" s="466">
        <v>74259</v>
      </c>
      <c r="H220" s="468"/>
      <c r="I220" s="468"/>
      <c r="J220" s="468"/>
      <c r="K220" s="468"/>
    </row>
    <row r="221" spans="1:11" ht="12.75" customHeight="1" x14ac:dyDescent="0.2">
      <c r="A221" s="463" t="s">
        <v>1114</v>
      </c>
      <c r="B221" s="470">
        <v>4625</v>
      </c>
      <c r="C221" s="549">
        <v>5357</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0"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495698</v>
      </c>
      <c r="D224" s="1726">
        <f>SUM(D218:D223)</f>
        <v>0</v>
      </c>
      <c r="E224" s="468"/>
      <c r="F224" s="1726">
        <f>SUM(F218:F223)</f>
        <v>0</v>
      </c>
      <c r="G224" s="1726">
        <f>SUM(G218:G223)</f>
        <v>85423</v>
      </c>
      <c r="H224" s="468"/>
      <c r="I224" s="468"/>
      <c r="J224" s="468"/>
      <c r="K224" s="468"/>
    </row>
    <row r="225" spans="1:11" ht="15.75" customHeight="1" thickTop="1" x14ac:dyDescent="0.2">
      <c r="A225" s="1619" t="s">
        <v>1155</v>
      </c>
      <c r="B225" s="1624"/>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0</v>
      </c>
      <c r="D247" s="467">
        <v>0</v>
      </c>
      <c r="E247" s="467">
        <v>80824</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0</v>
      </c>
      <c r="D259" s="1726">
        <f t="shared" si="9"/>
        <v>0</v>
      </c>
      <c r="E259" s="1726">
        <f t="shared" si="9"/>
        <v>80824</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1" t="s">
        <v>1493</v>
      </c>
      <c r="B260" s="586">
        <v>4901</v>
      </c>
      <c r="C260" s="587">
        <v>0</v>
      </c>
      <c r="D260" s="469"/>
      <c r="E260" s="468"/>
      <c r="F260" s="468"/>
      <c r="G260" s="468"/>
      <c r="H260" s="468"/>
      <c r="I260" s="468"/>
      <c r="J260" s="468"/>
      <c r="K260" s="468"/>
    </row>
    <row r="261" spans="1:11" ht="12.75" customHeight="1" thickTop="1" thickBot="1" x14ac:dyDescent="0.25">
      <c r="A261" s="1522"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209910</v>
      </c>
      <c r="D268" s="574">
        <v>0</v>
      </c>
      <c r="E268" s="468"/>
      <c r="F268" s="574">
        <v>0</v>
      </c>
      <c r="G268" s="574">
        <v>1645</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166369</v>
      </c>
      <c r="D270" s="574">
        <v>0</v>
      </c>
      <c r="E270" s="468"/>
      <c r="F270" s="574">
        <v>0</v>
      </c>
      <c r="G270" s="574">
        <v>0</v>
      </c>
      <c r="H270" s="468"/>
      <c r="I270" s="468"/>
      <c r="J270" s="468"/>
      <c r="K270" s="468"/>
    </row>
    <row r="271" spans="1:11" ht="12.75" customHeight="1" thickTop="1" thickBot="1" x14ac:dyDescent="0.25">
      <c r="A271" s="463" t="s">
        <v>395</v>
      </c>
      <c r="B271" s="470">
        <v>4992</v>
      </c>
      <c r="C271" s="573">
        <v>365900</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1763</v>
      </c>
      <c r="B273" s="1746"/>
      <c r="C273" s="1734">
        <f t="shared" ref="C273:H273" si="10">SUM(C191,C201,C211,C216,C224,C228,C229,C259:C272)</f>
        <v>3723700</v>
      </c>
      <c r="D273" s="1734">
        <f t="shared" si="10"/>
        <v>0</v>
      </c>
      <c r="E273" s="1734">
        <f t="shared" si="10"/>
        <v>80824</v>
      </c>
      <c r="F273" s="1734">
        <f t="shared" si="10"/>
        <v>0</v>
      </c>
      <c r="G273" s="1734">
        <f t="shared" si="10"/>
        <v>105718</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3723700</v>
      </c>
      <c r="D274" s="1734">
        <f>SUM(D178,D184,D273)</f>
        <v>0</v>
      </c>
      <c r="E274" s="1734">
        <f>SUM(E178,E273)</f>
        <v>80824</v>
      </c>
      <c r="F274" s="1734">
        <f t="shared" ref="F274:K274" si="11">SUM(F178,F184,F273)</f>
        <v>0</v>
      </c>
      <c r="G274" s="1734">
        <f t="shared" si="11"/>
        <v>105718</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30205568</v>
      </c>
      <c r="D275" s="1734">
        <f t="shared" si="12"/>
        <v>2612078</v>
      </c>
      <c r="E275" s="1734">
        <f t="shared" si="12"/>
        <v>505682</v>
      </c>
      <c r="F275" s="1734">
        <f t="shared" si="12"/>
        <v>3038076</v>
      </c>
      <c r="G275" s="1734">
        <f t="shared" si="12"/>
        <v>896340</v>
      </c>
      <c r="H275" s="1734">
        <f t="shared" si="12"/>
        <v>0</v>
      </c>
      <c r="I275" s="1734">
        <f t="shared" si="12"/>
        <v>340572</v>
      </c>
      <c r="J275" s="1734">
        <f t="shared" si="12"/>
        <v>0</v>
      </c>
      <c r="K275" s="1721">
        <f t="shared" si="12"/>
        <v>290914</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241" t="s">
        <v>1899</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273"/>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279" t="s">
        <v>315</v>
      </c>
      <c r="B3" s="2280"/>
      <c r="C3" s="1567"/>
      <c r="D3" s="1567"/>
      <c r="E3" s="1567"/>
      <c r="F3" s="1567"/>
      <c r="G3" s="1567"/>
      <c r="H3" s="1567"/>
      <c r="I3" s="1567"/>
      <c r="J3" s="1567"/>
      <c r="K3" s="1568"/>
      <c r="L3" s="1569"/>
      <c r="M3" s="608"/>
      <c r="N3" s="608"/>
    </row>
    <row r="4" spans="1:14" s="259" customFormat="1" ht="15.75" customHeight="1" x14ac:dyDescent="0.2">
      <c r="A4" s="1625" t="s">
        <v>46</v>
      </c>
      <c r="B4" s="1626" t="s">
        <v>591</v>
      </c>
      <c r="C4" s="609"/>
      <c r="D4" s="609"/>
      <c r="E4" s="609"/>
      <c r="F4" s="609"/>
      <c r="G4" s="609"/>
      <c r="H4" s="609"/>
      <c r="I4" s="610"/>
      <c r="J4" s="609"/>
      <c r="K4" s="611"/>
      <c r="L4" s="609"/>
      <c r="M4" s="612"/>
      <c r="N4" s="612"/>
    </row>
    <row r="5" spans="1:14" x14ac:dyDescent="0.2">
      <c r="A5" s="1523" t="s">
        <v>1018</v>
      </c>
      <c r="B5" s="613">
        <v>1100</v>
      </c>
      <c r="C5" s="466">
        <v>10411056</v>
      </c>
      <c r="D5" s="466">
        <v>2061448</v>
      </c>
      <c r="E5" s="466">
        <v>139762</v>
      </c>
      <c r="F5" s="466">
        <v>480954</v>
      </c>
      <c r="G5" s="466">
        <v>0</v>
      </c>
      <c r="H5" s="466">
        <v>0</v>
      </c>
      <c r="I5" s="467">
        <v>0</v>
      </c>
      <c r="J5" s="467">
        <v>0</v>
      </c>
      <c r="K5" s="1690">
        <f>SUM(C5:J5)</f>
        <v>13093220</v>
      </c>
      <c r="L5" s="466">
        <v>14998351</v>
      </c>
    </row>
    <row r="6" spans="1:14" x14ac:dyDescent="0.2">
      <c r="A6" s="1523" t="s">
        <v>1508</v>
      </c>
      <c r="B6" s="613" t="s">
        <v>1506</v>
      </c>
      <c r="C6" s="476"/>
      <c r="D6" s="476"/>
      <c r="E6" s="466">
        <v>0</v>
      </c>
      <c r="F6" s="476"/>
      <c r="G6" s="476"/>
      <c r="H6" s="476"/>
      <c r="I6" s="476"/>
      <c r="J6" s="476"/>
      <c r="K6" s="1690">
        <f>SUM(C6,E6)</f>
        <v>0</v>
      </c>
      <c r="L6" s="466">
        <v>0</v>
      </c>
    </row>
    <row r="7" spans="1:14" x14ac:dyDescent="0.2">
      <c r="A7" s="1523" t="s">
        <v>165</v>
      </c>
      <c r="B7" s="613" t="s">
        <v>1024</v>
      </c>
      <c r="C7" s="467">
        <v>383882</v>
      </c>
      <c r="D7" s="467">
        <v>100542</v>
      </c>
      <c r="E7" s="467">
        <v>0</v>
      </c>
      <c r="F7" s="467">
        <v>0</v>
      </c>
      <c r="G7" s="467">
        <v>0</v>
      </c>
      <c r="H7" s="467">
        <v>0</v>
      </c>
      <c r="I7" s="467">
        <v>0</v>
      </c>
      <c r="J7" s="467">
        <v>0</v>
      </c>
      <c r="K7" s="1690">
        <f t="shared" ref="K7:K32" si="0">SUM(C7:J7)</f>
        <v>484424</v>
      </c>
      <c r="L7" s="466">
        <v>464736</v>
      </c>
    </row>
    <row r="8" spans="1:14" x14ac:dyDescent="0.2">
      <c r="A8" s="1523" t="s">
        <v>166</v>
      </c>
      <c r="B8" s="613">
        <v>1200</v>
      </c>
      <c r="C8" s="466">
        <v>3132882</v>
      </c>
      <c r="D8" s="466">
        <v>670726</v>
      </c>
      <c r="E8" s="466">
        <v>610</v>
      </c>
      <c r="F8" s="466">
        <v>9930</v>
      </c>
      <c r="G8" s="466">
        <v>0</v>
      </c>
      <c r="H8" s="466">
        <v>0</v>
      </c>
      <c r="I8" s="467">
        <v>0</v>
      </c>
      <c r="J8" s="467">
        <v>0</v>
      </c>
      <c r="K8" s="1690">
        <f t="shared" si="0"/>
        <v>3814148</v>
      </c>
      <c r="L8" s="466">
        <v>4372345</v>
      </c>
    </row>
    <row r="9" spans="1:14" x14ac:dyDescent="0.2">
      <c r="A9" s="1523" t="s">
        <v>745</v>
      </c>
      <c r="B9" s="613" t="s">
        <v>1025</v>
      </c>
      <c r="C9" s="467">
        <v>335936</v>
      </c>
      <c r="D9" s="467">
        <v>94190</v>
      </c>
      <c r="E9" s="467">
        <v>0</v>
      </c>
      <c r="F9" s="467">
        <v>0</v>
      </c>
      <c r="G9" s="467">
        <v>0</v>
      </c>
      <c r="H9" s="467">
        <v>0</v>
      </c>
      <c r="I9" s="467">
        <v>0</v>
      </c>
      <c r="J9" s="467">
        <v>0</v>
      </c>
      <c r="K9" s="1690">
        <f t="shared" si="0"/>
        <v>430126</v>
      </c>
      <c r="L9" s="466">
        <v>0</v>
      </c>
    </row>
    <row r="10" spans="1:14" x14ac:dyDescent="0.2">
      <c r="A10" s="1523" t="s">
        <v>746</v>
      </c>
      <c r="B10" s="613">
        <v>1250</v>
      </c>
      <c r="C10" s="466">
        <v>234086</v>
      </c>
      <c r="D10" s="466">
        <v>54328</v>
      </c>
      <c r="E10" s="466">
        <v>0</v>
      </c>
      <c r="F10" s="466">
        <v>0</v>
      </c>
      <c r="G10" s="466">
        <v>0</v>
      </c>
      <c r="H10" s="466">
        <v>0</v>
      </c>
      <c r="I10" s="467">
        <v>0</v>
      </c>
      <c r="J10" s="467">
        <v>0</v>
      </c>
      <c r="K10" s="1690">
        <f t="shared" si="0"/>
        <v>288414</v>
      </c>
      <c r="L10" s="466">
        <v>0</v>
      </c>
    </row>
    <row r="11" spans="1:14" x14ac:dyDescent="0.2">
      <c r="A11" s="1523"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3" t="s">
        <v>1019</v>
      </c>
      <c r="B12" s="613">
        <v>1300</v>
      </c>
      <c r="C12" s="466">
        <v>0</v>
      </c>
      <c r="D12" s="466">
        <v>0</v>
      </c>
      <c r="E12" s="466">
        <v>0</v>
      </c>
      <c r="F12" s="466">
        <v>0</v>
      </c>
      <c r="G12" s="466">
        <v>0</v>
      </c>
      <c r="H12" s="466">
        <v>0</v>
      </c>
      <c r="I12" s="467">
        <v>0</v>
      </c>
      <c r="J12" s="467">
        <v>0</v>
      </c>
      <c r="K12" s="1690">
        <f t="shared" si="0"/>
        <v>0</v>
      </c>
      <c r="L12" s="466">
        <v>0</v>
      </c>
    </row>
    <row r="13" spans="1:14" x14ac:dyDescent="0.2">
      <c r="A13" s="1523" t="s">
        <v>747</v>
      </c>
      <c r="B13" s="613">
        <v>1400</v>
      </c>
      <c r="C13" s="467">
        <v>0</v>
      </c>
      <c r="D13" s="466">
        <v>0</v>
      </c>
      <c r="E13" s="466">
        <v>0</v>
      </c>
      <c r="F13" s="466">
        <v>0</v>
      </c>
      <c r="G13" s="466">
        <v>0</v>
      </c>
      <c r="H13" s="466">
        <v>0</v>
      </c>
      <c r="I13" s="467">
        <v>0</v>
      </c>
      <c r="J13" s="467">
        <v>0</v>
      </c>
      <c r="K13" s="1690">
        <f t="shared" si="0"/>
        <v>0</v>
      </c>
      <c r="L13" s="466">
        <v>0</v>
      </c>
    </row>
    <row r="14" spans="1:14" x14ac:dyDescent="0.2">
      <c r="A14" s="1523" t="s">
        <v>1020</v>
      </c>
      <c r="B14" s="613">
        <v>1500</v>
      </c>
      <c r="C14" s="467">
        <v>337124</v>
      </c>
      <c r="D14" s="466">
        <v>42258</v>
      </c>
      <c r="E14" s="466">
        <v>16167</v>
      </c>
      <c r="F14" s="466">
        <v>22344</v>
      </c>
      <c r="G14" s="466">
        <v>0</v>
      </c>
      <c r="H14" s="466">
        <v>0</v>
      </c>
      <c r="I14" s="467">
        <v>0</v>
      </c>
      <c r="J14" s="467">
        <v>0</v>
      </c>
      <c r="K14" s="1690">
        <f t="shared" si="0"/>
        <v>417893</v>
      </c>
      <c r="L14" s="466">
        <v>289292</v>
      </c>
    </row>
    <row r="15" spans="1:14" x14ac:dyDescent="0.2">
      <c r="A15" s="1523" t="s">
        <v>1021</v>
      </c>
      <c r="B15" s="613">
        <v>1600</v>
      </c>
      <c r="C15" s="466">
        <v>0</v>
      </c>
      <c r="D15" s="466">
        <v>0</v>
      </c>
      <c r="E15" s="466">
        <v>0</v>
      </c>
      <c r="F15" s="466">
        <v>0</v>
      </c>
      <c r="G15" s="466">
        <v>0</v>
      </c>
      <c r="H15" s="466">
        <v>0</v>
      </c>
      <c r="I15" s="467">
        <v>0</v>
      </c>
      <c r="J15" s="467">
        <v>0</v>
      </c>
      <c r="K15" s="1690">
        <f t="shared" si="0"/>
        <v>0</v>
      </c>
      <c r="L15" s="466">
        <v>0</v>
      </c>
    </row>
    <row r="16" spans="1:14" x14ac:dyDescent="0.2">
      <c r="A16" s="1523"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3" t="s">
        <v>748</v>
      </c>
      <c r="B17" s="613" t="s">
        <v>164</v>
      </c>
      <c r="C17" s="467">
        <v>0</v>
      </c>
      <c r="D17" s="467">
        <v>0</v>
      </c>
      <c r="E17" s="467">
        <v>0</v>
      </c>
      <c r="F17" s="467">
        <v>0</v>
      </c>
      <c r="G17" s="467">
        <v>0</v>
      </c>
      <c r="H17" s="467">
        <v>0</v>
      </c>
      <c r="I17" s="467">
        <v>0</v>
      </c>
      <c r="J17" s="467">
        <v>0</v>
      </c>
      <c r="K17" s="1690">
        <f t="shared" si="0"/>
        <v>0</v>
      </c>
      <c r="L17" s="466">
        <v>0</v>
      </c>
    </row>
    <row r="18" spans="1:12" x14ac:dyDescent="0.2">
      <c r="A18" s="1523" t="s">
        <v>1148</v>
      </c>
      <c r="B18" s="613">
        <v>1800</v>
      </c>
      <c r="C18" s="466">
        <v>0</v>
      </c>
      <c r="D18" s="466">
        <v>0</v>
      </c>
      <c r="E18" s="466">
        <v>0</v>
      </c>
      <c r="F18" s="466">
        <v>0</v>
      </c>
      <c r="G18" s="466">
        <v>0</v>
      </c>
      <c r="H18" s="466">
        <v>0</v>
      </c>
      <c r="I18" s="467">
        <v>0</v>
      </c>
      <c r="J18" s="467">
        <v>0</v>
      </c>
      <c r="K18" s="1690">
        <f t="shared" si="0"/>
        <v>0</v>
      </c>
      <c r="L18" s="466">
        <v>0</v>
      </c>
    </row>
    <row r="19" spans="1:12" x14ac:dyDescent="0.2">
      <c r="A19" s="1523" t="s">
        <v>136</v>
      </c>
      <c r="B19" s="613">
        <v>1900</v>
      </c>
      <c r="C19" s="466">
        <v>0</v>
      </c>
      <c r="D19" s="466">
        <v>0</v>
      </c>
      <c r="E19" s="466">
        <v>0</v>
      </c>
      <c r="F19" s="466">
        <v>0</v>
      </c>
      <c r="G19" s="466">
        <v>0</v>
      </c>
      <c r="H19" s="466">
        <v>0</v>
      </c>
      <c r="I19" s="467">
        <v>0</v>
      </c>
      <c r="J19" s="467">
        <v>0</v>
      </c>
      <c r="K19" s="1690">
        <f t="shared" si="0"/>
        <v>0</v>
      </c>
      <c r="L19" s="466">
        <v>0</v>
      </c>
    </row>
    <row r="20" spans="1:12" x14ac:dyDescent="0.2">
      <c r="A20" s="1524" t="s">
        <v>762</v>
      </c>
      <c r="B20" s="601" t="s">
        <v>749</v>
      </c>
      <c r="C20" s="476"/>
      <c r="D20" s="476"/>
      <c r="E20" s="476"/>
      <c r="F20" s="476"/>
      <c r="G20" s="476"/>
      <c r="H20" s="467">
        <v>0</v>
      </c>
      <c r="I20" s="615"/>
      <c r="J20" s="475"/>
      <c r="K20" s="1690">
        <f t="shared" si="0"/>
        <v>0</v>
      </c>
      <c r="L20" s="466">
        <v>0</v>
      </c>
    </row>
    <row r="21" spans="1:12" x14ac:dyDescent="0.2">
      <c r="A21" s="1524" t="s">
        <v>763</v>
      </c>
      <c r="B21" s="601" t="s">
        <v>750</v>
      </c>
      <c r="C21" s="476"/>
      <c r="D21" s="476"/>
      <c r="E21" s="476"/>
      <c r="F21" s="476"/>
      <c r="G21" s="476"/>
      <c r="H21" s="474">
        <v>0</v>
      </c>
      <c r="I21" s="615"/>
      <c r="J21" s="476"/>
      <c r="K21" s="1690">
        <f t="shared" si="0"/>
        <v>0</v>
      </c>
      <c r="L21" s="466">
        <v>0</v>
      </c>
    </row>
    <row r="22" spans="1:12" x14ac:dyDescent="0.2">
      <c r="A22" s="1524" t="s">
        <v>764</v>
      </c>
      <c r="B22" s="601" t="s">
        <v>751</v>
      </c>
      <c r="C22" s="476"/>
      <c r="D22" s="476"/>
      <c r="E22" s="476"/>
      <c r="F22" s="476"/>
      <c r="G22" s="476"/>
      <c r="H22" s="474">
        <v>811579</v>
      </c>
      <c r="I22" s="615"/>
      <c r="J22" s="476"/>
      <c r="K22" s="1690">
        <f t="shared" si="0"/>
        <v>811579</v>
      </c>
      <c r="L22" s="466">
        <v>400000</v>
      </c>
    </row>
    <row r="23" spans="1:12" x14ac:dyDescent="0.2">
      <c r="A23" s="1524" t="s">
        <v>765</v>
      </c>
      <c r="B23" s="601" t="s">
        <v>752</v>
      </c>
      <c r="C23" s="476"/>
      <c r="D23" s="476"/>
      <c r="E23" s="476"/>
      <c r="F23" s="476"/>
      <c r="G23" s="476"/>
      <c r="H23" s="474">
        <v>0</v>
      </c>
      <c r="I23" s="615"/>
      <c r="J23" s="476"/>
      <c r="K23" s="1690">
        <f t="shared" si="0"/>
        <v>0</v>
      </c>
      <c r="L23" s="466">
        <v>0</v>
      </c>
    </row>
    <row r="24" spans="1:12" ht="12.75" customHeight="1" x14ac:dyDescent="0.2">
      <c r="A24" s="1524" t="s">
        <v>766</v>
      </c>
      <c r="B24" s="601" t="s">
        <v>753</v>
      </c>
      <c r="C24" s="476"/>
      <c r="D24" s="476"/>
      <c r="E24" s="476"/>
      <c r="F24" s="476"/>
      <c r="G24" s="476"/>
      <c r="H24" s="474">
        <v>0</v>
      </c>
      <c r="I24" s="615"/>
      <c r="J24" s="476"/>
      <c r="K24" s="1690">
        <f t="shared" si="0"/>
        <v>0</v>
      </c>
      <c r="L24" s="466">
        <v>0</v>
      </c>
    </row>
    <row r="25" spans="1:12" ht="12.75" customHeight="1" x14ac:dyDescent="0.2">
      <c r="A25" s="1524" t="s">
        <v>835</v>
      </c>
      <c r="B25" s="601" t="s">
        <v>754</v>
      </c>
      <c r="C25" s="476"/>
      <c r="D25" s="476"/>
      <c r="E25" s="476"/>
      <c r="F25" s="476"/>
      <c r="G25" s="476"/>
      <c r="H25" s="474">
        <v>0</v>
      </c>
      <c r="I25" s="615"/>
      <c r="J25" s="476"/>
      <c r="K25" s="1690">
        <f t="shared" si="0"/>
        <v>0</v>
      </c>
      <c r="L25" s="466">
        <v>0</v>
      </c>
    </row>
    <row r="26" spans="1:12" x14ac:dyDescent="0.2">
      <c r="A26" s="1524" t="s">
        <v>643</v>
      </c>
      <c r="B26" s="601" t="s">
        <v>755</v>
      </c>
      <c r="C26" s="476"/>
      <c r="D26" s="476"/>
      <c r="E26" s="476"/>
      <c r="F26" s="476"/>
      <c r="G26" s="476"/>
      <c r="H26" s="474">
        <v>0</v>
      </c>
      <c r="I26" s="615"/>
      <c r="J26" s="476"/>
      <c r="K26" s="1690">
        <f t="shared" si="0"/>
        <v>0</v>
      </c>
      <c r="L26" s="466">
        <v>0</v>
      </c>
    </row>
    <row r="27" spans="1:12" x14ac:dyDescent="0.2">
      <c r="A27" s="1524" t="s">
        <v>644</v>
      </c>
      <c r="B27" s="601" t="s">
        <v>756</v>
      </c>
      <c r="C27" s="476"/>
      <c r="D27" s="476"/>
      <c r="E27" s="476"/>
      <c r="F27" s="476"/>
      <c r="G27" s="476"/>
      <c r="H27" s="474">
        <v>0</v>
      </c>
      <c r="I27" s="615"/>
      <c r="J27" s="476"/>
      <c r="K27" s="1690">
        <f t="shared" si="0"/>
        <v>0</v>
      </c>
      <c r="L27" s="466">
        <v>0</v>
      </c>
    </row>
    <row r="28" spans="1:12" x14ac:dyDescent="0.2">
      <c r="A28" s="1524" t="s">
        <v>152</v>
      </c>
      <c r="B28" s="601" t="s">
        <v>757</v>
      </c>
      <c r="C28" s="476"/>
      <c r="D28" s="476"/>
      <c r="E28" s="476"/>
      <c r="F28" s="476"/>
      <c r="G28" s="476"/>
      <c r="H28" s="474">
        <v>0</v>
      </c>
      <c r="I28" s="615"/>
      <c r="J28" s="476"/>
      <c r="K28" s="1690">
        <f t="shared" si="0"/>
        <v>0</v>
      </c>
      <c r="L28" s="466">
        <v>0</v>
      </c>
    </row>
    <row r="29" spans="1:12" x14ac:dyDescent="0.2">
      <c r="A29" s="1524" t="s">
        <v>153</v>
      </c>
      <c r="B29" s="601" t="s">
        <v>758</v>
      </c>
      <c r="C29" s="476"/>
      <c r="D29" s="476"/>
      <c r="E29" s="476"/>
      <c r="F29" s="476"/>
      <c r="G29" s="476"/>
      <c r="H29" s="474">
        <v>0</v>
      </c>
      <c r="I29" s="615"/>
      <c r="J29" s="476"/>
      <c r="K29" s="1690">
        <f t="shared" si="0"/>
        <v>0</v>
      </c>
      <c r="L29" s="466">
        <v>0</v>
      </c>
    </row>
    <row r="30" spans="1:12" x14ac:dyDescent="0.2">
      <c r="A30" s="1524" t="s">
        <v>154</v>
      </c>
      <c r="B30" s="601" t="s">
        <v>759</v>
      </c>
      <c r="C30" s="476"/>
      <c r="D30" s="476"/>
      <c r="E30" s="476"/>
      <c r="F30" s="476"/>
      <c r="G30" s="476"/>
      <c r="H30" s="474">
        <v>0</v>
      </c>
      <c r="I30" s="615"/>
      <c r="J30" s="476"/>
      <c r="K30" s="1690">
        <f t="shared" si="0"/>
        <v>0</v>
      </c>
      <c r="L30" s="466">
        <v>0</v>
      </c>
    </row>
    <row r="31" spans="1:12" x14ac:dyDescent="0.2">
      <c r="A31" s="1524" t="s">
        <v>155</v>
      </c>
      <c r="B31" s="601" t="s">
        <v>760</v>
      </c>
      <c r="C31" s="476"/>
      <c r="D31" s="476"/>
      <c r="E31" s="476"/>
      <c r="F31" s="476"/>
      <c r="G31" s="476"/>
      <c r="H31" s="474">
        <v>0</v>
      </c>
      <c r="I31" s="615"/>
      <c r="J31" s="476"/>
      <c r="K31" s="1690">
        <f t="shared" si="0"/>
        <v>0</v>
      </c>
      <c r="L31" s="466">
        <v>0</v>
      </c>
    </row>
    <row r="32" spans="1:12" x14ac:dyDescent="0.2">
      <c r="A32" s="1525" t="s">
        <v>1191</v>
      </c>
      <c r="B32" s="613" t="s">
        <v>761</v>
      </c>
      <c r="C32" s="476"/>
      <c r="D32" s="476"/>
      <c r="E32" s="476"/>
      <c r="F32" s="476"/>
      <c r="G32" s="476"/>
      <c r="H32" s="474">
        <v>0</v>
      </c>
      <c r="I32" s="615"/>
      <c r="J32" s="479"/>
      <c r="K32" s="1690">
        <f t="shared" si="0"/>
        <v>0</v>
      </c>
      <c r="L32" s="466">
        <v>0</v>
      </c>
    </row>
    <row r="33" spans="1:14" ht="12.75" customHeight="1" thickBot="1" x14ac:dyDescent="0.25">
      <c r="A33" s="1687" t="s">
        <v>1765</v>
      </c>
      <c r="B33" s="1688" t="s">
        <v>591</v>
      </c>
      <c r="C33" s="1689">
        <f>SUM(C5:C32)</f>
        <v>14834966</v>
      </c>
      <c r="D33" s="1689">
        <f t="shared" ref="D33:L33" si="1">SUM(D5:D32)</f>
        <v>3023492</v>
      </c>
      <c r="E33" s="1689">
        <f t="shared" si="1"/>
        <v>156539</v>
      </c>
      <c r="F33" s="1689">
        <f t="shared" si="1"/>
        <v>513228</v>
      </c>
      <c r="G33" s="1689">
        <f t="shared" si="1"/>
        <v>0</v>
      </c>
      <c r="H33" s="1689">
        <f t="shared" si="1"/>
        <v>811579</v>
      </c>
      <c r="I33" s="1689">
        <f t="shared" si="1"/>
        <v>0</v>
      </c>
      <c r="J33" s="1689">
        <f t="shared" si="1"/>
        <v>0</v>
      </c>
      <c r="K33" s="1689">
        <f t="shared" si="1"/>
        <v>19339804</v>
      </c>
      <c r="L33" s="1689">
        <f t="shared" si="1"/>
        <v>20524724</v>
      </c>
    </row>
    <row r="34" spans="1:14" s="619" customFormat="1" ht="15.75" customHeight="1" thickTop="1" x14ac:dyDescent="0.2">
      <c r="A34" s="1627" t="s">
        <v>48</v>
      </c>
      <c r="B34" s="1628"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3" t="s">
        <v>1150</v>
      </c>
      <c r="B36" s="613">
        <v>2110</v>
      </c>
      <c r="C36" s="480">
        <v>150146</v>
      </c>
      <c r="D36" s="480">
        <v>30570</v>
      </c>
      <c r="E36" s="480">
        <v>0</v>
      </c>
      <c r="F36" s="480">
        <v>2241</v>
      </c>
      <c r="G36" s="480">
        <v>0</v>
      </c>
      <c r="H36" s="480">
        <v>0</v>
      </c>
      <c r="I36" s="467">
        <v>0</v>
      </c>
      <c r="J36" s="467">
        <v>0</v>
      </c>
      <c r="K36" s="1690">
        <f t="shared" ref="K36:K41" si="2">SUM(C36:J36)</f>
        <v>182957</v>
      </c>
      <c r="L36" s="466">
        <v>171427</v>
      </c>
    </row>
    <row r="37" spans="1:14" x14ac:dyDescent="0.2">
      <c r="A37" s="1523" t="s">
        <v>1151</v>
      </c>
      <c r="B37" s="613">
        <v>2120</v>
      </c>
      <c r="C37" s="466">
        <v>372467</v>
      </c>
      <c r="D37" s="466">
        <v>63448</v>
      </c>
      <c r="E37" s="466">
        <v>0</v>
      </c>
      <c r="F37" s="466">
        <v>0</v>
      </c>
      <c r="G37" s="466">
        <v>0</v>
      </c>
      <c r="H37" s="466">
        <v>0</v>
      </c>
      <c r="I37" s="467">
        <v>0</v>
      </c>
      <c r="J37" s="467">
        <v>0</v>
      </c>
      <c r="K37" s="1690">
        <f t="shared" si="2"/>
        <v>435915</v>
      </c>
      <c r="L37" s="466">
        <v>438169</v>
      </c>
    </row>
    <row r="38" spans="1:14" x14ac:dyDescent="0.2">
      <c r="A38" s="1523" t="s">
        <v>207</v>
      </c>
      <c r="B38" s="613">
        <v>2130</v>
      </c>
      <c r="C38" s="466">
        <v>148252</v>
      </c>
      <c r="D38" s="466">
        <v>46255</v>
      </c>
      <c r="E38" s="466">
        <v>284993</v>
      </c>
      <c r="F38" s="466">
        <v>2438</v>
      </c>
      <c r="G38" s="466">
        <v>0</v>
      </c>
      <c r="H38" s="466">
        <v>0</v>
      </c>
      <c r="I38" s="467">
        <v>0</v>
      </c>
      <c r="J38" s="467">
        <v>0</v>
      </c>
      <c r="K38" s="1690">
        <f t="shared" si="2"/>
        <v>481938</v>
      </c>
      <c r="L38" s="466">
        <v>510205</v>
      </c>
    </row>
    <row r="39" spans="1:14" x14ac:dyDescent="0.2">
      <c r="A39" s="1523" t="s">
        <v>208</v>
      </c>
      <c r="B39" s="613">
        <v>2140</v>
      </c>
      <c r="C39" s="466">
        <v>138351</v>
      </c>
      <c r="D39" s="466">
        <v>29657</v>
      </c>
      <c r="E39" s="466">
        <v>0</v>
      </c>
      <c r="F39" s="466">
        <v>6348</v>
      </c>
      <c r="G39" s="466">
        <v>0</v>
      </c>
      <c r="H39" s="466">
        <v>0</v>
      </c>
      <c r="I39" s="467">
        <v>0</v>
      </c>
      <c r="J39" s="467">
        <v>0</v>
      </c>
      <c r="K39" s="1690">
        <f t="shared" si="2"/>
        <v>174356</v>
      </c>
      <c r="L39" s="466">
        <v>160089</v>
      </c>
    </row>
    <row r="40" spans="1:14" x14ac:dyDescent="0.2">
      <c r="A40" s="1523" t="s">
        <v>209</v>
      </c>
      <c r="B40" s="613">
        <v>2150</v>
      </c>
      <c r="C40" s="466">
        <v>684048</v>
      </c>
      <c r="D40" s="466">
        <v>119177</v>
      </c>
      <c r="E40" s="466">
        <v>435</v>
      </c>
      <c r="F40" s="466">
        <v>0</v>
      </c>
      <c r="G40" s="466">
        <v>0</v>
      </c>
      <c r="H40" s="466">
        <v>0</v>
      </c>
      <c r="I40" s="467">
        <v>0</v>
      </c>
      <c r="J40" s="467">
        <v>0</v>
      </c>
      <c r="K40" s="1690">
        <f t="shared" si="2"/>
        <v>803660</v>
      </c>
      <c r="L40" s="466">
        <v>781405</v>
      </c>
    </row>
    <row r="41" spans="1:14" x14ac:dyDescent="0.2">
      <c r="A41" s="1523" t="s">
        <v>1766</v>
      </c>
      <c r="B41" s="613">
        <v>2190</v>
      </c>
      <c r="C41" s="466">
        <v>0</v>
      </c>
      <c r="D41" s="466">
        <v>0</v>
      </c>
      <c r="E41" s="466">
        <v>0</v>
      </c>
      <c r="F41" s="466">
        <v>1973</v>
      </c>
      <c r="G41" s="466">
        <v>0</v>
      </c>
      <c r="H41" s="466">
        <v>0</v>
      </c>
      <c r="I41" s="467">
        <v>0</v>
      </c>
      <c r="J41" s="467">
        <v>0</v>
      </c>
      <c r="K41" s="1690">
        <f t="shared" si="2"/>
        <v>1973</v>
      </c>
      <c r="L41" s="466">
        <v>3000</v>
      </c>
    </row>
    <row r="42" spans="1:14" ht="12.75" customHeight="1" thickBot="1" x14ac:dyDescent="0.25">
      <c r="A42" s="1687" t="s">
        <v>581</v>
      </c>
      <c r="B42" s="1688" t="s">
        <v>740</v>
      </c>
      <c r="C42" s="1689">
        <f>SUM(C36:C41)</f>
        <v>1493264</v>
      </c>
      <c r="D42" s="1689">
        <f t="shared" ref="D42:L42" si="3">SUM(D36:D41)</f>
        <v>289107</v>
      </c>
      <c r="E42" s="1689">
        <f t="shared" si="3"/>
        <v>285428</v>
      </c>
      <c r="F42" s="1689">
        <f t="shared" si="3"/>
        <v>13000</v>
      </c>
      <c r="G42" s="1689">
        <f t="shared" si="3"/>
        <v>0</v>
      </c>
      <c r="H42" s="1689">
        <f t="shared" si="3"/>
        <v>0</v>
      </c>
      <c r="I42" s="1689">
        <f t="shared" si="3"/>
        <v>0</v>
      </c>
      <c r="J42" s="1689">
        <f t="shared" si="3"/>
        <v>0</v>
      </c>
      <c r="K42" s="1689">
        <f t="shared" si="3"/>
        <v>2080799</v>
      </c>
      <c r="L42" s="1689">
        <f t="shared" si="3"/>
        <v>2064295</v>
      </c>
    </row>
    <row r="43" spans="1:14" ht="15.75" customHeight="1" thickTop="1" x14ac:dyDescent="0.2">
      <c r="A43" s="623" t="s">
        <v>613</v>
      </c>
      <c r="B43" s="624"/>
      <c r="C43" s="625"/>
      <c r="D43" s="625"/>
      <c r="E43" s="625"/>
      <c r="F43" s="625"/>
      <c r="G43" s="625"/>
      <c r="H43" s="625"/>
      <c r="I43" s="615"/>
      <c r="J43" s="615"/>
      <c r="K43" s="625"/>
      <c r="L43" s="625"/>
    </row>
    <row r="44" spans="1:14" x14ac:dyDescent="0.2">
      <c r="A44" s="1523" t="s">
        <v>868</v>
      </c>
      <c r="B44" s="613">
        <v>2210</v>
      </c>
      <c r="C44" s="480">
        <v>397370</v>
      </c>
      <c r="D44" s="480">
        <v>77103</v>
      </c>
      <c r="E44" s="480">
        <v>289740</v>
      </c>
      <c r="F44" s="480">
        <v>17128</v>
      </c>
      <c r="G44" s="480">
        <v>0</v>
      </c>
      <c r="H44" s="480">
        <v>822</v>
      </c>
      <c r="I44" s="467">
        <v>0</v>
      </c>
      <c r="J44" s="467">
        <v>0</v>
      </c>
      <c r="K44" s="1691">
        <f>SUM(C44:J44)</f>
        <v>782163</v>
      </c>
      <c r="L44" s="480">
        <v>652390</v>
      </c>
    </row>
    <row r="45" spans="1:14" x14ac:dyDescent="0.2">
      <c r="A45" s="1523" t="s">
        <v>869</v>
      </c>
      <c r="B45" s="613">
        <v>2220</v>
      </c>
      <c r="C45" s="467">
        <v>212054</v>
      </c>
      <c r="D45" s="466">
        <v>30544</v>
      </c>
      <c r="E45" s="466">
        <v>0</v>
      </c>
      <c r="F45" s="466">
        <v>464125</v>
      </c>
      <c r="G45" s="466">
        <v>0</v>
      </c>
      <c r="H45" s="466">
        <v>0</v>
      </c>
      <c r="I45" s="467">
        <v>0</v>
      </c>
      <c r="J45" s="467">
        <v>0</v>
      </c>
      <c r="K45" s="1691">
        <f>SUM(C45:J45)</f>
        <v>706723</v>
      </c>
      <c r="L45" s="466">
        <v>243797</v>
      </c>
    </row>
    <row r="46" spans="1:14" x14ac:dyDescent="0.2">
      <c r="A46" s="1523" t="s">
        <v>870</v>
      </c>
      <c r="B46" s="613">
        <v>2230</v>
      </c>
      <c r="C46" s="467">
        <v>42382</v>
      </c>
      <c r="D46" s="466">
        <v>609</v>
      </c>
      <c r="E46" s="466">
        <v>55173</v>
      </c>
      <c r="F46" s="466">
        <v>81</v>
      </c>
      <c r="G46" s="466">
        <v>0</v>
      </c>
      <c r="H46" s="466">
        <v>0</v>
      </c>
      <c r="I46" s="467">
        <v>0</v>
      </c>
      <c r="J46" s="467">
        <v>0</v>
      </c>
      <c r="K46" s="1691">
        <f>SUM(C46:J46)</f>
        <v>98245</v>
      </c>
      <c r="L46" s="466">
        <v>67500</v>
      </c>
    </row>
    <row r="47" spans="1:14" ht="12.75" customHeight="1" thickBot="1" x14ac:dyDescent="0.25">
      <c r="A47" s="1687" t="s">
        <v>582</v>
      </c>
      <c r="B47" s="1688" t="s">
        <v>32</v>
      </c>
      <c r="C47" s="1689">
        <f>SUM(C44:C46)</f>
        <v>651806</v>
      </c>
      <c r="D47" s="1689">
        <f t="shared" ref="D47:K47" si="4">SUM(D44:D46)</f>
        <v>108256</v>
      </c>
      <c r="E47" s="1689">
        <f t="shared" si="4"/>
        <v>344913</v>
      </c>
      <c r="F47" s="1689">
        <f t="shared" si="4"/>
        <v>481334</v>
      </c>
      <c r="G47" s="1689">
        <f t="shared" si="4"/>
        <v>0</v>
      </c>
      <c r="H47" s="1689">
        <f t="shared" si="4"/>
        <v>822</v>
      </c>
      <c r="I47" s="1689">
        <f t="shared" si="4"/>
        <v>0</v>
      </c>
      <c r="J47" s="1689">
        <f t="shared" si="4"/>
        <v>0</v>
      </c>
      <c r="K47" s="1689">
        <f t="shared" si="4"/>
        <v>1587131</v>
      </c>
      <c r="L47" s="1689">
        <f>SUM(L44:L46)</f>
        <v>963687</v>
      </c>
    </row>
    <row r="48" spans="1:14" ht="15.75" customHeight="1" thickTop="1" x14ac:dyDescent="0.2">
      <c r="A48" s="623" t="s">
        <v>631</v>
      </c>
      <c r="B48" s="624"/>
      <c r="C48" s="625"/>
      <c r="D48" s="625"/>
      <c r="E48" s="625"/>
      <c r="F48" s="625"/>
      <c r="G48" s="625"/>
      <c r="H48" s="625"/>
      <c r="I48" s="615"/>
      <c r="J48" s="615"/>
      <c r="K48" s="625"/>
      <c r="L48" s="625"/>
    </row>
    <row r="49" spans="1:14" x14ac:dyDescent="0.2">
      <c r="A49" s="1523" t="s">
        <v>871</v>
      </c>
      <c r="B49" s="613">
        <v>2310</v>
      </c>
      <c r="C49" s="480">
        <v>5000</v>
      </c>
      <c r="D49" s="480">
        <v>236</v>
      </c>
      <c r="E49" s="480">
        <v>43161</v>
      </c>
      <c r="F49" s="480">
        <v>2135</v>
      </c>
      <c r="G49" s="480">
        <v>0</v>
      </c>
      <c r="H49" s="480">
        <v>21806</v>
      </c>
      <c r="I49" s="467">
        <v>0</v>
      </c>
      <c r="J49" s="467">
        <v>0</v>
      </c>
      <c r="K49" s="1691">
        <f>SUM(C49:J49)</f>
        <v>72338</v>
      </c>
      <c r="L49" s="466">
        <v>99130</v>
      </c>
    </row>
    <row r="50" spans="1:14" x14ac:dyDescent="0.2">
      <c r="A50" s="1523" t="s">
        <v>872</v>
      </c>
      <c r="B50" s="613">
        <v>2320</v>
      </c>
      <c r="C50" s="466">
        <v>409632</v>
      </c>
      <c r="D50" s="466">
        <v>99437</v>
      </c>
      <c r="E50" s="466">
        <v>15037</v>
      </c>
      <c r="F50" s="466">
        <v>1070</v>
      </c>
      <c r="G50" s="466">
        <v>0</v>
      </c>
      <c r="H50" s="466">
        <v>2279</v>
      </c>
      <c r="I50" s="467">
        <v>0</v>
      </c>
      <c r="J50" s="467">
        <v>0</v>
      </c>
      <c r="K50" s="1691">
        <f>SUM(C50:J50)</f>
        <v>527455</v>
      </c>
      <c r="L50" s="466">
        <v>543092</v>
      </c>
    </row>
    <row r="51" spans="1:14" x14ac:dyDescent="0.2">
      <c r="A51" s="1523" t="s">
        <v>44</v>
      </c>
      <c r="B51" s="613">
        <v>2330</v>
      </c>
      <c r="C51" s="466">
        <v>326605</v>
      </c>
      <c r="D51" s="466">
        <v>51949</v>
      </c>
      <c r="E51" s="466">
        <v>104091</v>
      </c>
      <c r="F51" s="466">
        <v>14688</v>
      </c>
      <c r="G51" s="466">
        <v>0</v>
      </c>
      <c r="H51" s="466">
        <v>650</v>
      </c>
      <c r="I51" s="467">
        <v>0</v>
      </c>
      <c r="J51" s="467">
        <v>0</v>
      </c>
      <c r="K51" s="1691">
        <f>SUM(C51:J51)</f>
        <v>497983</v>
      </c>
      <c r="L51" s="466">
        <v>424983</v>
      </c>
    </row>
    <row r="52" spans="1:14" ht="22.5" x14ac:dyDescent="0.2">
      <c r="A52" s="1524"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741237</v>
      </c>
      <c r="D53" s="1689">
        <f t="shared" ref="D53:L53" si="5">SUM(D49:D52)</f>
        <v>151622</v>
      </c>
      <c r="E53" s="1689">
        <f t="shared" si="5"/>
        <v>162289</v>
      </c>
      <c r="F53" s="1689">
        <f t="shared" si="5"/>
        <v>17893</v>
      </c>
      <c r="G53" s="1689">
        <f t="shared" si="5"/>
        <v>0</v>
      </c>
      <c r="H53" s="1689">
        <f t="shared" si="5"/>
        <v>24735</v>
      </c>
      <c r="I53" s="1689">
        <f t="shared" si="5"/>
        <v>0</v>
      </c>
      <c r="J53" s="1689">
        <f t="shared" si="5"/>
        <v>0</v>
      </c>
      <c r="K53" s="1689">
        <f t="shared" si="5"/>
        <v>1097776</v>
      </c>
      <c r="L53" s="1689">
        <f t="shared" si="5"/>
        <v>1067205</v>
      </c>
    </row>
    <row r="54" spans="1:14" ht="15.75" customHeight="1" thickTop="1" x14ac:dyDescent="0.2">
      <c r="A54" s="623" t="s">
        <v>632</v>
      </c>
      <c r="B54" s="624"/>
      <c r="C54" s="625"/>
      <c r="D54" s="625"/>
      <c r="E54" s="625"/>
      <c r="F54" s="625"/>
      <c r="G54" s="625"/>
      <c r="H54" s="625"/>
      <c r="I54" s="615"/>
      <c r="J54" s="615"/>
      <c r="K54" s="625"/>
      <c r="L54" s="625"/>
    </row>
    <row r="55" spans="1:14" x14ac:dyDescent="0.2">
      <c r="A55" s="1523" t="s">
        <v>1127</v>
      </c>
      <c r="B55" s="613">
        <v>2410</v>
      </c>
      <c r="C55" s="480">
        <v>2103269</v>
      </c>
      <c r="D55" s="480">
        <v>356042</v>
      </c>
      <c r="E55" s="480">
        <v>291564</v>
      </c>
      <c r="F55" s="480">
        <v>11320</v>
      </c>
      <c r="G55" s="480">
        <v>0</v>
      </c>
      <c r="H55" s="480">
        <v>0</v>
      </c>
      <c r="I55" s="467">
        <v>0</v>
      </c>
      <c r="J55" s="467">
        <v>0</v>
      </c>
      <c r="K55" s="1691">
        <f>SUM(C55:J55)</f>
        <v>2762195</v>
      </c>
      <c r="L55" s="480">
        <v>2776531</v>
      </c>
    </row>
    <row r="56" spans="1:14" ht="12.75" customHeight="1" x14ac:dyDescent="0.2">
      <c r="A56" s="1527"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2103269</v>
      </c>
      <c r="D57" s="1693">
        <f t="shared" ref="D57:K57" si="6">SUM(D55:D56)</f>
        <v>356042</v>
      </c>
      <c r="E57" s="1693">
        <f t="shared" si="6"/>
        <v>291564</v>
      </c>
      <c r="F57" s="1693">
        <f t="shared" si="6"/>
        <v>11320</v>
      </c>
      <c r="G57" s="1693">
        <f t="shared" si="6"/>
        <v>0</v>
      </c>
      <c r="H57" s="1693">
        <f t="shared" si="6"/>
        <v>0</v>
      </c>
      <c r="I57" s="1693">
        <f t="shared" si="6"/>
        <v>0</v>
      </c>
      <c r="J57" s="1693">
        <f t="shared" si="6"/>
        <v>0</v>
      </c>
      <c r="K57" s="1693">
        <f t="shared" si="6"/>
        <v>2762195</v>
      </c>
      <c r="L57" s="1689">
        <f>SUM(L55:L56)</f>
        <v>2776531</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3" t="s">
        <v>1128</v>
      </c>
      <c r="B59" s="613">
        <v>2510</v>
      </c>
      <c r="C59" s="480">
        <v>103731</v>
      </c>
      <c r="D59" s="480">
        <v>17686</v>
      </c>
      <c r="E59" s="480">
        <v>12111</v>
      </c>
      <c r="F59" s="480">
        <v>6727</v>
      </c>
      <c r="G59" s="480">
        <v>0</v>
      </c>
      <c r="H59" s="480">
        <v>2599</v>
      </c>
      <c r="I59" s="467">
        <v>0</v>
      </c>
      <c r="J59" s="467">
        <v>0</v>
      </c>
      <c r="K59" s="1691">
        <f t="shared" ref="K59:K64" si="7">SUM(C59:J59)</f>
        <v>142854</v>
      </c>
      <c r="L59" s="480">
        <v>149971</v>
      </c>
      <c r="M59" s="608"/>
      <c r="N59" s="608"/>
    </row>
    <row r="60" spans="1:14" s="343" customFormat="1" x14ac:dyDescent="0.2">
      <c r="A60" s="1523" t="s">
        <v>483</v>
      </c>
      <c r="B60" s="613">
        <v>2520</v>
      </c>
      <c r="C60" s="466">
        <v>187620</v>
      </c>
      <c r="D60" s="466">
        <v>32952</v>
      </c>
      <c r="E60" s="466">
        <v>41174</v>
      </c>
      <c r="F60" s="466">
        <v>0</v>
      </c>
      <c r="G60" s="466">
        <v>0</v>
      </c>
      <c r="H60" s="466">
        <v>540</v>
      </c>
      <c r="I60" s="467">
        <v>0</v>
      </c>
      <c r="J60" s="467">
        <v>0</v>
      </c>
      <c r="K60" s="1691">
        <f t="shared" si="7"/>
        <v>262286</v>
      </c>
      <c r="L60" s="466">
        <v>279657</v>
      </c>
      <c r="M60" s="608"/>
      <c r="N60" s="608"/>
    </row>
    <row r="61" spans="1:14" s="343" customFormat="1" x14ac:dyDescent="0.2">
      <c r="A61" s="1523" t="s">
        <v>206</v>
      </c>
      <c r="B61" s="613">
        <v>2540</v>
      </c>
      <c r="C61" s="467">
        <v>0</v>
      </c>
      <c r="D61" s="466">
        <v>0</v>
      </c>
      <c r="E61" s="466">
        <v>106488</v>
      </c>
      <c r="F61" s="466">
        <v>0</v>
      </c>
      <c r="G61" s="466">
        <v>0</v>
      </c>
      <c r="H61" s="466">
        <v>0</v>
      </c>
      <c r="I61" s="467">
        <v>0</v>
      </c>
      <c r="J61" s="467">
        <v>0</v>
      </c>
      <c r="K61" s="1691">
        <f t="shared" si="7"/>
        <v>106488</v>
      </c>
      <c r="L61" s="466">
        <v>121000</v>
      </c>
      <c r="M61" s="608"/>
      <c r="N61" s="608"/>
    </row>
    <row r="62" spans="1:14" s="343" customFormat="1" x14ac:dyDescent="0.2">
      <c r="A62" s="1523" t="s">
        <v>1010</v>
      </c>
      <c r="B62" s="613">
        <v>2550</v>
      </c>
      <c r="C62" s="467">
        <v>0</v>
      </c>
      <c r="D62" s="466">
        <v>0</v>
      </c>
      <c r="E62" s="466">
        <v>0</v>
      </c>
      <c r="F62" s="466">
        <v>0</v>
      </c>
      <c r="G62" s="466">
        <v>0</v>
      </c>
      <c r="H62" s="466">
        <v>0</v>
      </c>
      <c r="I62" s="467">
        <v>0</v>
      </c>
      <c r="J62" s="467">
        <v>0</v>
      </c>
      <c r="K62" s="1691">
        <f t="shared" si="7"/>
        <v>0</v>
      </c>
      <c r="L62" s="466">
        <v>46571</v>
      </c>
      <c r="M62" s="608"/>
      <c r="N62" s="608"/>
    </row>
    <row r="63" spans="1:14" s="608" customFormat="1" x14ac:dyDescent="0.2">
      <c r="A63" s="1523" t="s">
        <v>102</v>
      </c>
      <c r="B63" s="613">
        <v>2560</v>
      </c>
      <c r="C63" s="466">
        <v>0</v>
      </c>
      <c r="D63" s="466">
        <v>0</v>
      </c>
      <c r="E63" s="466">
        <v>1406417</v>
      </c>
      <c r="F63" s="466">
        <v>6568</v>
      </c>
      <c r="G63" s="466">
        <v>0</v>
      </c>
      <c r="H63" s="466">
        <v>0</v>
      </c>
      <c r="I63" s="467">
        <v>0</v>
      </c>
      <c r="J63" s="467">
        <v>0</v>
      </c>
      <c r="K63" s="1691">
        <f t="shared" si="7"/>
        <v>1412985</v>
      </c>
      <c r="L63" s="466">
        <v>1370500</v>
      </c>
    </row>
    <row r="64" spans="1:14" s="608" customFormat="1" x14ac:dyDescent="0.2">
      <c r="A64" s="1528" t="s">
        <v>103</v>
      </c>
      <c r="B64" s="629">
        <v>2570</v>
      </c>
      <c r="C64" s="480">
        <v>0</v>
      </c>
      <c r="D64" s="480">
        <v>0</v>
      </c>
      <c r="E64" s="480">
        <v>55440</v>
      </c>
      <c r="F64" s="480">
        <v>0</v>
      </c>
      <c r="G64" s="480">
        <v>0</v>
      </c>
      <c r="H64" s="480">
        <v>0</v>
      </c>
      <c r="I64" s="467">
        <v>0</v>
      </c>
      <c r="J64" s="467">
        <v>0</v>
      </c>
      <c r="K64" s="1691">
        <f t="shared" si="7"/>
        <v>55440</v>
      </c>
      <c r="L64" s="480">
        <v>82500</v>
      </c>
    </row>
    <row r="65" spans="1:14" s="343" customFormat="1" ht="12.75" customHeight="1" thickBot="1" x14ac:dyDescent="0.25">
      <c r="A65" s="1687" t="s">
        <v>743</v>
      </c>
      <c r="B65" s="1688" t="s">
        <v>35</v>
      </c>
      <c r="C65" s="1689">
        <f>SUM(C59:C64)</f>
        <v>291351</v>
      </c>
      <c r="D65" s="1689">
        <f t="shared" ref="D65:L65" si="8">SUM(D59:D64)</f>
        <v>50638</v>
      </c>
      <c r="E65" s="1689">
        <f t="shared" si="8"/>
        <v>1621630</v>
      </c>
      <c r="F65" s="1689">
        <f t="shared" si="8"/>
        <v>13295</v>
      </c>
      <c r="G65" s="1689">
        <f t="shared" si="8"/>
        <v>0</v>
      </c>
      <c r="H65" s="1689">
        <f t="shared" si="8"/>
        <v>3139</v>
      </c>
      <c r="I65" s="1689">
        <f t="shared" si="8"/>
        <v>0</v>
      </c>
      <c r="J65" s="1689">
        <f t="shared" si="8"/>
        <v>0</v>
      </c>
      <c r="K65" s="1689">
        <f t="shared" si="8"/>
        <v>1980053</v>
      </c>
      <c r="L65" s="1689">
        <f t="shared" si="8"/>
        <v>2050199</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3"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3"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3"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3" t="s">
        <v>423</v>
      </c>
      <c r="B70" s="613">
        <v>2640</v>
      </c>
      <c r="C70" s="466">
        <v>181521</v>
      </c>
      <c r="D70" s="466">
        <v>34295</v>
      </c>
      <c r="E70" s="466">
        <v>0</v>
      </c>
      <c r="F70" s="466">
        <v>0</v>
      </c>
      <c r="G70" s="466">
        <v>0</v>
      </c>
      <c r="H70" s="466">
        <v>0</v>
      </c>
      <c r="I70" s="467">
        <v>0</v>
      </c>
      <c r="J70" s="467">
        <v>18885</v>
      </c>
      <c r="K70" s="1691">
        <f>SUM(C70:J70)</f>
        <v>234701</v>
      </c>
      <c r="L70" s="466">
        <v>239318</v>
      </c>
      <c r="M70" s="608"/>
      <c r="N70" s="608"/>
    </row>
    <row r="71" spans="1:14" s="343" customFormat="1" x14ac:dyDescent="0.2">
      <c r="A71" s="1523" t="s">
        <v>424</v>
      </c>
      <c r="B71" s="613">
        <v>2660</v>
      </c>
      <c r="C71" s="466">
        <v>348561</v>
      </c>
      <c r="D71" s="466">
        <v>87089</v>
      </c>
      <c r="E71" s="466">
        <v>376236</v>
      </c>
      <c r="F71" s="466">
        <v>160346</v>
      </c>
      <c r="G71" s="466">
        <v>12058</v>
      </c>
      <c r="H71" s="466">
        <v>0</v>
      </c>
      <c r="I71" s="467">
        <v>0</v>
      </c>
      <c r="J71" s="467">
        <v>0</v>
      </c>
      <c r="K71" s="1691">
        <f>SUM(C71:J71)</f>
        <v>984290</v>
      </c>
      <c r="L71" s="466">
        <v>1028751</v>
      </c>
      <c r="M71" s="608"/>
      <c r="N71" s="608"/>
    </row>
    <row r="72" spans="1:14" s="343" customFormat="1" ht="12.75" customHeight="1" thickBot="1" x14ac:dyDescent="0.25">
      <c r="A72" s="1687" t="s">
        <v>37</v>
      </c>
      <c r="B72" s="1694" t="s">
        <v>36</v>
      </c>
      <c r="C72" s="1689">
        <f>SUM(C67:C71)</f>
        <v>530082</v>
      </c>
      <c r="D72" s="1689">
        <f t="shared" ref="D72:K72" si="9">SUM(D67:D71)</f>
        <v>121384</v>
      </c>
      <c r="E72" s="1689">
        <f t="shared" si="9"/>
        <v>376236</v>
      </c>
      <c r="F72" s="1689">
        <f t="shared" si="9"/>
        <v>160346</v>
      </c>
      <c r="G72" s="1689">
        <f t="shared" si="9"/>
        <v>12058</v>
      </c>
      <c r="H72" s="1689">
        <f t="shared" si="9"/>
        <v>0</v>
      </c>
      <c r="I72" s="1689">
        <f t="shared" si="9"/>
        <v>0</v>
      </c>
      <c r="J72" s="1689">
        <f t="shared" si="9"/>
        <v>18885</v>
      </c>
      <c r="K72" s="1689">
        <f t="shared" si="9"/>
        <v>1218991</v>
      </c>
      <c r="L72" s="1689">
        <f>SUM(L67:L71)</f>
        <v>1268069</v>
      </c>
      <c r="M72" s="608"/>
      <c r="N72" s="608"/>
    </row>
    <row r="73" spans="1:14" s="343" customFormat="1" ht="14.25" thickTop="1" thickBot="1" x14ac:dyDescent="0.25">
      <c r="A73" s="1529" t="s">
        <v>1037</v>
      </c>
      <c r="B73" s="631" t="s">
        <v>595</v>
      </c>
      <c r="C73" s="571">
        <v>33714</v>
      </c>
      <c r="D73" s="571">
        <v>14892</v>
      </c>
      <c r="E73" s="571">
        <v>0</v>
      </c>
      <c r="F73" s="571">
        <v>0</v>
      </c>
      <c r="G73" s="571">
        <v>0</v>
      </c>
      <c r="H73" s="571">
        <v>0</v>
      </c>
      <c r="I73" s="529">
        <v>0</v>
      </c>
      <c r="J73" s="529">
        <v>0</v>
      </c>
      <c r="K73" s="1689">
        <f>SUM(C73:J73)</f>
        <v>48606</v>
      </c>
      <c r="L73" s="574">
        <v>49709</v>
      </c>
      <c r="M73" s="608"/>
      <c r="N73" s="608"/>
    </row>
    <row r="74" spans="1:14" ht="12.75" customHeight="1" thickTop="1" thickBot="1" x14ac:dyDescent="0.25">
      <c r="A74" s="1687" t="s">
        <v>865</v>
      </c>
      <c r="B74" s="1695">
        <v>2000</v>
      </c>
      <c r="C74" s="1696">
        <f>SUM(C42,C47,C53,C57,C65,C72,C73)</f>
        <v>5844723</v>
      </c>
      <c r="D74" s="1696">
        <f t="shared" ref="D74:K74" si="10">SUM(D42,D47,D53,D57,D65,D72,D73)</f>
        <v>1091941</v>
      </c>
      <c r="E74" s="1696">
        <f t="shared" si="10"/>
        <v>3082060</v>
      </c>
      <c r="F74" s="1696">
        <f t="shared" si="10"/>
        <v>697188</v>
      </c>
      <c r="G74" s="1696">
        <f t="shared" si="10"/>
        <v>12058</v>
      </c>
      <c r="H74" s="1696">
        <f t="shared" si="10"/>
        <v>28696</v>
      </c>
      <c r="I74" s="1696">
        <f t="shared" si="10"/>
        <v>0</v>
      </c>
      <c r="J74" s="1696">
        <f t="shared" si="10"/>
        <v>18885</v>
      </c>
      <c r="K74" s="1696">
        <f t="shared" si="10"/>
        <v>10775551</v>
      </c>
      <c r="L74" s="1696">
        <f>SUM(L42,L47,L53,L57,L65,L72,L73)</f>
        <v>10239695</v>
      </c>
    </row>
    <row r="75" spans="1:14" s="259" customFormat="1" ht="15.75" customHeight="1" thickTop="1" thickBot="1" x14ac:dyDescent="0.25">
      <c r="A75" s="1629" t="s">
        <v>49</v>
      </c>
      <c r="B75" s="1630" t="s">
        <v>596</v>
      </c>
      <c r="C75" s="571">
        <v>99235</v>
      </c>
      <c r="D75" s="571">
        <v>12372</v>
      </c>
      <c r="E75" s="571">
        <v>25686</v>
      </c>
      <c r="F75" s="571">
        <v>10672</v>
      </c>
      <c r="G75" s="571">
        <v>0</v>
      </c>
      <c r="H75" s="571">
        <v>0</v>
      </c>
      <c r="I75" s="529">
        <v>0</v>
      </c>
      <c r="J75" s="529">
        <v>0</v>
      </c>
      <c r="K75" s="1689">
        <f>SUM(C75:J75)</f>
        <v>147965</v>
      </c>
      <c r="L75" s="574">
        <v>204913</v>
      </c>
      <c r="M75" s="612"/>
      <c r="N75" s="612"/>
    </row>
    <row r="76" spans="1:14" s="632" customFormat="1" ht="15.75" customHeight="1" thickTop="1" x14ac:dyDescent="0.2">
      <c r="A76" s="1631" t="s">
        <v>383</v>
      </c>
      <c r="B76" s="1628"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3" t="s">
        <v>517</v>
      </c>
      <c r="B78" s="613">
        <v>4110</v>
      </c>
      <c r="C78" s="615"/>
      <c r="D78" s="615"/>
      <c r="E78" s="480">
        <v>11238</v>
      </c>
      <c r="F78" s="615"/>
      <c r="G78" s="615"/>
      <c r="H78" s="633">
        <v>0</v>
      </c>
      <c r="I78" s="476"/>
      <c r="J78" s="476"/>
      <c r="K78" s="1690">
        <f t="shared" ref="K78:K83" si="11">SUM(C78:J78)</f>
        <v>11238</v>
      </c>
      <c r="L78" s="480">
        <v>0</v>
      </c>
    </row>
    <row r="79" spans="1:14" x14ac:dyDescent="0.2">
      <c r="A79" s="1523" t="s">
        <v>322</v>
      </c>
      <c r="B79" s="613">
        <v>4120</v>
      </c>
      <c r="C79" s="615"/>
      <c r="D79" s="615"/>
      <c r="E79" s="466">
        <v>0</v>
      </c>
      <c r="F79" s="615"/>
      <c r="G79" s="615"/>
      <c r="H79" s="466">
        <v>284301</v>
      </c>
      <c r="I79" s="476"/>
      <c r="J79" s="476"/>
      <c r="K79" s="1690">
        <f t="shared" si="11"/>
        <v>284301</v>
      </c>
      <c r="L79" s="466">
        <v>291500</v>
      </c>
    </row>
    <row r="80" spans="1:14" x14ac:dyDescent="0.2">
      <c r="A80" s="1523" t="s">
        <v>323</v>
      </c>
      <c r="B80" s="613">
        <v>4130</v>
      </c>
      <c r="C80" s="615"/>
      <c r="D80" s="615"/>
      <c r="E80" s="466">
        <v>0</v>
      </c>
      <c r="F80" s="615"/>
      <c r="G80" s="615"/>
      <c r="H80" s="466">
        <v>0</v>
      </c>
      <c r="I80" s="476"/>
      <c r="J80" s="476"/>
      <c r="K80" s="1690">
        <f t="shared" si="11"/>
        <v>0</v>
      </c>
      <c r="L80" s="466">
        <v>0</v>
      </c>
    </row>
    <row r="81" spans="1:12" x14ac:dyDescent="0.2">
      <c r="A81" s="1523" t="s">
        <v>721</v>
      </c>
      <c r="B81" s="613">
        <v>4140</v>
      </c>
      <c r="C81" s="615"/>
      <c r="D81" s="615"/>
      <c r="E81" s="466">
        <v>0</v>
      </c>
      <c r="F81" s="615"/>
      <c r="G81" s="615"/>
      <c r="H81" s="466">
        <v>0</v>
      </c>
      <c r="I81" s="476"/>
      <c r="J81" s="476"/>
      <c r="K81" s="1690">
        <f t="shared" si="11"/>
        <v>0</v>
      </c>
      <c r="L81" s="466">
        <v>0</v>
      </c>
    </row>
    <row r="82" spans="1:12" x14ac:dyDescent="0.2">
      <c r="A82" s="1523" t="s">
        <v>88</v>
      </c>
      <c r="B82" s="613">
        <v>4170</v>
      </c>
      <c r="C82" s="615"/>
      <c r="D82" s="615"/>
      <c r="E82" s="466">
        <v>0</v>
      </c>
      <c r="F82" s="615"/>
      <c r="G82" s="615"/>
      <c r="H82" s="466">
        <v>0</v>
      </c>
      <c r="I82" s="476"/>
      <c r="J82" s="476"/>
      <c r="K82" s="1690">
        <f t="shared" si="11"/>
        <v>0</v>
      </c>
      <c r="L82" s="466">
        <v>0</v>
      </c>
    </row>
    <row r="83" spans="1:12" x14ac:dyDescent="0.2">
      <c r="A83" s="1527" t="s">
        <v>722</v>
      </c>
      <c r="B83" s="627">
        <v>4190</v>
      </c>
      <c r="C83" s="615"/>
      <c r="D83" s="615"/>
      <c r="E83" s="466">
        <v>2400</v>
      </c>
      <c r="F83" s="615"/>
      <c r="G83" s="615"/>
      <c r="H83" s="466">
        <v>0</v>
      </c>
      <c r="I83" s="476"/>
      <c r="J83" s="476"/>
      <c r="K83" s="1690">
        <f t="shared" si="11"/>
        <v>2400</v>
      </c>
      <c r="L83" s="466">
        <v>3900</v>
      </c>
    </row>
    <row r="84" spans="1:12" ht="13.5" thickBot="1" x14ac:dyDescent="0.25">
      <c r="A84" s="1687" t="s">
        <v>1565</v>
      </c>
      <c r="B84" s="1697">
        <v>4100</v>
      </c>
      <c r="C84" s="615"/>
      <c r="D84" s="615"/>
      <c r="E84" s="1689">
        <f>SUM(E78:E83)</f>
        <v>13638</v>
      </c>
      <c r="F84" s="615"/>
      <c r="G84" s="615"/>
      <c r="H84" s="1689">
        <f>SUM(H78:H83)</f>
        <v>284301</v>
      </c>
      <c r="I84" s="476"/>
      <c r="J84" s="476"/>
      <c r="K84" s="1689">
        <f>SUM(K78:K83)</f>
        <v>297939</v>
      </c>
      <c r="L84" s="1689">
        <f>SUM(L78:L83)</f>
        <v>295400</v>
      </c>
    </row>
    <row r="85" spans="1:12" ht="12.75" customHeight="1" thickTop="1" thickBot="1" x14ac:dyDescent="0.25">
      <c r="A85" s="1530" t="s">
        <v>273</v>
      </c>
      <c r="B85" s="634">
        <v>4210</v>
      </c>
      <c r="C85" s="615"/>
      <c r="D85" s="615"/>
      <c r="E85" s="635"/>
      <c r="F85" s="615"/>
      <c r="G85" s="615"/>
      <c r="H85" s="533">
        <v>0</v>
      </c>
      <c r="I85" s="476"/>
      <c r="J85" s="476"/>
      <c r="K85" s="1696">
        <f>H85</f>
        <v>0</v>
      </c>
      <c r="L85" s="528">
        <v>0</v>
      </c>
    </row>
    <row r="86" spans="1:12" ht="12.75" customHeight="1" thickTop="1" thickBot="1" x14ac:dyDescent="0.25">
      <c r="A86" s="1531" t="s">
        <v>723</v>
      </c>
      <c r="B86" s="636">
        <v>4220</v>
      </c>
      <c r="C86" s="615"/>
      <c r="D86" s="615"/>
      <c r="E86" s="637"/>
      <c r="F86" s="615"/>
      <c r="G86" s="615"/>
      <c r="H86" s="467">
        <v>188535</v>
      </c>
      <c r="I86" s="476"/>
      <c r="J86" s="476"/>
      <c r="K86" s="1696">
        <f t="shared" ref="K86:K98" si="12">H86</f>
        <v>188535</v>
      </c>
      <c r="L86" s="528">
        <v>350000</v>
      </c>
    </row>
    <row r="87" spans="1:12" ht="14.25" thickTop="1" thickBot="1" x14ac:dyDescent="0.25">
      <c r="A87" s="1532" t="s">
        <v>724</v>
      </c>
      <c r="B87" s="638">
        <v>4230</v>
      </c>
      <c r="C87" s="615"/>
      <c r="D87" s="615"/>
      <c r="E87" s="637"/>
      <c r="F87" s="615"/>
      <c r="G87" s="615"/>
      <c r="H87" s="467">
        <v>0</v>
      </c>
      <c r="I87" s="476"/>
      <c r="J87" s="476"/>
      <c r="K87" s="1696">
        <f t="shared" si="12"/>
        <v>0</v>
      </c>
      <c r="L87" s="528">
        <v>0</v>
      </c>
    </row>
    <row r="88" spans="1:12" ht="12.75" customHeight="1" thickTop="1" thickBot="1" x14ac:dyDescent="0.25">
      <c r="A88" s="1532" t="s">
        <v>789</v>
      </c>
      <c r="B88" s="638">
        <v>4240</v>
      </c>
      <c r="C88" s="615"/>
      <c r="D88" s="615"/>
      <c r="E88" s="637"/>
      <c r="F88" s="615"/>
      <c r="G88" s="615"/>
      <c r="H88" s="467">
        <v>0</v>
      </c>
      <c r="I88" s="476"/>
      <c r="J88" s="476"/>
      <c r="K88" s="1696">
        <f t="shared" si="12"/>
        <v>0</v>
      </c>
      <c r="L88" s="528">
        <v>0</v>
      </c>
    </row>
    <row r="89" spans="1:12" ht="12.75" customHeight="1" thickTop="1" thickBot="1" x14ac:dyDescent="0.25">
      <c r="A89" s="1532" t="s">
        <v>725</v>
      </c>
      <c r="B89" s="638">
        <v>4270</v>
      </c>
      <c r="C89" s="615"/>
      <c r="D89" s="615"/>
      <c r="E89" s="637"/>
      <c r="F89" s="615"/>
      <c r="G89" s="615"/>
      <c r="H89" s="467">
        <v>0</v>
      </c>
      <c r="I89" s="476"/>
      <c r="J89" s="476"/>
      <c r="K89" s="1696">
        <f t="shared" si="12"/>
        <v>0</v>
      </c>
      <c r="L89" s="528">
        <v>0</v>
      </c>
    </row>
    <row r="90" spans="1:12" ht="12.75" customHeight="1" thickTop="1" thickBot="1" x14ac:dyDescent="0.25">
      <c r="A90" s="1532" t="s">
        <v>710</v>
      </c>
      <c r="B90" s="638">
        <v>4280</v>
      </c>
      <c r="C90" s="615"/>
      <c r="D90" s="615"/>
      <c r="E90" s="637"/>
      <c r="F90" s="615"/>
      <c r="G90" s="615"/>
      <c r="H90" s="467">
        <v>0</v>
      </c>
      <c r="I90" s="476"/>
      <c r="J90" s="476"/>
      <c r="K90" s="1696">
        <f t="shared" si="12"/>
        <v>0</v>
      </c>
      <c r="L90" s="528">
        <v>0</v>
      </c>
    </row>
    <row r="91" spans="1:12" ht="12.75" customHeight="1" thickTop="1" thickBot="1" x14ac:dyDescent="0.25">
      <c r="A91" s="1532" t="s">
        <v>711</v>
      </c>
      <c r="B91" s="638">
        <v>4290</v>
      </c>
      <c r="C91" s="615"/>
      <c r="D91" s="615"/>
      <c r="E91" s="637"/>
      <c r="F91" s="615"/>
      <c r="G91" s="615"/>
      <c r="H91" s="467">
        <v>0</v>
      </c>
      <c r="I91" s="476"/>
      <c r="J91" s="476"/>
      <c r="K91" s="1696">
        <f t="shared" si="12"/>
        <v>0</v>
      </c>
      <c r="L91" s="528">
        <v>0</v>
      </c>
    </row>
    <row r="92" spans="1:12" ht="14.25" thickTop="1" thickBot="1" x14ac:dyDescent="0.25">
      <c r="A92" s="1699" t="s">
        <v>1639</v>
      </c>
      <c r="B92" s="1697">
        <v>4200</v>
      </c>
      <c r="C92" s="615"/>
      <c r="D92" s="615"/>
      <c r="E92" s="637"/>
      <c r="F92" s="615"/>
      <c r="G92" s="615"/>
      <c r="H92" s="1689">
        <f>SUM(H85:H91)</f>
        <v>188535</v>
      </c>
      <c r="I92" s="476"/>
      <c r="J92" s="476"/>
      <c r="K92" s="1696">
        <f t="shared" si="12"/>
        <v>188535</v>
      </c>
      <c r="L92" s="1689">
        <f>SUM(L85:L91)</f>
        <v>350000</v>
      </c>
    </row>
    <row r="93" spans="1:12" ht="14.25" thickTop="1" thickBot="1" x14ac:dyDescent="0.25">
      <c r="A93" s="1531" t="s">
        <v>712</v>
      </c>
      <c r="B93" s="639">
        <v>4310</v>
      </c>
      <c r="C93" s="615"/>
      <c r="D93" s="615"/>
      <c r="E93" s="637"/>
      <c r="F93" s="615"/>
      <c r="G93" s="615"/>
      <c r="H93" s="640">
        <v>0</v>
      </c>
      <c r="I93" s="476"/>
      <c r="J93" s="476"/>
      <c r="K93" s="1696">
        <f t="shared" si="12"/>
        <v>0</v>
      </c>
      <c r="L93" s="530">
        <v>0</v>
      </c>
    </row>
    <row r="94" spans="1:12" ht="12.75" customHeight="1" thickTop="1" thickBot="1" x14ac:dyDescent="0.25">
      <c r="A94" s="1532" t="s">
        <v>713</v>
      </c>
      <c r="B94" s="638">
        <v>4320</v>
      </c>
      <c r="C94" s="615"/>
      <c r="D94" s="615"/>
      <c r="E94" s="637"/>
      <c r="F94" s="615"/>
      <c r="G94" s="615"/>
      <c r="H94" s="467">
        <v>0</v>
      </c>
      <c r="I94" s="476"/>
      <c r="J94" s="476"/>
      <c r="K94" s="1696">
        <f t="shared" si="12"/>
        <v>0</v>
      </c>
      <c r="L94" s="528">
        <v>0</v>
      </c>
    </row>
    <row r="95" spans="1:12" ht="15" customHeight="1" thickTop="1" thickBot="1" x14ac:dyDescent="0.25">
      <c r="A95" s="1532" t="s">
        <v>1568</v>
      </c>
      <c r="B95" s="638">
        <v>4330</v>
      </c>
      <c r="C95" s="615"/>
      <c r="D95" s="615"/>
      <c r="E95" s="637"/>
      <c r="F95" s="615"/>
      <c r="G95" s="615"/>
      <c r="H95" s="467">
        <v>0</v>
      </c>
      <c r="I95" s="476"/>
      <c r="J95" s="476"/>
      <c r="K95" s="1696">
        <f t="shared" si="12"/>
        <v>0</v>
      </c>
      <c r="L95" s="528">
        <v>0</v>
      </c>
    </row>
    <row r="96" spans="1:12" ht="14.25" thickTop="1" thickBot="1" x14ac:dyDescent="0.25">
      <c r="A96" s="1532" t="s">
        <v>714</v>
      </c>
      <c r="B96" s="638">
        <v>4340</v>
      </c>
      <c r="C96" s="615"/>
      <c r="D96" s="615"/>
      <c r="E96" s="637"/>
      <c r="F96" s="615"/>
      <c r="G96" s="615"/>
      <c r="H96" s="467">
        <v>0</v>
      </c>
      <c r="I96" s="476"/>
      <c r="J96" s="476"/>
      <c r="K96" s="1696">
        <f t="shared" si="12"/>
        <v>0</v>
      </c>
      <c r="L96" s="528">
        <v>0</v>
      </c>
    </row>
    <row r="97" spans="1:14" ht="12.75" customHeight="1" thickTop="1" thickBot="1" x14ac:dyDescent="0.25">
      <c r="A97" s="1532" t="s">
        <v>787</v>
      </c>
      <c r="B97" s="638">
        <v>4370</v>
      </c>
      <c r="C97" s="615"/>
      <c r="D97" s="615"/>
      <c r="E97" s="637"/>
      <c r="F97" s="615"/>
      <c r="G97" s="615"/>
      <c r="H97" s="467">
        <v>0</v>
      </c>
      <c r="I97" s="476"/>
      <c r="J97" s="476"/>
      <c r="K97" s="1696">
        <f t="shared" si="12"/>
        <v>0</v>
      </c>
      <c r="L97" s="528">
        <v>0</v>
      </c>
    </row>
    <row r="98" spans="1:14" ht="14.25" thickTop="1" thickBot="1" x14ac:dyDescent="0.25">
      <c r="A98" s="1532" t="s">
        <v>788</v>
      </c>
      <c r="B98" s="638">
        <v>4380</v>
      </c>
      <c r="C98" s="615"/>
      <c r="D98" s="615"/>
      <c r="E98" s="641"/>
      <c r="F98" s="615"/>
      <c r="G98" s="615"/>
      <c r="H98" s="467">
        <v>0</v>
      </c>
      <c r="I98" s="476"/>
      <c r="J98" s="476"/>
      <c r="K98" s="1696">
        <f t="shared" si="12"/>
        <v>0</v>
      </c>
      <c r="L98" s="528">
        <v>0</v>
      </c>
    </row>
    <row r="99" spans="1:14" ht="14.25" thickTop="1" thickBot="1" x14ac:dyDescent="0.25">
      <c r="A99" s="1532"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29"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13638</v>
      </c>
      <c r="F102" s="615"/>
      <c r="G102" s="615"/>
      <c r="H102" s="1696">
        <f>SUM(H84,H92,H100,H101)</f>
        <v>472836</v>
      </c>
      <c r="I102" s="476"/>
      <c r="J102" s="476"/>
      <c r="K102" s="1696">
        <f>SUM(K84,K92,K100,K101)</f>
        <v>486474</v>
      </c>
      <c r="L102" s="1696">
        <f>SUM(L84,L92,L100,L101)</f>
        <v>645400</v>
      </c>
    </row>
    <row r="103" spans="1:14" s="632" customFormat="1" ht="15.75" customHeight="1" thickTop="1" x14ac:dyDescent="0.2">
      <c r="A103" s="1631" t="s">
        <v>534</v>
      </c>
      <c r="B103" s="1628"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3"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3"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3"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3"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3"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3"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5" t="s">
        <v>535</v>
      </c>
      <c r="B113" s="1632"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20778924</v>
      </c>
      <c r="D114" s="1689">
        <f t="shared" ref="D114:K114" si="13">SUM(D33,D74,D75,D102,D112,D113)</f>
        <v>4127805</v>
      </c>
      <c r="E114" s="1689">
        <f t="shared" si="13"/>
        <v>3277923</v>
      </c>
      <c r="F114" s="1689">
        <f t="shared" si="13"/>
        <v>1221088</v>
      </c>
      <c r="G114" s="1689">
        <f t="shared" si="13"/>
        <v>12058</v>
      </c>
      <c r="H114" s="1689">
        <f>SUM(H33,H74,H75,H102,H112,H113)</f>
        <v>1313111</v>
      </c>
      <c r="I114" s="1689">
        <f t="shared" si="13"/>
        <v>0</v>
      </c>
      <c r="J114" s="1689">
        <f t="shared" si="13"/>
        <v>18885</v>
      </c>
      <c r="K114" s="1689">
        <f t="shared" si="13"/>
        <v>30749794</v>
      </c>
      <c r="L114" s="1689">
        <f>SUM(L33,L74,L75,L102,L112,L113)</f>
        <v>31614732</v>
      </c>
    </row>
    <row r="115" spans="1:14" ht="13.5" thickTop="1" x14ac:dyDescent="0.2">
      <c r="A115" s="2298" t="s">
        <v>1053</v>
      </c>
      <c r="B115" s="2299"/>
      <c r="C115" s="617"/>
      <c r="D115" s="617"/>
      <c r="E115" s="617"/>
      <c r="F115" s="617"/>
      <c r="G115" s="617"/>
      <c r="H115" s="617"/>
      <c r="I115" s="617"/>
      <c r="J115" s="617"/>
      <c r="K115" s="1703">
        <f>'Revenues 9-14'!C275-'Expenditures 15-22'!K114</f>
        <v>-544226</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276" t="s">
        <v>314</v>
      </c>
      <c r="B117" s="2277"/>
      <c r="C117" s="1645"/>
      <c r="D117" s="1646"/>
      <c r="E117" s="1646"/>
      <c r="F117" s="1646"/>
      <c r="G117" s="1646"/>
      <c r="H117" s="1646"/>
      <c r="I117" s="1646"/>
      <c r="J117" s="1646"/>
      <c r="K117" s="1646"/>
      <c r="L117" s="1647"/>
      <c r="M117" s="175"/>
      <c r="N117" s="175"/>
    </row>
    <row r="118" spans="1:14" ht="15.75" customHeight="1" x14ac:dyDescent="0.2">
      <c r="A118" s="1633" t="s">
        <v>1095</v>
      </c>
      <c r="B118" s="1634"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7"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3"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3" t="s">
        <v>4</v>
      </c>
      <c r="B123" s="613">
        <v>2530</v>
      </c>
      <c r="C123" s="466">
        <v>0</v>
      </c>
      <c r="D123" s="466">
        <v>0</v>
      </c>
      <c r="E123" s="466">
        <v>0</v>
      </c>
      <c r="F123" s="466">
        <v>0</v>
      </c>
      <c r="G123" s="466">
        <v>0</v>
      </c>
      <c r="H123" s="466">
        <v>0</v>
      </c>
      <c r="I123" s="467">
        <v>0</v>
      </c>
      <c r="J123" s="467">
        <v>0</v>
      </c>
      <c r="K123" s="1689">
        <f>SUM(C123:J123)</f>
        <v>0</v>
      </c>
      <c r="L123" s="466">
        <v>5000</v>
      </c>
    </row>
    <row r="124" spans="1:14" ht="14.25" thickTop="1" thickBot="1" x14ac:dyDescent="0.25">
      <c r="A124" s="1523" t="s">
        <v>206</v>
      </c>
      <c r="B124" s="613">
        <v>2540</v>
      </c>
      <c r="C124" s="466">
        <v>168862</v>
      </c>
      <c r="D124" s="466">
        <v>41106</v>
      </c>
      <c r="E124" s="466">
        <v>1375278</v>
      </c>
      <c r="F124" s="466">
        <v>603884</v>
      </c>
      <c r="G124" s="466">
        <v>181276</v>
      </c>
      <c r="H124" s="466">
        <v>0</v>
      </c>
      <c r="I124" s="467">
        <v>0</v>
      </c>
      <c r="J124" s="467">
        <v>0</v>
      </c>
      <c r="K124" s="1689">
        <f>SUM(C124:J124)</f>
        <v>2370406</v>
      </c>
      <c r="L124" s="466">
        <v>2373979</v>
      </c>
    </row>
    <row r="125" spans="1:14" ht="14.25" thickTop="1" thickBot="1" x14ac:dyDescent="0.25">
      <c r="A125" s="1523"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3"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168862</v>
      </c>
      <c r="D127" s="1689">
        <f t="shared" ref="D127:L127" si="14">SUM(D122:D126)</f>
        <v>41106</v>
      </c>
      <c r="E127" s="1689">
        <f t="shared" si="14"/>
        <v>1375278</v>
      </c>
      <c r="F127" s="1689">
        <f t="shared" si="14"/>
        <v>603884</v>
      </c>
      <c r="G127" s="1689">
        <f t="shared" si="14"/>
        <v>181276</v>
      </c>
      <c r="H127" s="1689">
        <f t="shared" si="14"/>
        <v>0</v>
      </c>
      <c r="I127" s="1689">
        <f t="shared" si="14"/>
        <v>0</v>
      </c>
      <c r="J127" s="1689">
        <f t="shared" si="14"/>
        <v>0</v>
      </c>
      <c r="K127" s="1689">
        <f t="shared" si="14"/>
        <v>2370406</v>
      </c>
      <c r="L127" s="1689">
        <f t="shared" si="14"/>
        <v>2378979</v>
      </c>
    </row>
    <row r="128" spans="1:14" ht="12.75" customHeight="1" thickTop="1" x14ac:dyDescent="0.2">
      <c r="A128" s="1530"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168862</v>
      </c>
      <c r="D129" s="1696">
        <f t="shared" ref="D129:L129" si="15">SUM(D120,D127,D128)</f>
        <v>41106</v>
      </c>
      <c r="E129" s="1696">
        <f t="shared" si="15"/>
        <v>1375278</v>
      </c>
      <c r="F129" s="1696">
        <f t="shared" si="15"/>
        <v>603884</v>
      </c>
      <c r="G129" s="1696">
        <f t="shared" si="15"/>
        <v>181276</v>
      </c>
      <c r="H129" s="1696">
        <f t="shared" si="15"/>
        <v>0</v>
      </c>
      <c r="I129" s="1696">
        <f t="shared" si="15"/>
        <v>0</v>
      </c>
      <c r="J129" s="1696">
        <f t="shared" si="15"/>
        <v>0</v>
      </c>
      <c r="K129" s="1696">
        <f t="shared" si="15"/>
        <v>2370406</v>
      </c>
      <c r="L129" s="1696">
        <f t="shared" si="15"/>
        <v>2378979</v>
      </c>
    </row>
    <row r="130" spans="1:14" ht="15.75" customHeight="1" thickTop="1" thickBot="1" x14ac:dyDescent="0.25">
      <c r="A130" s="1629" t="s">
        <v>1096</v>
      </c>
      <c r="B130" s="1630"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5" t="s">
        <v>637</v>
      </c>
      <c r="B131" s="1628"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09" t="s">
        <v>517</v>
      </c>
      <c r="B133" s="1861" t="s">
        <v>1951</v>
      </c>
      <c r="C133" s="468"/>
      <c r="D133" s="468"/>
      <c r="E133" s="640">
        <v>0</v>
      </c>
      <c r="F133" s="468"/>
      <c r="G133" s="468"/>
      <c r="H133" s="640">
        <v>0</v>
      </c>
      <c r="I133" s="468"/>
      <c r="J133" s="468"/>
      <c r="K133" s="1841">
        <f>SUM(E133,H133)</f>
        <v>0</v>
      </c>
      <c r="L133" s="640">
        <v>0</v>
      </c>
      <c r="M133" s="206"/>
      <c r="N133" s="206"/>
    </row>
    <row r="134" spans="1:14" x14ac:dyDescent="0.2">
      <c r="A134" s="1523" t="s">
        <v>322</v>
      </c>
      <c r="B134" s="613">
        <v>4120</v>
      </c>
      <c r="C134" s="615"/>
      <c r="D134" s="615"/>
      <c r="E134" s="477">
        <v>0</v>
      </c>
      <c r="F134" s="615"/>
      <c r="G134" s="615"/>
      <c r="H134" s="480">
        <v>0</v>
      </c>
      <c r="I134" s="476"/>
      <c r="J134" s="615"/>
      <c r="K134" s="1691">
        <f>SUM(E134,H134)</f>
        <v>0</v>
      </c>
      <c r="L134" s="640">
        <v>0</v>
      </c>
    </row>
    <row r="135" spans="1:14" x14ac:dyDescent="0.2">
      <c r="A135" s="1523" t="s">
        <v>721</v>
      </c>
      <c r="B135" s="613">
        <v>4140</v>
      </c>
      <c r="C135" s="615"/>
      <c r="D135" s="615"/>
      <c r="E135" s="467">
        <v>0</v>
      </c>
      <c r="F135" s="615"/>
      <c r="G135" s="615"/>
      <c r="H135" s="466">
        <v>0</v>
      </c>
      <c r="I135" s="476"/>
      <c r="J135" s="615"/>
      <c r="K135" s="1691">
        <f>SUM(E135,H135)</f>
        <v>0</v>
      </c>
      <c r="L135" s="466">
        <v>0</v>
      </c>
    </row>
    <row r="136" spans="1:14" x14ac:dyDescent="0.2">
      <c r="A136" s="1527"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29"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1" t="s">
        <v>1097</v>
      </c>
      <c r="B140" s="1632"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3" t="s">
        <v>89</v>
      </c>
      <c r="B142" s="613">
        <v>5110</v>
      </c>
      <c r="C142" s="615"/>
      <c r="D142" s="615"/>
      <c r="E142" s="615"/>
      <c r="F142" s="615"/>
      <c r="G142" s="615"/>
      <c r="H142" s="480">
        <v>0</v>
      </c>
      <c r="I142" s="468"/>
      <c r="J142" s="615"/>
      <c r="K142" s="1691">
        <f>SUM(H142)</f>
        <v>0</v>
      </c>
      <c r="L142" s="480">
        <v>0</v>
      </c>
    </row>
    <row r="143" spans="1:14" x14ac:dyDescent="0.2">
      <c r="A143" s="1523" t="s">
        <v>90</v>
      </c>
      <c r="B143" s="613">
        <v>5120</v>
      </c>
      <c r="C143" s="615"/>
      <c r="D143" s="615"/>
      <c r="E143" s="615"/>
      <c r="F143" s="615"/>
      <c r="G143" s="615"/>
      <c r="H143" s="466">
        <v>0</v>
      </c>
      <c r="I143" s="468"/>
      <c r="J143" s="615"/>
      <c r="K143" s="1691">
        <f>SUM(H143)</f>
        <v>0</v>
      </c>
      <c r="L143" s="466">
        <v>0</v>
      </c>
    </row>
    <row r="144" spans="1:14" ht="12.75" customHeight="1" x14ac:dyDescent="0.2">
      <c r="A144" s="1523" t="s">
        <v>1232</v>
      </c>
      <c r="B144" s="627" t="s">
        <v>638</v>
      </c>
      <c r="C144" s="615"/>
      <c r="D144" s="615"/>
      <c r="E144" s="615"/>
      <c r="F144" s="615"/>
      <c r="G144" s="615"/>
      <c r="H144" s="466">
        <v>0</v>
      </c>
      <c r="I144" s="468"/>
      <c r="J144" s="615"/>
      <c r="K144" s="1691">
        <f>SUM(H144)</f>
        <v>0</v>
      </c>
      <c r="L144" s="466">
        <v>0</v>
      </c>
    </row>
    <row r="145" spans="1:14" x14ac:dyDescent="0.2">
      <c r="A145" s="1523" t="s">
        <v>91</v>
      </c>
      <c r="B145" s="613" t="s">
        <v>610</v>
      </c>
      <c r="C145" s="615"/>
      <c r="D145" s="615"/>
      <c r="E145" s="615"/>
      <c r="F145" s="615"/>
      <c r="G145" s="615"/>
      <c r="H145" s="466">
        <v>0</v>
      </c>
      <c r="I145" s="468"/>
      <c r="J145" s="615"/>
      <c r="K145" s="1691">
        <f>SUM(H145)</f>
        <v>0</v>
      </c>
      <c r="L145" s="466">
        <v>0</v>
      </c>
    </row>
    <row r="146" spans="1:14" ht="12.75" customHeight="1" x14ac:dyDescent="0.2">
      <c r="A146" s="1523" t="s">
        <v>640</v>
      </c>
      <c r="B146" s="613" t="s">
        <v>639</v>
      </c>
      <c r="C146" s="615"/>
      <c r="D146" s="615"/>
      <c r="E146" s="615"/>
      <c r="F146" s="615"/>
      <c r="G146" s="615"/>
      <c r="H146" s="466">
        <v>0</v>
      </c>
      <c r="I146" s="468"/>
      <c r="J146" s="615"/>
      <c r="K146" s="1691">
        <f>SUM(H146)</f>
        <v>0</v>
      </c>
      <c r="L146" s="466">
        <v>0</v>
      </c>
    </row>
    <row r="147" spans="1:14" ht="12.75" customHeight="1" thickBot="1" x14ac:dyDescent="0.25">
      <c r="A147" s="1534"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6"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5" t="s">
        <v>1098</v>
      </c>
      <c r="B150" s="1632" t="s">
        <v>916</v>
      </c>
      <c r="C150" s="615"/>
      <c r="D150" s="615"/>
      <c r="E150" s="615"/>
      <c r="F150" s="615"/>
      <c r="G150" s="615"/>
      <c r="H150" s="661"/>
      <c r="I150" s="519"/>
      <c r="J150" s="615"/>
      <c r="K150" s="622"/>
      <c r="L150" s="571">
        <v>0</v>
      </c>
    </row>
    <row r="151" spans="1:14" ht="12.75" customHeight="1" thickTop="1" thickBot="1" x14ac:dyDescent="0.25">
      <c r="A151" s="2288" t="s">
        <v>641</v>
      </c>
      <c r="B151" s="2270"/>
      <c r="C151" s="1689">
        <f>SUM(C129,C130,C139,C149,C150)</f>
        <v>168862</v>
      </c>
      <c r="D151" s="1689">
        <f t="shared" ref="D151:K151" si="16">SUM(D129,D130,D139,D149,D150)</f>
        <v>41106</v>
      </c>
      <c r="E151" s="1689">
        <f t="shared" si="16"/>
        <v>1375278</v>
      </c>
      <c r="F151" s="1689">
        <f t="shared" si="16"/>
        <v>603884</v>
      </c>
      <c r="G151" s="1689">
        <f t="shared" si="16"/>
        <v>181276</v>
      </c>
      <c r="H151" s="1689">
        <f t="shared" si="16"/>
        <v>0</v>
      </c>
      <c r="I151" s="1689">
        <f t="shared" si="16"/>
        <v>0</v>
      </c>
      <c r="J151" s="1689">
        <f t="shared" si="16"/>
        <v>0</v>
      </c>
      <c r="K151" s="1689">
        <f t="shared" si="16"/>
        <v>2370406</v>
      </c>
      <c r="L151" s="1689">
        <f>SUM(L129,L130,L139,L149,L150)</f>
        <v>2378979</v>
      </c>
    </row>
    <row r="152" spans="1:14" ht="12.75" customHeight="1" thickTop="1" x14ac:dyDescent="0.2">
      <c r="A152" s="2291" t="s">
        <v>1240</v>
      </c>
      <c r="B152" s="2292"/>
      <c r="C152" s="617"/>
      <c r="D152" s="617"/>
      <c r="E152" s="617"/>
      <c r="F152" s="617"/>
      <c r="G152" s="617"/>
      <c r="H152" s="617"/>
      <c r="I152" s="617"/>
      <c r="J152" s="615"/>
      <c r="K152" s="1703">
        <f>'Revenues 9-14'!D275-'Expenditures 15-22'!K151</f>
        <v>241672</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276" t="s">
        <v>642</v>
      </c>
      <c r="B154" s="2278"/>
      <c r="C154" s="1645"/>
      <c r="D154" s="1646"/>
      <c r="E154" s="1646"/>
      <c r="F154" s="1646"/>
      <c r="G154" s="1646"/>
      <c r="H154" s="1646"/>
      <c r="I154" s="1646"/>
      <c r="J154" s="1646"/>
      <c r="K154" s="1646"/>
      <c r="L154" s="1647"/>
      <c r="M154" s="666"/>
      <c r="N154" s="666"/>
    </row>
    <row r="155" spans="1:14" s="619" customFormat="1" ht="15.75" customHeight="1" thickBot="1" x14ac:dyDescent="0.25">
      <c r="A155" s="1636" t="s">
        <v>83</v>
      </c>
      <c r="B155" s="1637"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1952</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1951</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1953</v>
      </c>
      <c r="C158" s="615"/>
      <c r="D158" s="615"/>
      <c r="E158" s="615"/>
      <c r="F158" s="615"/>
      <c r="G158" s="615"/>
      <c r="H158" s="467">
        <v>0</v>
      </c>
      <c r="I158" s="615"/>
      <c r="J158" s="615"/>
      <c r="K158" s="1690">
        <f>H158</f>
        <v>0</v>
      </c>
      <c r="L158" s="467">
        <v>0</v>
      </c>
      <c r="M158" s="618"/>
      <c r="N158" s="618"/>
    </row>
    <row r="159" spans="1:14" s="619" customFormat="1" ht="12" x14ac:dyDescent="0.2">
      <c r="A159" s="1846" t="s">
        <v>1954</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1955</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1" t="s">
        <v>84</v>
      </c>
      <c r="B161" s="1632"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3" t="s">
        <v>89</v>
      </c>
      <c r="B163" s="613">
        <v>5110</v>
      </c>
      <c r="C163" s="615"/>
      <c r="D163" s="615"/>
      <c r="E163" s="615"/>
      <c r="F163" s="615"/>
      <c r="G163" s="615"/>
      <c r="H163" s="640">
        <v>0</v>
      </c>
      <c r="I163" s="615"/>
      <c r="J163" s="615"/>
      <c r="K163" s="1690">
        <f>SUM(C163:J163)</f>
        <v>0</v>
      </c>
      <c r="L163" s="640">
        <v>0</v>
      </c>
    </row>
    <row r="164" spans="1:14" x14ac:dyDescent="0.2">
      <c r="A164" s="1523" t="s">
        <v>90</v>
      </c>
      <c r="B164" s="613">
        <v>5120</v>
      </c>
      <c r="C164" s="615"/>
      <c r="D164" s="615"/>
      <c r="E164" s="615"/>
      <c r="F164" s="615"/>
      <c r="G164" s="615"/>
      <c r="H164" s="466">
        <v>0</v>
      </c>
      <c r="I164" s="615"/>
      <c r="J164" s="615"/>
      <c r="K164" s="1690">
        <f>SUM(C164:J164)</f>
        <v>0</v>
      </c>
      <c r="L164" s="466">
        <v>0</v>
      </c>
    </row>
    <row r="165" spans="1:14" ht="12.75" customHeight="1" x14ac:dyDescent="0.2">
      <c r="A165" s="1523" t="s">
        <v>1232</v>
      </c>
      <c r="B165" s="613" t="s">
        <v>638</v>
      </c>
      <c r="C165" s="615"/>
      <c r="D165" s="615"/>
      <c r="E165" s="615"/>
      <c r="F165" s="615"/>
      <c r="G165" s="615"/>
      <c r="H165" s="466">
        <v>0</v>
      </c>
      <c r="I165" s="615"/>
      <c r="J165" s="615"/>
      <c r="K165" s="1690">
        <f>SUM(C165:J165)</f>
        <v>0</v>
      </c>
      <c r="L165" s="466">
        <v>0</v>
      </c>
    </row>
    <row r="166" spans="1:14" x14ac:dyDescent="0.2">
      <c r="A166" s="1523" t="s">
        <v>91</v>
      </c>
      <c r="B166" s="627" t="s">
        <v>610</v>
      </c>
      <c r="C166" s="615"/>
      <c r="D166" s="615"/>
      <c r="E166" s="615"/>
      <c r="F166" s="615"/>
      <c r="G166" s="615"/>
      <c r="H166" s="466">
        <v>0</v>
      </c>
      <c r="I166" s="615"/>
      <c r="J166" s="615"/>
      <c r="K166" s="1690">
        <f>SUM(C166:J166)</f>
        <v>0</v>
      </c>
      <c r="L166" s="466">
        <v>0</v>
      </c>
    </row>
    <row r="167" spans="1:14" ht="12.75" customHeight="1" x14ac:dyDescent="0.2">
      <c r="A167" s="1523"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249445</v>
      </c>
      <c r="I169" s="615"/>
      <c r="J169" s="615"/>
      <c r="K169" s="1690">
        <f>SUM(C169:H169)</f>
        <v>249445</v>
      </c>
      <c r="L169" s="655">
        <v>249445</v>
      </c>
    </row>
    <row r="170" spans="1:14" ht="33.75" customHeight="1" x14ac:dyDescent="0.2">
      <c r="A170" s="668" t="s">
        <v>1767</v>
      </c>
      <c r="B170" s="670" t="s">
        <v>31</v>
      </c>
      <c r="C170" s="615"/>
      <c r="D170" s="615"/>
      <c r="E170" s="615"/>
      <c r="F170" s="615"/>
      <c r="G170" s="615"/>
      <c r="H170" s="567">
        <v>335803</v>
      </c>
      <c r="I170" s="615"/>
      <c r="J170" s="615"/>
      <c r="K170" s="1690">
        <f>SUM(C170:J170)</f>
        <v>335803</v>
      </c>
      <c r="L170" s="567">
        <v>335803</v>
      </c>
    </row>
    <row r="171" spans="1:14" ht="15.75" customHeight="1" x14ac:dyDescent="0.2">
      <c r="A171" s="620" t="s">
        <v>790</v>
      </c>
      <c r="B171" s="671" t="s">
        <v>86</v>
      </c>
      <c r="C171" s="615"/>
      <c r="D171" s="615"/>
      <c r="E171" s="466">
        <v>450</v>
      </c>
      <c r="F171" s="615"/>
      <c r="G171" s="615"/>
      <c r="H171" s="567">
        <v>0</v>
      </c>
      <c r="I171" s="476"/>
      <c r="J171" s="615"/>
      <c r="K171" s="1690">
        <f>SUM(C171:J171)</f>
        <v>450</v>
      </c>
      <c r="L171" s="567">
        <v>450</v>
      </c>
    </row>
    <row r="172" spans="1:14" ht="12.75" customHeight="1" thickBot="1" x14ac:dyDescent="0.25">
      <c r="A172" s="1687" t="s">
        <v>659</v>
      </c>
      <c r="B172" s="1688" t="s">
        <v>513</v>
      </c>
      <c r="C172" s="615"/>
      <c r="D172" s="615"/>
      <c r="E172" s="1696">
        <f>SUM(E168,E169,E170,E171)</f>
        <v>450</v>
      </c>
      <c r="F172" s="615"/>
      <c r="G172" s="615"/>
      <c r="H172" s="1696">
        <f>SUM(H168,H169,H170,H171)</f>
        <v>585248</v>
      </c>
      <c r="I172" s="637"/>
      <c r="J172" s="615"/>
      <c r="K172" s="1696">
        <f>SUM(K168,K169,K170,K171)</f>
        <v>585698</v>
      </c>
      <c r="L172" s="1696">
        <f>SUM(L168,L169,L170,L171)</f>
        <v>585698</v>
      </c>
    </row>
    <row r="173" spans="1:14" ht="15.75" customHeight="1" thickTop="1" thickBot="1" x14ac:dyDescent="0.25">
      <c r="A173" s="1638" t="s">
        <v>87</v>
      </c>
      <c r="B173" s="1630"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450</v>
      </c>
      <c r="F174" s="615"/>
      <c r="G174" s="615"/>
      <c r="H174" s="1696">
        <f>SUM(H160,H172,H173)</f>
        <v>585248</v>
      </c>
      <c r="I174" s="637"/>
      <c r="J174" s="615"/>
      <c r="K174" s="1696">
        <f>SUM(K160,K172,K173)</f>
        <v>585698</v>
      </c>
      <c r="L174" s="1696">
        <f>SUM(L160,L172,L173)</f>
        <v>585698</v>
      </c>
    </row>
    <row r="175" spans="1:14" ht="13.5" thickTop="1" x14ac:dyDescent="0.2">
      <c r="A175" s="2298" t="s">
        <v>1053</v>
      </c>
      <c r="B175" s="2299"/>
      <c r="C175" s="615"/>
      <c r="D175" s="615"/>
      <c r="E175" s="615"/>
      <c r="F175" s="615"/>
      <c r="G175" s="615"/>
      <c r="H175" s="617"/>
      <c r="I175" s="615"/>
      <c r="J175" s="615"/>
      <c r="K175" s="1703">
        <f>'Revenues 9-14'!E275-'Expenditures 15-22'!K174</f>
        <v>-80016</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3" t="s">
        <v>994</v>
      </c>
      <c r="B177" s="1574"/>
      <c r="C177" s="1570"/>
      <c r="D177" s="1571"/>
      <c r="E177" s="1571"/>
      <c r="F177" s="1571"/>
      <c r="G177" s="1571"/>
      <c r="H177" s="1571"/>
      <c r="I177" s="1571"/>
      <c r="J177" s="1571"/>
      <c r="K177" s="1571"/>
      <c r="L177" s="1572"/>
      <c r="M177" s="608"/>
      <c r="N177" s="608"/>
    </row>
    <row r="178" spans="1:14" s="673" customFormat="1" ht="15.75" customHeight="1" x14ac:dyDescent="0.2">
      <c r="A178" s="1639" t="s">
        <v>995</v>
      </c>
      <c r="B178" s="1640"/>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3"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3" t="s">
        <v>1010</v>
      </c>
      <c r="B182" s="613">
        <v>2550</v>
      </c>
      <c r="C182" s="467">
        <v>33697</v>
      </c>
      <c r="D182" s="467">
        <v>5895</v>
      </c>
      <c r="E182" s="467">
        <v>2682068</v>
      </c>
      <c r="F182" s="467">
        <v>136098</v>
      </c>
      <c r="G182" s="467">
        <v>0</v>
      </c>
      <c r="H182" s="466">
        <v>0</v>
      </c>
      <c r="I182" s="467">
        <v>0</v>
      </c>
      <c r="J182" s="467">
        <v>0</v>
      </c>
      <c r="K182" s="1690">
        <f>SUM(C182:J182)</f>
        <v>2857758</v>
      </c>
      <c r="L182" s="466">
        <v>2860577</v>
      </c>
    </row>
    <row r="183" spans="1:14" ht="12.75" customHeight="1" thickBot="1" x14ac:dyDescent="0.25">
      <c r="A183" s="1528"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33697</v>
      </c>
      <c r="D184" s="1696">
        <f t="shared" ref="D184:J184" si="17">SUM(D180,D182,D183)</f>
        <v>5895</v>
      </c>
      <c r="E184" s="1696">
        <f t="shared" si="17"/>
        <v>2682068</v>
      </c>
      <c r="F184" s="1696">
        <f t="shared" si="17"/>
        <v>136098</v>
      </c>
      <c r="G184" s="1696">
        <f t="shared" si="17"/>
        <v>0</v>
      </c>
      <c r="H184" s="1696">
        <f t="shared" si="17"/>
        <v>0</v>
      </c>
      <c r="I184" s="1696">
        <f t="shared" si="17"/>
        <v>0</v>
      </c>
      <c r="J184" s="1696">
        <f t="shared" si="17"/>
        <v>0</v>
      </c>
      <c r="K184" s="1696">
        <f>SUM(K180,K182,K183)</f>
        <v>2857758</v>
      </c>
      <c r="L184" s="1696">
        <f>SUM(L180, L182:L183)</f>
        <v>2860577</v>
      </c>
    </row>
    <row r="185" spans="1:14" ht="15.75" customHeight="1" thickTop="1" thickBot="1" x14ac:dyDescent="0.25">
      <c r="A185" s="1641" t="s">
        <v>996</v>
      </c>
      <c r="B185" s="1630">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5" t="s">
        <v>93</v>
      </c>
      <c r="B186" s="1628"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3" t="s">
        <v>517</v>
      </c>
      <c r="B188" s="613">
        <v>4110</v>
      </c>
      <c r="C188" s="615"/>
      <c r="D188" s="615"/>
      <c r="E188" s="466">
        <v>0</v>
      </c>
      <c r="F188" s="615"/>
      <c r="G188" s="615"/>
      <c r="H188" s="466">
        <v>0</v>
      </c>
      <c r="I188" s="476"/>
      <c r="J188" s="615"/>
      <c r="K188" s="1690">
        <f t="shared" ref="K188:K193" si="18">SUM(E188,H188)</f>
        <v>0</v>
      </c>
      <c r="L188" s="466">
        <v>0</v>
      </c>
    </row>
    <row r="189" spans="1:14" x14ac:dyDescent="0.2">
      <c r="A189" s="1523" t="s">
        <v>322</v>
      </c>
      <c r="B189" s="613">
        <v>4120</v>
      </c>
      <c r="C189" s="615"/>
      <c r="D189" s="615"/>
      <c r="E189" s="466">
        <v>0</v>
      </c>
      <c r="F189" s="615"/>
      <c r="G189" s="615"/>
      <c r="H189" s="466">
        <v>0</v>
      </c>
      <c r="I189" s="476"/>
      <c r="J189" s="615"/>
      <c r="K189" s="1690">
        <f t="shared" si="18"/>
        <v>0</v>
      </c>
      <c r="L189" s="466">
        <v>0</v>
      </c>
    </row>
    <row r="190" spans="1:14" x14ac:dyDescent="0.2">
      <c r="A190" s="1523" t="s">
        <v>323</v>
      </c>
      <c r="B190" s="627">
        <v>4130</v>
      </c>
      <c r="C190" s="615"/>
      <c r="D190" s="615"/>
      <c r="E190" s="466">
        <v>0</v>
      </c>
      <c r="F190" s="615"/>
      <c r="G190" s="615"/>
      <c r="H190" s="466">
        <v>0</v>
      </c>
      <c r="I190" s="476"/>
      <c r="J190" s="615"/>
      <c r="K190" s="1690">
        <f t="shared" si="18"/>
        <v>0</v>
      </c>
      <c r="L190" s="466">
        <v>0</v>
      </c>
    </row>
    <row r="191" spans="1:14" x14ac:dyDescent="0.2">
      <c r="A191" s="1523" t="s">
        <v>721</v>
      </c>
      <c r="B191" s="613">
        <v>4140</v>
      </c>
      <c r="C191" s="615"/>
      <c r="D191" s="615"/>
      <c r="E191" s="466">
        <v>0</v>
      </c>
      <c r="F191" s="615"/>
      <c r="G191" s="615"/>
      <c r="H191" s="466">
        <v>0</v>
      </c>
      <c r="I191" s="476"/>
      <c r="J191" s="615"/>
      <c r="K191" s="1690">
        <f t="shared" si="18"/>
        <v>0</v>
      </c>
      <c r="L191" s="466">
        <v>0</v>
      </c>
    </row>
    <row r="192" spans="1:14" x14ac:dyDescent="0.2">
      <c r="A192" s="1523" t="s">
        <v>88</v>
      </c>
      <c r="B192" s="613">
        <v>4170</v>
      </c>
      <c r="C192" s="615"/>
      <c r="D192" s="615"/>
      <c r="E192" s="466">
        <v>0</v>
      </c>
      <c r="F192" s="615"/>
      <c r="G192" s="615"/>
      <c r="H192" s="466">
        <v>0</v>
      </c>
      <c r="I192" s="476"/>
      <c r="J192" s="615"/>
      <c r="K192" s="1690">
        <f t="shared" si="18"/>
        <v>0</v>
      </c>
      <c r="L192" s="466">
        <v>0</v>
      </c>
    </row>
    <row r="193" spans="1:14" x14ac:dyDescent="0.2">
      <c r="A193" s="1527"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1" t="s">
        <v>997</v>
      </c>
      <c r="B197" s="1628"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3" t="s">
        <v>89</v>
      </c>
      <c r="B199" s="613">
        <v>5110</v>
      </c>
      <c r="C199" s="615"/>
      <c r="D199" s="615"/>
      <c r="E199" s="615"/>
      <c r="F199" s="615"/>
      <c r="G199" s="615"/>
      <c r="H199" s="466">
        <v>0</v>
      </c>
      <c r="I199" s="615"/>
      <c r="J199" s="615"/>
      <c r="K199" s="1690">
        <f>SUM(H199)</f>
        <v>0</v>
      </c>
      <c r="L199" s="466">
        <v>0</v>
      </c>
    </row>
    <row r="200" spans="1:14" x14ac:dyDescent="0.2">
      <c r="A200" s="1523" t="s">
        <v>90</v>
      </c>
      <c r="B200" s="613">
        <v>5120</v>
      </c>
      <c r="C200" s="615"/>
      <c r="D200" s="615"/>
      <c r="E200" s="615"/>
      <c r="F200" s="615"/>
      <c r="G200" s="615"/>
      <c r="H200" s="466">
        <v>0</v>
      </c>
      <c r="I200" s="615"/>
      <c r="J200" s="615"/>
      <c r="K200" s="1690">
        <f>SUM(H200)</f>
        <v>0</v>
      </c>
      <c r="L200" s="466">
        <v>0</v>
      </c>
    </row>
    <row r="201" spans="1:14" ht="12.75" customHeight="1" x14ac:dyDescent="0.2">
      <c r="A201" s="1523" t="s">
        <v>1232</v>
      </c>
      <c r="B201" s="627" t="s">
        <v>638</v>
      </c>
      <c r="C201" s="615"/>
      <c r="D201" s="615"/>
      <c r="E201" s="615"/>
      <c r="F201" s="615"/>
      <c r="G201" s="615"/>
      <c r="H201" s="466">
        <v>0</v>
      </c>
      <c r="I201" s="615"/>
      <c r="J201" s="615"/>
      <c r="K201" s="1690">
        <f>SUM(H201)</f>
        <v>0</v>
      </c>
      <c r="L201" s="466">
        <v>0</v>
      </c>
    </row>
    <row r="202" spans="1:14" x14ac:dyDescent="0.2">
      <c r="A202" s="1523" t="s">
        <v>91</v>
      </c>
      <c r="B202" s="613" t="s">
        <v>610</v>
      </c>
      <c r="C202" s="615"/>
      <c r="D202" s="615"/>
      <c r="E202" s="615"/>
      <c r="F202" s="615"/>
      <c r="G202" s="615"/>
      <c r="H202" s="466">
        <v>0</v>
      </c>
      <c r="I202" s="615"/>
      <c r="J202" s="615"/>
      <c r="K202" s="1690">
        <f>SUM(H202)</f>
        <v>0</v>
      </c>
      <c r="L202" s="466">
        <v>0</v>
      </c>
    </row>
    <row r="203" spans="1:14" x14ac:dyDescent="0.2">
      <c r="A203" s="1535"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1768</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5" t="s">
        <v>927</v>
      </c>
      <c r="B209" s="1632"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33697</v>
      </c>
      <c r="D210" s="1689">
        <f>SUM(D184,D185)</f>
        <v>5895</v>
      </c>
      <c r="E210" s="1689">
        <f>SUM(E184,E185,E196)</f>
        <v>2682068</v>
      </c>
      <c r="F210" s="1689">
        <f>SUM(F184,F185)</f>
        <v>136098</v>
      </c>
      <c r="G210" s="1689">
        <f>SUM(G184,G185)</f>
        <v>0</v>
      </c>
      <c r="H210" s="1689">
        <f>SUM(H184,H185,H196,H208,H209)</f>
        <v>0</v>
      </c>
      <c r="I210" s="1689">
        <f>SUM(I184,I185)</f>
        <v>0</v>
      </c>
      <c r="J210" s="1689">
        <f>SUM(J184,J185)</f>
        <v>0</v>
      </c>
      <c r="K210" s="1690">
        <f>SUM(K184,K185,K196,K208,K209)</f>
        <v>2857758</v>
      </c>
      <c r="L210" s="1689">
        <f>SUM(L184,L185,L196,L208,L209)</f>
        <v>2860577</v>
      </c>
    </row>
    <row r="211" spans="1:14" ht="13.5" thickTop="1" x14ac:dyDescent="0.2">
      <c r="A211" s="2298" t="s">
        <v>1053</v>
      </c>
      <c r="B211" s="2299"/>
      <c r="C211" s="617"/>
      <c r="D211" s="617"/>
      <c r="E211" s="617"/>
      <c r="F211" s="617"/>
      <c r="G211" s="617"/>
      <c r="H211" s="617"/>
      <c r="I211" s="615"/>
      <c r="J211" s="615"/>
      <c r="K211" s="1703">
        <f>'Revenues 9-14'!F275-'Expenditures 15-22'!K210</f>
        <v>180318</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293" t="s">
        <v>1022</v>
      </c>
      <c r="B213" s="2294"/>
      <c r="C213" s="1570"/>
      <c r="D213" s="1571"/>
      <c r="E213" s="1571"/>
      <c r="F213" s="1571"/>
      <c r="G213" s="1571"/>
      <c r="H213" s="1571"/>
      <c r="I213" s="1571"/>
      <c r="J213" s="1571"/>
      <c r="K213" s="1571"/>
      <c r="L213" s="1572"/>
      <c r="M213" s="608"/>
      <c r="N213" s="608"/>
    </row>
    <row r="214" spans="1:14" s="673" customFormat="1" ht="15.75" customHeight="1" x14ac:dyDescent="0.2">
      <c r="A214" s="1642" t="s">
        <v>928</v>
      </c>
      <c r="B214" s="1634" t="s">
        <v>591</v>
      </c>
      <c r="C214" s="615"/>
      <c r="D214" s="622"/>
      <c r="E214" s="615"/>
      <c r="F214" s="615"/>
      <c r="G214" s="615"/>
      <c r="H214" s="615"/>
      <c r="I214" s="615"/>
      <c r="J214" s="615"/>
      <c r="K214" s="622"/>
      <c r="L214" s="622"/>
      <c r="M214" s="664"/>
      <c r="N214" s="664"/>
    </row>
    <row r="215" spans="1:14" x14ac:dyDescent="0.2">
      <c r="A215" s="1523" t="s">
        <v>1018</v>
      </c>
      <c r="B215" s="613">
        <v>1100</v>
      </c>
      <c r="C215" s="615"/>
      <c r="D215" s="466">
        <v>151540</v>
      </c>
      <c r="E215" s="615"/>
      <c r="F215" s="615"/>
      <c r="G215" s="615"/>
      <c r="H215" s="615"/>
      <c r="I215" s="615"/>
      <c r="J215" s="615"/>
      <c r="K215" s="1690">
        <f>D215</f>
        <v>151540</v>
      </c>
      <c r="L215" s="466">
        <v>176086</v>
      </c>
    </row>
    <row r="216" spans="1:14" x14ac:dyDescent="0.2">
      <c r="A216" s="1523" t="s">
        <v>165</v>
      </c>
      <c r="B216" s="613" t="s">
        <v>1024</v>
      </c>
      <c r="C216" s="615"/>
      <c r="D216" s="467">
        <v>20498</v>
      </c>
      <c r="E216" s="615"/>
      <c r="F216" s="615"/>
      <c r="G216" s="615"/>
      <c r="H216" s="615"/>
      <c r="I216" s="615"/>
      <c r="J216" s="615"/>
      <c r="K216" s="1690">
        <f t="shared" ref="K216:K228" si="19">D216</f>
        <v>20498</v>
      </c>
      <c r="L216" s="466">
        <v>17303</v>
      </c>
    </row>
    <row r="217" spans="1:14" x14ac:dyDescent="0.2">
      <c r="A217" s="1523" t="s">
        <v>166</v>
      </c>
      <c r="B217" s="613">
        <v>1200</v>
      </c>
      <c r="C217" s="615"/>
      <c r="D217" s="466">
        <v>236327</v>
      </c>
      <c r="E217" s="615"/>
      <c r="F217" s="615"/>
      <c r="G217" s="615"/>
      <c r="H217" s="615"/>
      <c r="I217" s="615"/>
      <c r="J217" s="615"/>
      <c r="K217" s="1690">
        <f t="shared" si="19"/>
        <v>236327</v>
      </c>
      <c r="L217" s="466">
        <v>256572</v>
      </c>
    </row>
    <row r="218" spans="1:14" x14ac:dyDescent="0.2">
      <c r="A218" s="1523" t="s">
        <v>296</v>
      </c>
      <c r="B218" s="613" t="s">
        <v>1025</v>
      </c>
      <c r="C218" s="615"/>
      <c r="D218" s="467">
        <v>7549</v>
      </c>
      <c r="E218" s="615"/>
      <c r="F218" s="615"/>
      <c r="G218" s="615"/>
      <c r="H218" s="615"/>
      <c r="I218" s="615"/>
      <c r="J218" s="615"/>
      <c r="K218" s="1690">
        <f t="shared" si="19"/>
        <v>7549</v>
      </c>
      <c r="L218" s="466">
        <v>0</v>
      </c>
    </row>
    <row r="219" spans="1:14" x14ac:dyDescent="0.2">
      <c r="A219" s="1523" t="s">
        <v>297</v>
      </c>
      <c r="B219" s="613">
        <v>1250</v>
      </c>
      <c r="C219" s="615"/>
      <c r="D219" s="466">
        <v>3241</v>
      </c>
      <c r="E219" s="615"/>
      <c r="F219" s="615"/>
      <c r="G219" s="615"/>
      <c r="H219" s="615"/>
      <c r="I219" s="615"/>
      <c r="J219" s="615"/>
      <c r="K219" s="1690">
        <f t="shared" si="19"/>
        <v>3241</v>
      </c>
      <c r="L219" s="466">
        <v>0</v>
      </c>
    </row>
    <row r="220" spans="1:14" x14ac:dyDescent="0.2">
      <c r="A220" s="1523" t="s">
        <v>298</v>
      </c>
      <c r="B220" s="613" t="s">
        <v>163</v>
      </c>
      <c r="C220" s="615"/>
      <c r="D220" s="467">
        <v>0</v>
      </c>
      <c r="E220" s="615"/>
      <c r="F220" s="615"/>
      <c r="G220" s="615"/>
      <c r="H220" s="615"/>
      <c r="I220" s="615"/>
      <c r="J220" s="615"/>
      <c r="K220" s="1690">
        <f t="shared" si="19"/>
        <v>0</v>
      </c>
      <c r="L220" s="466">
        <v>0</v>
      </c>
    </row>
    <row r="221" spans="1:14" x14ac:dyDescent="0.2">
      <c r="A221" s="1523" t="s">
        <v>1019</v>
      </c>
      <c r="B221" s="613">
        <v>1300</v>
      </c>
      <c r="C221" s="615"/>
      <c r="D221" s="466">
        <v>0</v>
      </c>
      <c r="E221" s="615"/>
      <c r="F221" s="615"/>
      <c r="G221" s="615"/>
      <c r="H221" s="615"/>
      <c r="I221" s="615"/>
      <c r="J221" s="615"/>
      <c r="K221" s="1690">
        <f t="shared" si="19"/>
        <v>0</v>
      </c>
      <c r="L221" s="466">
        <v>0</v>
      </c>
    </row>
    <row r="222" spans="1:14" x14ac:dyDescent="0.2">
      <c r="A222" s="1523" t="s">
        <v>747</v>
      </c>
      <c r="B222" s="613">
        <v>1400</v>
      </c>
      <c r="C222" s="615"/>
      <c r="D222" s="466">
        <v>0</v>
      </c>
      <c r="E222" s="615"/>
      <c r="F222" s="615"/>
      <c r="G222" s="615"/>
      <c r="H222" s="615"/>
      <c r="I222" s="615"/>
      <c r="J222" s="615"/>
      <c r="K222" s="1690">
        <f t="shared" si="19"/>
        <v>0</v>
      </c>
      <c r="L222" s="466">
        <v>0</v>
      </c>
    </row>
    <row r="223" spans="1:14" x14ac:dyDescent="0.2">
      <c r="A223" s="1523" t="s">
        <v>1020</v>
      </c>
      <c r="B223" s="613">
        <v>1500</v>
      </c>
      <c r="C223" s="615"/>
      <c r="D223" s="466">
        <v>5813</v>
      </c>
      <c r="E223" s="615"/>
      <c r="F223" s="615"/>
      <c r="G223" s="615"/>
      <c r="H223" s="615"/>
      <c r="I223" s="615"/>
      <c r="J223" s="615"/>
      <c r="K223" s="1690">
        <f t="shared" si="19"/>
        <v>5813</v>
      </c>
      <c r="L223" s="466">
        <v>3075</v>
      </c>
    </row>
    <row r="224" spans="1:14" x14ac:dyDescent="0.2">
      <c r="A224" s="1523" t="s">
        <v>1021</v>
      </c>
      <c r="B224" s="613">
        <v>1600</v>
      </c>
      <c r="C224" s="615"/>
      <c r="D224" s="466">
        <v>0</v>
      </c>
      <c r="E224" s="615"/>
      <c r="F224" s="615"/>
      <c r="G224" s="615"/>
      <c r="H224" s="615"/>
      <c r="I224" s="615"/>
      <c r="J224" s="615"/>
      <c r="K224" s="1690">
        <f t="shared" si="19"/>
        <v>0</v>
      </c>
      <c r="L224" s="466">
        <v>0</v>
      </c>
    </row>
    <row r="225" spans="1:12" x14ac:dyDescent="0.2">
      <c r="A225" s="1523" t="s">
        <v>1044</v>
      </c>
      <c r="B225" s="613">
        <v>1650</v>
      </c>
      <c r="C225" s="615"/>
      <c r="D225" s="466">
        <v>0</v>
      </c>
      <c r="E225" s="615"/>
      <c r="F225" s="615"/>
      <c r="G225" s="615"/>
      <c r="H225" s="615"/>
      <c r="I225" s="615"/>
      <c r="J225" s="615"/>
      <c r="K225" s="1690">
        <f t="shared" si="19"/>
        <v>0</v>
      </c>
      <c r="L225" s="466">
        <v>0</v>
      </c>
    </row>
    <row r="226" spans="1:12" x14ac:dyDescent="0.2">
      <c r="A226" s="1523" t="s">
        <v>748</v>
      </c>
      <c r="B226" s="613" t="s">
        <v>164</v>
      </c>
      <c r="C226" s="615"/>
      <c r="D226" s="467">
        <v>0</v>
      </c>
      <c r="E226" s="615"/>
      <c r="F226" s="615"/>
      <c r="G226" s="615"/>
      <c r="H226" s="615"/>
      <c r="I226" s="615"/>
      <c r="J226" s="615"/>
      <c r="K226" s="1690">
        <f t="shared" si="19"/>
        <v>0</v>
      </c>
      <c r="L226" s="466">
        <v>0</v>
      </c>
    </row>
    <row r="227" spans="1:12" x14ac:dyDescent="0.2">
      <c r="A227" s="1523" t="s">
        <v>1148</v>
      </c>
      <c r="B227" s="613">
        <v>1800</v>
      </c>
      <c r="C227" s="615"/>
      <c r="D227" s="466">
        <v>0</v>
      </c>
      <c r="E227" s="615"/>
      <c r="F227" s="615"/>
      <c r="G227" s="615"/>
      <c r="H227" s="615"/>
      <c r="I227" s="615"/>
      <c r="J227" s="615"/>
      <c r="K227" s="1690">
        <f t="shared" si="19"/>
        <v>0</v>
      </c>
      <c r="L227" s="466">
        <v>0</v>
      </c>
    </row>
    <row r="228" spans="1:12" x14ac:dyDescent="0.2">
      <c r="A228" s="1523"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424968</v>
      </c>
      <c r="E229" s="615"/>
      <c r="F229" s="615"/>
      <c r="G229" s="615"/>
      <c r="H229" s="615"/>
      <c r="I229" s="615"/>
      <c r="J229" s="615"/>
      <c r="K229" s="1689">
        <f>SUM(K215:K228)</f>
        <v>424968</v>
      </c>
      <c r="L229" s="1689">
        <f>SUM(L215:L228)</f>
        <v>453036</v>
      </c>
    </row>
    <row r="230" spans="1:12" ht="15.75" customHeight="1" thickTop="1" x14ac:dyDescent="0.2">
      <c r="A230" s="1631" t="s">
        <v>929</v>
      </c>
      <c r="B230" s="1632"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3" t="s">
        <v>1150</v>
      </c>
      <c r="B232" s="613">
        <v>2110</v>
      </c>
      <c r="C232" s="615"/>
      <c r="D232" s="466">
        <v>2112</v>
      </c>
      <c r="E232" s="615"/>
      <c r="F232" s="615"/>
      <c r="G232" s="615"/>
      <c r="H232" s="615"/>
      <c r="I232" s="615"/>
      <c r="J232" s="615"/>
      <c r="K232" s="1690">
        <f t="shared" ref="K232:K237" si="20">D232</f>
        <v>2112</v>
      </c>
      <c r="L232" s="466">
        <v>2002</v>
      </c>
    </row>
    <row r="233" spans="1:12" x14ac:dyDescent="0.2">
      <c r="A233" s="1523" t="s">
        <v>1151</v>
      </c>
      <c r="B233" s="613">
        <v>2120</v>
      </c>
      <c r="C233" s="615"/>
      <c r="D233" s="466">
        <v>5167</v>
      </c>
      <c r="E233" s="615"/>
      <c r="F233" s="615"/>
      <c r="G233" s="615"/>
      <c r="H233" s="615"/>
      <c r="I233" s="615"/>
      <c r="J233" s="615"/>
      <c r="K233" s="1690">
        <f t="shared" si="20"/>
        <v>5167</v>
      </c>
      <c r="L233" s="466">
        <v>5387</v>
      </c>
    </row>
    <row r="234" spans="1:12" x14ac:dyDescent="0.2">
      <c r="A234" s="1523" t="s">
        <v>207</v>
      </c>
      <c r="B234" s="613">
        <v>2130</v>
      </c>
      <c r="C234" s="615"/>
      <c r="D234" s="466">
        <v>30795</v>
      </c>
      <c r="E234" s="615"/>
      <c r="F234" s="615"/>
      <c r="G234" s="615"/>
      <c r="H234" s="615"/>
      <c r="I234" s="615"/>
      <c r="J234" s="615"/>
      <c r="K234" s="1690">
        <f t="shared" si="20"/>
        <v>30795</v>
      </c>
      <c r="L234" s="466">
        <v>31542</v>
      </c>
    </row>
    <row r="235" spans="1:12" x14ac:dyDescent="0.2">
      <c r="A235" s="1523" t="s">
        <v>208</v>
      </c>
      <c r="B235" s="613">
        <v>2140</v>
      </c>
      <c r="C235" s="615"/>
      <c r="D235" s="466">
        <v>1958</v>
      </c>
      <c r="E235" s="615"/>
      <c r="F235" s="615"/>
      <c r="G235" s="615"/>
      <c r="H235" s="615"/>
      <c r="I235" s="615"/>
      <c r="J235" s="615"/>
      <c r="K235" s="1690">
        <f t="shared" si="20"/>
        <v>1958</v>
      </c>
      <c r="L235" s="466">
        <v>1776</v>
      </c>
    </row>
    <row r="236" spans="1:12" x14ac:dyDescent="0.2">
      <c r="A236" s="1523" t="s">
        <v>209</v>
      </c>
      <c r="B236" s="613">
        <v>2150</v>
      </c>
      <c r="C236" s="615"/>
      <c r="D236" s="466">
        <v>8150</v>
      </c>
      <c r="E236" s="615"/>
      <c r="F236" s="615"/>
      <c r="G236" s="615"/>
      <c r="H236" s="615"/>
      <c r="I236" s="615"/>
      <c r="J236" s="615"/>
      <c r="K236" s="1690">
        <f t="shared" si="20"/>
        <v>8150</v>
      </c>
      <c r="L236" s="466">
        <v>8404</v>
      </c>
    </row>
    <row r="237" spans="1:12" x14ac:dyDescent="0.2">
      <c r="A237" s="1523"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48182</v>
      </c>
      <c r="E238" s="615"/>
      <c r="F238" s="615"/>
      <c r="G238" s="615"/>
      <c r="H238" s="615"/>
      <c r="I238" s="615"/>
      <c r="J238" s="615"/>
      <c r="K238" s="1689">
        <f>SUM(K232:K237)</f>
        <v>48182</v>
      </c>
      <c r="L238" s="1689">
        <f>SUM(L232:L237)</f>
        <v>49111</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3" t="s">
        <v>868</v>
      </c>
      <c r="B240" s="613">
        <v>2210</v>
      </c>
      <c r="C240" s="615"/>
      <c r="D240" s="480">
        <v>6128</v>
      </c>
      <c r="E240" s="615"/>
      <c r="F240" s="615"/>
      <c r="G240" s="615"/>
      <c r="H240" s="615"/>
      <c r="I240" s="615"/>
      <c r="J240" s="615"/>
      <c r="K240" s="1691">
        <f>D240</f>
        <v>6128</v>
      </c>
      <c r="L240" s="480">
        <v>4841</v>
      </c>
    </row>
    <row r="241" spans="1:12" x14ac:dyDescent="0.2">
      <c r="A241" s="1523" t="s">
        <v>869</v>
      </c>
      <c r="B241" s="613">
        <v>2220</v>
      </c>
      <c r="C241" s="615"/>
      <c r="D241" s="466">
        <v>45553</v>
      </c>
      <c r="E241" s="615"/>
      <c r="F241" s="615"/>
      <c r="G241" s="615"/>
      <c r="H241" s="615"/>
      <c r="I241" s="615"/>
      <c r="J241" s="615"/>
      <c r="K241" s="1691">
        <f>D241</f>
        <v>45553</v>
      </c>
      <c r="L241" s="466">
        <v>45904</v>
      </c>
    </row>
    <row r="242" spans="1:12" x14ac:dyDescent="0.2">
      <c r="A242" s="1523" t="s">
        <v>870</v>
      </c>
      <c r="B242" s="613">
        <v>2230</v>
      </c>
      <c r="C242" s="615"/>
      <c r="D242" s="466">
        <v>682</v>
      </c>
      <c r="E242" s="615"/>
      <c r="F242" s="615"/>
      <c r="G242" s="615"/>
      <c r="H242" s="615"/>
      <c r="I242" s="615"/>
      <c r="J242" s="615"/>
      <c r="K242" s="1691">
        <f>D242</f>
        <v>682</v>
      </c>
      <c r="L242" s="466">
        <v>0</v>
      </c>
    </row>
    <row r="243" spans="1:12" ht="12.75" customHeight="1" thickBot="1" x14ac:dyDescent="0.25">
      <c r="A243" s="1713" t="s">
        <v>582</v>
      </c>
      <c r="B243" s="1714">
        <v>2200</v>
      </c>
      <c r="C243" s="615"/>
      <c r="D243" s="1689">
        <f>SUM(D240:D242)</f>
        <v>52363</v>
      </c>
      <c r="E243" s="615"/>
      <c r="F243" s="615"/>
      <c r="G243" s="615"/>
      <c r="H243" s="615"/>
      <c r="I243" s="615"/>
      <c r="J243" s="615"/>
      <c r="K243" s="1689">
        <f>SUM(K240:K242)</f>
        <v>52363</v>
      </c>
      <c r="L243" s="1689">
        <f>SUM(L240:L242)</f>
        <v>50745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3" t="s">
        <v>871</v>
      </c>
      <c r="B245" s="613">
        <v>2310</v>
      </c>
      <c r="C245" s="615"/>
      <c r="D245" s="480">
        <v>1054</v>
      </c>
      <c r="E245" s="615"/>
      <c r="F245" s="615"/>
      <c r="G245" s="615"/>
      <c r="H245" s="615"/>
      <c r="I245" s="615"/>
      <c r="J245" s="615"/>
      <c r="K245" s="1691">
        <f>D245</f>
        <v>1054</v>
      </c>
      <c r="L245" s="480">
        <v>0</v>
      </c>
    </row>
    <row r="246" spans="1:12" x14ac:dyDescent="0.2">
      <c r="A246" s="1523" t="s">
        <v>872</v>
      </c>
      <c r="B246" s="613">
        <v>2320</v>
      </c>
      <c r="C246" s="615"/>
      <c r="D246" s="466">
        <v>19065</v>
      </c>
      <c r="E246" s="615"/>
      <c r="F246" s="615"/>
      <c r="G246" s="615"/>
      <c r="H246" s="615"/>
      <c r="I246" s="615"/>
      <c r="J246" s="615"/>
      <c r="K246" s="1691">
        <f t="shared" ref="K246:K256" si="21">D246</f>
        <v>19065</v>
      </c>
      <c r="L246" s="466">
        <v>18959</v>
      </c>
    </row>
    <row r="247" spans="1:12" x14ac:dyDescent="0.2">
      <c r="A247" s="1523" t="s">
        <v>873</v>
      </c>
      <c r="B247" s="613">
        <v>2330</v>
      </c>
      <c r="C247" s="615"/>
      <c r="D247" s="466">
        <v>20533</v>
      </c>
      <c r="E247" s="615"/>
      <c r="F247" s="615"/>
      <c r="G247" s="615"/>
      <c r="H247" s="615"/>
      <c r="I247" s="615"/>
      <c r="J247" s="615"/>
      <c r="K247" s="1691">
        <f t="shared" si="21"/>
        <v>20533</v>
      </c>
      <c r="L247" s="466">
        <v>18940</v>
      </c>
    </row>
    <row r="248" spans="1:12" x14ac:dyDescent="0.2">
      <c r="A248" s="1524" t="s">
        <v>317</v>
      </c>
      <c r="B248" s="601" t="s">
        <v>299</v>
      </c>
      <c r="C248" s="615"/>
      <c r="D248" s="474">
        <v>0</v>
      </c>
      <c r="E248" s="615"/>
      <c r="F248" s="615"/>
      <c r="G248" s="615"/>
      <c r="H248" s="615"/>
      <c r="I248" s="615"/>
      <c r="J248" s="615"/>
      <c r="K248" s="1691">
        <f t="shared" si="21"/>
        <v>0</v>
      </c>
      <c r="L248" s="466">
        <v>0</v>
      </c>
    </row>
    <row r="249" spans="1:12" x14ac:dyDescent="0.2">
      <c r="A249" s="1525" t="s">
        <v>1902</v>
      </c>
      <c r="B249" s="682" t="s">
        <v>300</v>
      </c>
      <c r="C249" s="615"/>
      <c r="D249" s="474">
        <v>0</v>
      </c>
      <c r="E249" s="615"/>
      <c r="F249" s="615"/>
      <c r="G249" s="615"/>
      <c r="H249" s="615"/>
      <c r="I249" s="615"/>
      <c r="J249" s="615"/>
      <c r="K249" s="1691">
        <f t="shared" si="21"/>
        <v>0</v>
      </c>
      <c r="L249" s="466">
        <v>0</v>
      </c>
    </row>
    <row r="250" spans="1:12" x14ac:dyDescent="0.2">
      <c r="A250" s="1524" t="s">
        <v>1903</v>
      </c>
      <c r="B250" s="601" t="s">
        <v>301</v>
      </c>
      <c r="C250" s="615"/>
      <c r="D250" s="474">
        <v>0</v>
      </c>
      <c r="E250" s="615"/>
      <c r="F250" s="615"/>
      <c r="G250" s="615"/>
      <c r="H250" s="615"/>
      <c r="I250" s="615"/>
      <c r="J250" s="615"/>
      <c r="K250" s="1691">
        <f t="shared" si="21"/>
        <v>0</v>
      </c>
      <c r="L250" s="466">
        <v>0</v>
      </c>
    </row>
    <row r="251" spans="1:12" x14ac:dyDescent="0.2">
      <c r="A251" s="1524" t="s">
        <v>256</v>
      </c>
      <c r="B251" s="601" t="s">
        <v>302</v>
      </c>
      <c r="C251" s="615"/>
      <c r="D251" s="474">
        <v>0</v>
      </c>
      <c r="E251" s="615"/>
      <c r="F251" s="615"/>
      <c r="G251" s="615"/>
      <c r="H251" s="615"/>
      <c r="I251" s="615"/>
      <c r="J251" s="615"/>
      <c r="K251" s="1691">
        <f t="shared" si="21"/>
        <v>0</v>
      </c>
      <c r="L251" s="466">
        <v>0</v>
      </c>
    </row>
    <row r="252" spans="1:12" x14ac:dyDescent="0.2">
      <c r="A252" s="1524" t="s">
        <v>726</v>
      </c>
      <c r="B252" s="601" t="s">
        <v>303</v>
      </c>
      <c r="C252" s="615"/>
      <c r="D252" s="474">
        <v>0</v>
      </c>
      <c r="E252" s="615"/>
      <c r="F252" s="615"/>
      <c r="G252" s="615"/>
      <c r="H252" s="615"/>
      <c r="I252" s="615"/>
      <c r="J252" s="615"/>
      <c r="K252" s="1691">
        <f t="shared" si="21"/>
        <v>0</v>
      </c>
      <c r="L252" s="466">
        <v>0</v>
      </c>
    </row>
    <row r="253" spans="1:12" x14ac:dyDescent="0.2">
      <c r="A253" s="1524" t="s">
        <v>257</v>
      </c>
      <c r="B253" s="601" t="s">
        <v>304</v>
      </c>
      <c r="C253" s="615"/>
      <c r="D253" s="474">
        <v>0</v>
      </c>
      <c r="E253" s="615"/>
      <c r="F253" s="615"/>
      <c r="G253" s="615"/>
      <c r="H253" s="615"/>
      <c r="I253" s="615"/>
      <c r="J253" s="615"/>
      <c r="K253" s="1691">
        <f t="shared" si="21"/>
        <v>0</v>
      </c>
      <c r="L253" s="466">
        <v>0</v>
      </c>
    </row>
    <row r="254" spans="1:12" ht="22.5" x14ac:dyDescent="0.2">
      <c r="A254" s="1524" t="s">
        <v>1087</v>
      </c>
      <c r="B254" s="682" t="s">
        <v>305</v>
      </c>
      <c r="C254" s="615"/>
      <c r="D254" s="474">
        <v>0</v>
      </c>
      <c r="E254" s="615"/>
      <c r="F254" s="615"/>
      <c r="G254" s="615"/>
      <c r="H254" s="615"/>
      <c r="I254" s="615"/>
      <c r="J254" s="615"/>
      <c r="K254" s="1691">
        <f t="shared" si="21"/>
        <v>0</v>
      </c>
      <c r="L254" s="466">
        <v>0</v>
      </c>
    </row>
    <row r="255" spans="1:12" x14ac:dyDescent="0.2">
      <c r="A255" s="1524" t="s">
        <v>1088</v>
      </c>
      <c r="B255" s="601" t="s">
        <v>306</v>
      </c>
      <c r="C255" s="615"/>
      <c r="D255" s="474">
        <v>0</v>
      </c>
      <c r="E255" s="615"/>
      <c r="F255" s="615"/>
      <c r="G255" s="615"/>
      <c r="H255" s="615"/>
      <c r="I255" s="615"/>
      <c r="J255" s="615"/>
      <c r="K255" s="1691">
        <f t="shared" si="21"/>
        <v>0</v>
      </c>
      <c r="L255" s="466">
        <v>0</v>
      </c>
    </row>
    <row r="256" spans="1:12" x14ac:dyDescent="0.2">
      <c r="A256" s="1524"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40652</v>
      </c>
      <c r="E257" s="615"/>
      <c r="F257" s="615"/>
      <c r="G257" s="615"/>
      <c r="H257" s="615"/>
      <c r="I257" s="615"/>
      <c r="J257" s="615"/>
      <c r="K257" s="1689">
        <f>SUM(K245:K256)</f>
        <v>40652</v>
      </c>
      <c r="L257" s="1689">
        <f>SUM(L245:L256)</f>
        <v>37899</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3" t="s">
        <v>1127</v>
      </c>
      <c r="B259" s="684">
        <v>2410</v>
      </c>
      <c r="C259" s="615"/>
      <c r="D259" s="480">
        <v>101640</v>
      </c>
      <c r="E259" s="615"/>
      <c r="F259" s="615"/>
      <c r="G259" s="615"/>
      <c r="H259" s="615"/>
      <c r="I259" s="615"/>
      <c r="J259" s="615"/>
      <c r="K259" s="1691">
        <f>D259</f>
        <v>101640</v>
      </c>
      <c r="L259" s="480">
        <v>98747</v>
      </c>
    </row>
    <row r="260" spans="1:14" s="596" customFormat="1" x14ac:dyDescent="0.2">
      <c r="A260" s="1541" t="s">
        <v>1901</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101640</v>
      </c>
      <c r="E261" s="615"/>
      <c r="F261" s="615"/>
      <c r="G261" s="615"/>
      <c r="H261" s="615"/>
      <c r="I261" s="615"/>
      <c r="J261" s="615"/>
      <c r="K261" s="1689">
        <f>SUM(K259:K260)</f>
        <v>101640</v>
      </c>
      <c r="L261" s="1689">
        <f>SUM(L259:L260)</f>
        <v>98747</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3" t="s">
        <v>1128</v>
      </c>
      <c r="B263" s="684">
        <v>2510</v>
      </c>
      <c r="C263" s="615"/>
      <c r="D263" s="466">
        <v>1616</v>
      </c>
      <c r="E263" s="615"/>
      <c r="F263" s="615"/>
      <c r="G263" s="615"/>
      <c r="H263" s="615"/>
      <c r="I263" s="615"/>
      <c r="J263" s="615"/>
      <c r="K263" s="1691">
        <f>D263</f>
        <v>1616</v>
      </c>
      <c r="L263" s="480">
        <v>1466</v>
      </c>
    </row>
    <row r="264" spans="1:14" x14ac:dyDescent="0.2">
      <c r="A264" s="1523" t="s">
        <v>483</v>
      </c>
      <c r="B264" s="684">
        <v>2520</v>
      </c>
      <c r="C264" s="615"/>
      <c r="D264" s="466">
        <v>39815</v>
      </c>
      <c r="E264" s="615"/>
      <c r="F264" s="615"/>
      <c r="G264" s="615"/>
      <c r="H264" s="615"/>
      <c r="I264" s="615"/>
      <c r="J264" s="615"/>
      <c r="K264" s="1691">
        <f t="shared" ref="K264:K269" si="22">D264</f>
        <v>39815</v>
      </c>
      <c r="L264" s="466">
        <v>59087</v>
      </c>
    </row>
    <row r="265" spans="1:14" x14ac:dyDescent="0.2">
      <c r="A265" s="1523" t="s">
        <v>4</v>
      </c>
      <c r="B265" s="613">
        <v>2530</v>
      </c>
      <c r="C265" s="615"/>
      <c r="D265" s="466">
        <v>0</v>
      </c>
      <c r="E265" s="615"/>
      <c r="F265" s="615"/>
      <c r="G265" s="615"/>
      <c r="H265" s="615"/>
      <c r="I265" s="615"/>
      <c r="J265" s="615"/>
      <c r="K265" s="1691">
        <f t="shared" si="22"/>
        <v>0</v>
      </c>
      <c r="L265" s="466">
        <v>0</v>
      </c>
    </row>
    <row r="266" spans="1:14" x14ac:dyDescent="0.2">
      <c r="A266" s="1523" t="s">
        <v>206</v>
      </c>
      <c r="B266" s="613">
        <v>2540</v>
      </c>
      <c r="C266" s="615"/>
      <c r="D266" s="466">
        <v>35839</v>
      </c>
      <c r="E266" s="615"/>
      <c r="F266" s="615"/>
      <c r="G266" s="615"/>
      <c r="H266" s="615"/>
      <c r="I266" s="615"/>
      <c r="J266" s="615"/>
      <c r="K266" s="1691">
        <f t="shared" si="22"/>
        <v>35839</v>
      </c>
      <c r="L266" s="466">
        <v>32444</v>
      </c>
    </row>
    <row r="267" spans="1:14" x14ac:dyDescent="0.2">
      <c r="A267" s="1523" t="s">
        <v>1010</v>
      </c>
      <c r="B267" s="613">
        <v>2550</v>
      </c>
      <c r="C267" s="615"/>
      <c r="D267" s="466">
        <v>471</v>
      </c>
      <c r="E267" s="615"/>
      <c r="F267" s="615"/>
      <c r="G267" s="615"/>
      <c r="H267" s="615"/>
      <c r="I267" s="615"/>
      <c r="J267" s="615"/>
      <c r="K267" s="1691">
        <f t="shared" si="22"/>
        <v>471</v>
      </c>
      <c r="L267" s="466">
        <v>489</v>
      </c>
    </row>
    <row r="268" spans="1:14" x14ac:dyDescent="0.2">
      <c r="A268" s="1523" t="s">
        <v>102</v>
      </c>
      <c r="B268" s="613">
        <v>2560</v>
      </c>
      <c r="C268" s="615"/>
      <c r="D268" s="466">
        <v>0</v>
      </c>
      <c r="E268" s="615"/>
      <c r="F268" s="615"/>
      <c r="G268" s="615"/>
      <c r="H268" s="615"/>
      <c r="I268" s="615"/>
      <c r="J268" s="615"/>
      <c r="K268" s="1691">
        <f t="shared" si="22"/>
        <v>0</v>
      </c>
      <c r="L268" s="466">
        <v>0</v>
      </c>
    </row>
    <row r="269" spans="1:14" x14ac:dyDescent="0.2">
      <c r="A269" s="1523"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77741</v>
      </c>
      <c r="E270" s="615"/>
      <c r="F270" s="615"/>
      <c r="G270" s="615"/>
      <c r="H270" s="615"/>
      <c r="I270" s="615"/>
      <c r="J270" s="615"/>
      <c r="K270" s="1689">
        <f>SUM(K263:K269)</f>
        <v>77741</v>
      </c>
      <c r="L270" s="1689">
        <f>SUM(L263:L269)</f>
        <v>93486</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3" t="s">
        <v>1120</v>
      </c>
      <c r="B272" s="613">
        <v>2610</v>
      </c>
      <c r="C272" s="615"/>
      <c r="D272" s="480">
        <v>0</v>
      </c>
      <c r="E272" s="615"/>
      <c r="F272" s="615"/>
      <c r="G272" s="615"/>
      <c r="H272" s="615"/>
      <c r="I272" s="615"/>
      <c r="J272" s="615"/>
      <c r="K272" s="1691">
        <f>D272</f>
        <v>0</v>
      </c>
      <c r="L272" s="480">
        <v>0</v>
      </c>
    </row>
    <row r="273" spans="1:12" x14ac:dyDescent="0.2">
      <c r="A273" s="1523" t="s">
        <v>628</v>
      </c>
      <c r="B273" s="627">
        <v>2620</v>
      </c>
      <c r="C273" s="615"/>
      <c r="D273" s="466">
        <v>0</v>
      </c>
      <c r="E273" s="615"/>
      <c r="F273" s="615"/>
      <c r="G273" s="615"/>
      <c r="H273" s="615"/>
      <c r="I273" s="615"/>
      <c r="J273" s="615"/>
      <c r="K273" s="1691">
        <f>D273</f>
        <v>0</v>
      </c>
      <c r="L273" s="466">
        <v>0</v>
      </c>
    </row>
    <row r="274" spans="1:12" ht="12" customHeight="1" x14ac:dyDescent="0.2">
      <c r="A274" s="1523" t="s">
        <v>1121</v>
      </c>
      <c r="B274" s="613">
        <v>2630</v>
      </c>
      <c r="C274" s="615"/>
      <c r="D274" s="466">
        <v>0</v>
      </c>
      <c r="E274" s="615"/>
      <c r="F274" s="615"/>
      <c r="G274" s="615"/>
      <c r="H274" s="615"/>
      <c r="I274" s="615"/>
      <c r="J274" s="615"/>
      <c r="K274" s="1691">
        <f>D274</f>
        <v>0</v>
      </c>
      <c r="L274" s="466">
        <v>0</v>
      </c>
    </row>
    <row r="275" spans="1:12" x14ac:dyDescent="0.2">
      <c r="A275" s="1523" t="s">
        <v>423</v>
      </c>
      <c r="B275" s="613">
        <v>2640</v>
      </c>
      <c r="C275" s="615"/>
      <c r="D275" s="466">
        <v>10170</v>
      </c>
      <c r="E275" s="615"/>
      <c r="F275" s="615"/>
      <c r="G275" s="615"/>
      <c r="H275" s="615"/>
      <c r="I275" s="615"/>
      <c r="J275" s="615"/>
      <c r="K275" s="1691">
        <f>D275</f>
        <v>10170</v>
      </c>
      <c r="L275" s="466">
        <v>10032</v>
      </c>
    </row>
    <row r="276" spans="1:12" x14ac:dyDescent="0.2">
      <c r="A276" s="1523" t="s">
        <v>424</v>
      </c>
      <c r="B276" s="613">
        <v>2660</v>
      </c>
      <c r="C276" s="615"/>
      <c r="D276" s="466">
        <v>51068</v>
      </c>
      <c r="E276" s="615"/>
      <c r="F276" s="615"/>
      <c r="G276" s="615"/>
      <c r="H276" s="615"/>
      <c r="I276" s="615"/>
      <c r="J276" s="615"/>
      <c r="K276" s="1691">
        <f>D276</f>
        <v>51068</v>
      </c>
      <c r="L276" s="466">
        <v>49582</v>
      </c>
    </row>
    <row r="277" spans="1:12" ht="12.75" customHeight="1" thickBot="1" x14ac:dyDescent="0.25">
      <c r="A277" s="1710" t="s">
        <v>37</v>
      </c>
      <c r="B277" s="1688" t="s">
        <v>36</v>
      </c>
      <c r="C277" s="615"/>
      <c r="D277" s="1689">
        <f>SUM(D272:D276)</f>
        <v>61238</v>
      </c>
      <c r="E277" s="615"/>
      <c r="F277" s="615"/>
      <c r="G277" s="615"/>
      <c r="H277" s="615"/>
      <c r="I277" s="615"/>
      <c r="J277" s="615"/>
      <c r="K277" s="1689">
        <f>SUM(K272:K276)</f>
        <v>61238</v>
      </c>
      <c r="L277" s="1689">
        <f>SUM(L272:L276)</f>
        <v>59614</v>
      </c>
    </row>
    <row r="278" spans="1:12" ht="13.5" customHeight="1" thickTop="1" x14ac:dyDescent="0.2">
      <c r="A278" s="1529" t="s">
        <v>1037</v>
      </c>
      <c r="B278" s="654" t="s">
        <v>595</v>
      </c>
      <c r="C278" s="615"/>
      <c r="D278" s="655">
        <v>6911</v>
      </c>
      <c r="E278" s="615"/>
      <c r="F278" s="615"/>
      <c r="G278" s="615"/>
      <c r="H278" s="615"/>
      <c r="I278" s="615"/>
      <c r="J278" s="615"/>
      <c r="K278" s="1704">
        <f>D278</f>
        <v>6911</v>
      </c>
      <c r="L278" s="655">
        <v>7279</v>
      </c>
    </row>
    <row r="279" spans="1:12" ht="12.75" customHeight="1" thickBot="1" x14ac:dyDescent="0.25">
      <c r="A279" s="1717" t="s">
        <v>865</v>
      </c>
      <c r="B279" s="1700">
        <v>2000</v>
      </c>
      <c r="C279" s="615"/>
      <c r="D279" s="1696">
        <f>SUM(D238,D243,D257,D261,D270,D277,D278)</f>
        <v>388727</v>
      </c>
      <c r="E279" s="615"/>
      <c r="F279" s="615"/>
      <c r="G279" s="615"/>
      <c r="H279" s="615"/>
      <c r="I279" s="615"/>
      <c r="J279" s="615"/>
      <c r="K279" s="1696">
        <f>SUM(K238,K243,K257,K261,K270,K277,K278)</f>
        <v>388727</v>
      </c>
      <c r="L279" s="1696">
        <f>SUM(L238,L243,L257,L261,L270,L277,L278)</f>
        <v>396881</v>
      </c>
    </row>
    <row r="280" spans="1:12" ht="15.75" customHeight="1" thickTop="1" thickBot="1" x14ac:dyDescent="0.25">
      <c r="A280" s="1643" t="s">
        <v>930</v>
      </c>
      <c r="B280" s="1632">
        <v>3000</v>
      </c>
      <c r="C280" s="615"/>
      <c r="D280" s="574">
        <v>21400</v>
      </c>
      <c r="E280" s="615"/>
      <c r="F280" s="615"/>
      <c r="G280" s="615"/>
      <c r="H280" s="615"/>
      <c r="I280" s="615"/>
      <c r="J280" s="615"/>
      <c r="K280" s="1698">
        <f>D280</f>
        <v>21400</v>
      </c>
      <c r="L280" s="574">
        <v>22408</v>
      </c>
    </row>
    <row r="281" spans="1:12" ht="15.75" customHeight="1" thickTop="1" x14ac:dyDescent="0.2">
      <c r="A281" s="1633" t="s">
        <v>144</v>
      </c>
      <c r="B281" s="1634" t="s">
        <v>915</v>
      </c>
      <c r="C281" s="615"/>
      <c r="D281" s="564"/>
      <c r="E281" s="615"/>
      <c r="F281" s="615"/>
      <c r="G281" s="615"/>
      <c r="H281" s="615"/>
      <c r="I281" s="615"/>
      <c r="J281" s="615"/>
      <c r="K281" s="615"/>
      <c r="L281" s="615"/>
    </row>
    <row r="282" spans="1:12" ht="15.75" customHeight="1" x14ac:dyDescent="0.2">
      <c r="A282" s="1850" t="s">
        <v>517</v>
      </c>
      <c r="B282" s="689" t="s">
        <v>1951</v>
      </c>
      <c r="C282" s="615"/>
      <c r="D282" s="467">
        <v>0</v>
      </c>
      <c r="E282" s="615"/>
      <c r="F282" s="615"/>
      <c r="G282" s="615"/>
      <c r="H282" s="615"/>
      <c r="I282" s="615"/>
      <c r="J282" s="615"/>
      <c r="K282" s="1690">
        <f>D282</f>
        <v>0</v>
      </c>
      <c r="L282" s="467">
        <v>0</v>
      </c>
    </row>
    <row r="283" spans="1:12" x14ac:dyDescent="0.2">
      <c r="A283" s="1523" t="s">
        <v>322</v>
      </c>
      <c r="B283" s="613">
        <v>4120</v>
      </c>
      <c r="C283" s="615"/>
      <c r="D283" s="466">
        <v>0</v>
      </c>
      <c r="E283" s="615"/>
      <c r="F283" s="615"/>
      <c r="G283" s="615"/>
      <c r="H283" s="615"/>
      <c r="I283" s="615"/>
      <c r="J283" s="615"/>
      <c r="K283" s="1690">
        <f>D283</f>
        <v>0</v>
      </c>
      <c r="L283" s="466">
        <v>0</v>
      </c>
    </row>
    <row r="284" spans="1:12" x14ac:dyDescent="0.2">
      <c r="A284" s="1523"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1" t="s">
        <v>931</v>
      </c>
      <c r="B286" s="1628"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3" t="s">
        <v>89</v>
      </c>
      <c r="B288" s="613">
        <v>5110</v>
      </c>
      <c r="C288" s="615"/>
      <c r="D288" s="615"/>
      <c r="E288" s="615"/>
      <c r="F288" s="615"/>
      <c r="G288" s="615"/>
      <c r="H288" s="466">
        <v>0</v>
      </c>
      <c r="I288" s="615"/>
      <c r="J288" s="615"/>
      <c r="K288" s="1690">
        <f>H288</f>
        <v>0</v>
      </c>
      <c r="L288" s="466">
        <v>0</v>
      </c>
    </row>
    <row r="289" spans="1:14" x14ac:dyDescent="0.2">
      <c r="A289" s="1523" t="s">
        <v>90</v>
      </c>
      <c r="B289" s="613">
        <v>5120</v>
      </c>
      <c r="C289" s="615"/>
      <c r="D289" s="615"/>
      <c r="E289" s="615"/>
      <c r="F289" s="615"/>
      <c r="G289" s="615"/>
      <c r="H289" s="466">
        <v>0</v>
      </c>
      <c r="I289" s="615"/>
      <c r="J289" s="615"/>
      <c r="K289" s="1690">
        <f>H289</f>
        <v>0</v>
      </c>
      <c r="L289" s="466">
        <v>0</v>
      </c>
    </row>
    <row r="290" spans="1:14" ht="12.75" customHeight="1" x14ac:dyDescent="0.2">
      <c r="A290" s="1523" t="s">
        <v>1232</v>
      </c>
      <c r="B290" s="627" t="s">
        <v>638</v>
      </c>
      <c r="C290" s="615"/>
      <c r="D290" s="615"/>
      <c r="E290" s="615"/>
      <c r="F290" s="615"/>
      <c r="G290" s="615"/>
      <c r="H290" s="466">
        <v>0</v>
      </c>
      <c r="I290" s="615"/>
      <c r="J290" s="615"/>
      <c r="K290" s="1690">
        <f>H290</f>
        <v>0</v>
      </c>
      <c r="L290" s="466">
        <v>0</v>
      </c>
    </row>
    <row r="291" spans="1:14" x14ac:dyDescent="0.2">
      <c r="A291" s="1523" t="s">
        <v>91</v>
      </c>
      <c r="B291" s="613" t="s">
        <v>610</v>
      </c>
      <c r="C291" s="615"/>
      <c r="D291" s="615"/>
      <c r="E291" s="615"/>
      <c r="F291" s="615"/>
      <c r="G291" s="615"/>
      <c r="H291" s="466">
        <v>0</v>
      </c>
      <c r="I291" s="615"/>
      <c r="J291" s="615"/>
      <c r="K291" s="1690">
        <f>H291</f>
        <v>0</v>
      </c>
      <c r="L291" s="466">
        <v>0</v>
      </c>
    </row>
    <row r="292" spans="1:14" x14ac:dyDescent="0.2">
      <c r="A292" s="1523"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4" t="s">
        <v>932</v>
      </c>
      <c r="B294" s="1632" t="s">
        <v>916</v>
      </c>
      <c r="C294" s="615"/>
      <c r="D294" s="622"/>
      <c r="E294" s="615"/>
      <c r="F294" s="615"/>
      <c r="G294" s="615"/>
      <c r="H294" s="685"/>
      <c r="I294" s="615"/>
      <c r="J294" s="615"/>
      <c r="K294" s="685"/>
      <c r="L294" s="576">
        <v>0</v>
      </c>
    </row>
    <row r="295" spans="1:14" ht="12.75" customHeight="1" thickTop="1" thickBot="1" x14ac:dyDescent="0.25">
      <c r="A295" s="2289" t="s">
        <v>526</v>
      </c>
      <c r="B295" s="2290"/>
      <c r="C295" s="615"/>
      <c r="D295" s="1689">
        <f>SUM(D229,D279,D280,D285)</f>
        <v>835095</v>
      </c>
      <c r="E295" s="615"/>
      <c r="F295" s="615"/>
      <c r="G295" s="615"/>
      <c r="H295" s="1689">
        <f>H293</f>
        <v>0</v>
      </c>
      <c r="I295" s="615"/>
      <c r="J295" s="615"/>
      <c r="K295" s="1689">
        <f>SUM(K229,K279,K280,K285,K293,K294)</f>
        <v>835095</v>
      </c>
      <c r="L295" s="1689">
        <f>SUM(L229,L279,L280,L285,L293,L294)</f>
        <v>872325</v>
      </c>
    </row>
    <row r="296" spans="1:14" ht="13.5" thickTop="1" x14ac:dyDescent="0.2">
      <c r="A296" s="2298" t="s">
        <v>1053</v>
      </c>
      <c r="B296" s="2299"/>
      <c r="C296" s="615"/>
      <c r="D296" s="617"/>
      <c r="E296" s="615"/>
      <c r="F296" s="615"/>
      <c r="G296" s="615"/>
      <c r="H296" s="686"/>
      <c r="I296" s="615"/>
      <c r="J296" s="615"/>
      <c r="K296" s="1703">
        <f>'Revenues 9-14'!G275-'Expenditures 15-22'!K295</f>
        <v>61245</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281" t="s">
        <v>145</v>
      </c>
      <c r="B298" s="2275"/>
      <c r="C298" s="1570"/>
      <c r="D298" s="1571"/>
      <c r="E298" s="1571"/>
      <c r="F298" s="1571"/>
      <c r="G298" s="1571"/>
      <c r="H298" s="1571"/>
      <c r="I298" s="1571"/>
      <c r="J298" s="1571"/>
      <c r="K298" s="1571"/>
      <c r="L298" s="1572"/>
    </row>
    <row r="299" spans="1:14" ht="15.75" customHeight="1" x14ac:dyDescent="0.2">
      <c r="A299" s="1631" t="s">
        <v>146</v>
      </c>
      <c r="B299" s="1634"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6" t="s">
        <v>629</v>
      </c>
      <c r="B301" s="688">
        <v>2530</v>
      </c>
      <c r="C301" s="466">
        <v>0</v>
      </c>
      <c r="D301" s="466">
        <v>0</v>
      </c>
      <c r="E301" s="466">
        <v>0</v>
      </c>
      <c r="F301" s="466">
        <v>0</v>
      </c>
      <c r="G301" s="466">
        <v>0</v>
      </c>
      <c r="H301" s="466">
        <v>0</v>
      </c>
      <c r="I301" s="467">
        <v>0</v>
      </c>
      <c r="J301" s="467">
        <v>0</v>
      </c>
      <c r="K301" s="1690">
        <f>SUM(C301:J301)</f>
        <v>0</v>
      </c>
      <c r="L301" s="467">
        <v>0</v>
      </c>
    </row>
    <row r="302" spans="1:14" ht="13.5" customHeight="1" x14ac:dyDescent="0.2">
      <c r="A302" s="1536"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1" t="s">
        <v>147</v>
      </c>
      <c r="B304" s="1632"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7" t="s">
        <v>1956</v>
      </c>
      <c r="B306" s="689" t="s">
        <v>1951</v>
      </c>
      <c r="C306" s="615"/>
      <c r="D306" s="615"/>
      <c r="E306" s="467">
        <v>0</v>
      </c>
      <c r="F306" s="615"/>
      <c r="G306" s="615"/>
      <c r="H306" s="467">
        <v>0</v>
      </c>
      <c r="I306" s="615"/>
      <c r="J306" s="615"/>
      <c r="K306" s="1690">
        <f>SUM(E306,H306)</f>
        <v>0</v>
      </c>
      <c r="L306" s="467">
        <v>0</v>
      </c>
    </row>
    <row r="307" spans="1:14" x14ac:dyDescent="0.2">
      <c r="A307" s="1523" t="s">
        <v>322</v>
      </c>
      <c r="B307" s="613">
        <v>4120</v>
      </c>
      <c r="C307" s="615"/>
      <c r="D307" s="615"/>
      <c r="E307" s="467">
        <v>0</v>
      </c>
      <c r="F307" s="615"/>
      <c r="G307" s="615"/>
      <c r="H307" s="467">
        <v>0</v>
      </c>
      <c r="I307" s="476"/>
      <c r="J307" s="615"/>
      <c r="K307" s="1690">
        <f>SUM(E307,H307)</f>
        <v>0</v>
      </c>
      <c r="L307" s="466">
        <v>0</v>
      </c>
    </row>
    <row r="308" spans="1:14" x14ac:dyDescent="0.2">
      <c r="A308" s="1523" t="s">
        <v>721</v>
      </c>
      <c r="B308" s="613">
        <v>4140</v>
      </c>
      <c r="C308" s="615"/>
      <c r="D308" s="615"/>
      <c r="E308" s="467">
        <v>0</v>
      </c>
      <c r="F308" s="615"/>
      <c r="G308" s="615"/>
      <c r="H308" s="467">
        <v>0</v>
      </c>
      <c r="I308" s="476"/>
      <c r="J308" s="615"/>
      <c r="K308" s="1690">
        <f>SUM(E308,H308)</f>
        <v>0</v>
      </c>
      <c r="L308" s="466">
        <v>0</v>
      </c>
    </row>
    <row r="309" spans="1:14" ht="12.75" customHeight="1" x14ac:dyDescent="0.2">
      <c r="A309" s="1527"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8" t="s">
        <v>951</v>
      </c>
      <c r="B311" s="1630" t="s">
        <v>916</v>
      </c>
      <c r="C311" s="622"/>
      <c r="D311" s="622"/>
      <c r="E311" s="622"/>
      <c r="F311" s="622"/>
      <c r="G311" s="622"/>
      <c r="H311" s="622"/>
      <c r="I311" s="622"/>
      <c r="J311" s="615"/>
      <c r="K311" s="622"/>
      <c r="L311" s="574">
        <v>0</v>
      </c>
    </row>
    <row r="312" spans="1:14" s="673" customFormat="1" ht="12.75" customHeight="1" thickTop="1" thickBot="1" x14ac:dyDescent="0.25">
      <c r="A312" s="2286" t="s">
        <v>295</v>
      </c>
      <c r="B312" s="2287"/>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4"/>
      <c r="N312" s="664"/>
    </row>
    <row r="313" spans="1:14" ht="13.5" thickTop="1" x14ac:dyDescent="0.2">
      <c r="A313" s="2282" t="s">
        <v>1053</v>
      </c>
      <c r="B313" s="2283"/>
      <c r="C313" s="625"/>
      <c r="D313" s="625"/>
      <c r="E313" s="625"/>
      <c r="F313" s="625"/>
      <c r="G313" s="625"/>
      <c r="H313" s="625"/>
      <c r="I313" s="625"/>
      <c r="J313" s="625"/>
      <c r="K313" s="1704">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95" t="s">
        <v>151</v>
      </c>
      <c r="B315" s="2296"/>
      <c r="C315" s="1575"/>
      <c r="D315" s="1576"/>
      <c r="E315" s="1576"/>
      <c r="F315" s="1576"/>
      <c r="G315" s="1576"/>
      <c r="H315" s="1576"/>
      <c r="I315" s="1576"/>
      <c r="J315" s="1576"/>
      <c r="K315" s="1576"/>
      <c r="L315" s="157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97" t="s">
        <v>954</v>
      </c>
      <c r="B317" s="2296"/>
      <c r="C317" s="1575"/>
      <c r="D317" s="1576"/>
      <c r="E317" s="1576"/>
      <c r="F317" s="1576"/>
      <c r="G317" s="1576"/>
      <c r="H317" s="1576"/>
      <c r="I317" s="1576"/>
      <c r="J317" s="1576"/>
      <c r="K317" s="1576"/>
      <c r="L317" s="1577"/>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8"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2" t="s">
        <v>1902</v>
      </c>
      <c r="B320" s="697" t="s">
        <v>300</v>
      </c>
      <c r="C320" s="467">
        <v>0</v>
      </c>
      <c r="D320" s="467">
        <v>0</v>
      </c>
      <c r="E320" s="467">
        <v>0</v>
      </c>
      <c r="F320" s="467">
        <v>0</v>
      </c>
      <c r="G320" s="467">
        <v>0</v>
      </c>
      <c r="H320" s="467">
        <v>0</v>
      </c>
      <c r="I320" s="467">
        <v>0</v>
      </c>
      <c r="J320" s="467">
        <v>0</v>
      </c>
      <c r="K320" s="1690">
        <f t="shared" ref="K320:K327" si="24">SUM(C320:J320)</f>
        <v>0</v>
      </c>
      <c r="L320" s="467">
        <v>0</v>
      </c>
      <c r="M320" s="664"/>
      <c r="N320" s="664"/>
    </row>
    <row r="321" spans="1:14" s="673" customFormat="1" x14ac:dyDescent="0.2">
      <c r="A321" s="1538" t="s">
        <v>318</v>
      </c>
      <c r="B321" s="696" t="s">
        <v>301</v>
      </c>
      <c r="C321" s="467">
        <v>0</v>
      </c>
      <c r="D321" s="467">
        <v>0</v>
      </c>
      <c r="E321" s="467">
        <v>0</v>
      </c>
      <c r="F321" s="467">
        <v>0</v>
      </c>
      <c r="G321" s="467">
        <v>0</v>
      </c>
      <c r="H321" s="467">
        <v>0</v>
      </c>
      <c r="I321" s="467">
        <v>0</v>
      </c>
      <c r="J321" s="467">
        <v>0</v>
      </c>
      <c r="K321" s="1690">
        <f t="shared" si="24"/>
        <v>0</v>
      </c>
      <c r="L321" s="467">
        <v>0</v>
      </c>
      <c r="M321" s="664"/>
      <c r="N321" s="664"/>
    </row>
    <row r="322" spans="1:14" s="673" customFormat="1" x14ac:dyDescent="0.2">
      <c r="A322" s="1538" t="s">
        <v>256</v>
      </c>
      <c r="B322" s="696" t="s">
        <v>302</v>
      </c>
      <c r="C322" s="467">
        <v>0</v>
      </c>
      <c r="D322" s="467">
        <v>0</v>
      </c>
      <c r="E322" s="467">
        <v>0</v>
      </c>
      <c r="F322" s="467">
        <v>0</v>
      </c>
      <c r="G322" s="467">
        <v>0</v>
      </c>
      <c r="H322" s="467">
        <v>0</v>
      </c>
      <c r="I322" s="467">
        <v>0</v>
      </c>
      <c r="J322" s="467">
        <v>0</v>
      </c>
      <c r="K322" s="1690">
        <f t="shared" si="24"/>
        <v>0</v>
      </c>
      <c r="L322" s="467">
        <v>0</v>
      </c>
      <c r="M322" s="664"/>
      <c r="N322" s="664"/>
    </row>
    <row r="323" spans="1:14" s="673" customFormat="1" x14ac:dyDescent="0.2">
      <c r="A323" s="1538"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8"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8" t="s">
        <v>1087</v>
      </c>
      <c r="B325" s="697" t="s">
        <v>305</v>
      </c>
      <c r="C325" s="467">
        <v>0</v>
      </c>
      <c r="D325" s="467">
        <v>0</v>
      </c>
      <c r="E325" s="467">
        <v>0</v>
      </c>
      <c r="F325" s="467">
        <v>0</v>
      </c>
      <c r="G325" s="467">
        <v>0</v>
      </c>
      <c r="H325" s="467">
        <v>0</v>
      </c>
      <c r="I325" s="467">
        <v>0</v>
      </c>
      <c r="J325" s="467">
        <v>0</v>
      </c>
      <c r="K325" s="1690">
        <f t="shared" si="24"/>
        <v>0</v>
      </c>
      <c r="L325" s="467">
        <v>0</v>
      </c>
      <c r="M325" s="664"/>
      <c r="N325" s="664"/>
    </row>
    <row r="326" spans="1:14" s="673" customFormat="1" x14ac:dyDescent="0.2">
      <c r="A326" s="1538"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8" t="s">
        <v>1028</v>
      </c>
      <c r="B327" s="696" t="s">
        <v>307</v>
      </c>
      <c r="C327" s="467">
        <v>0</v>
      </c>
      <c r="D327" s="467">
        <v>0</v>
      </c>
      <c r="E327" s="467">
        <v>0</v>
      </c>
      <c r="F327" s="467">
        <v>0</v>
      </c>
      <c r="G327" s="467">
        <v>0</v>
      </c>
      <c r="H327" s="467">
        <v>0</v>
      </c>
      <c r="I327" s="467">
        <v>0</v>
      </c>
      <c r="J327" s="467">
        <v>0</v>
      </c>
      <c r="K327" s="1690">
        <f t="shared" si="24"/>
        <v>0</v>
      </c>
      <c r="L327" s="467">
        <v>0</v>
      </c>
      <c r="M327" s="664"/>
      <c r="N327" s="664"/>
    </row>
    <row r="328" spans="1:14" s="673" customFormat="1" x14ac:dyDescent="0.2">
      <c r="A328" s="1539" t="s">
        <v>492</v>
      </c>
      <c r="B328" s="689" t="s">
        <v>1194</v>
      </c>
      <c r="C328" s="474">
        <v>0</v>
      </c>
      <c r="D328" s="474">
        <v>0</v>
      </c>
      <c r="E328" s="474">
        <v>0</v>
      </c>
      <c r="F328" s="474">
        <v>0</v>
      </c>
      <c r="G328" s="474">
        <v>0</v>
      </c>
      <c r="H328" s="474">
        <v>0</v>
      </c>
      <c r="I328" s="474">
        <v>0</v>
      </c>
      <c r="J328" s="474">
        <v>0</v>
      </c>
      <c r="K328" s="1718">
        <f>SUM(C328:J328)</f>
        <v>0</v>
      </c>
      <c r="L328" s="474">
        <v>0</v>
      </c>
      <c r="M328" s="664"/>
      <c r="N328" s="664"/>
    </row>
    <row r="329" spans="1:14" s="673" customFormat="1" x14ac:dyDescent="0.2">
      <c r="A329" s="1539"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0</v>
      </c>
      <c r="D330" s="1689">
        <f t="shared" ref="D330:J330" si="25">SUM(D319:D329)</f>
        <v>0</v>
      </c>
      <c r="E330" s="1689">
        <f t="shared" si="25"/>
        <v>0</v>
      </c>
      <c r="F330" s="1689">
        <f t="shared" si="25"/>
        <v>0</v>
      </c>
      <c r="G330" s="1689">
        <f t="shared" si="25"/>
        <v>0</v>
      </c>
      <c r="H330" s="1689">
        <f t="shared" si="25"/>
        <v>0</v>
      </c>
      <c r="I330" s="1689">
        <f t="shared" si="25"/>
        <v>0</v>
      </c>
      <c r="J330" s="1689">
        <f t="shared" si="25"/>
        <v>0</v>
      </c>
      <c r="K330" s="1689">
        <f>SUM(K319:K329)</f>
        <v>0</v>
      </c>
      <c r="L330" s="1689">
        <f>SUM(L319:L329)</f>
        <v>0</v>
      </c>
      <c r="M330" s="664"/>
      <c r="N330" s="664"/>
    </row>
    <row r="331" spans="1:14" s="673" customFormat="1" ht="12.75" customHeight="1" thickTop="1" x14ac:dyDescent="0.2">
      <c r="A331" s="1851" t="s">
        <v>1957</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1951</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1953</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1958</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5" t="s">
        <v>955</v>
      </c>
      <c r="B335" s="1626"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7" t="s">
        <v>89</v>
      </c>
      <c r="B337" s="689" t="s">
        <v>956</v>
      </c>
      <c r="C337" s="637"/>
      <c r="D337" s="637"/>
      <c r="E337" s="637"/>
      <c r="F337" s="637"/>
      <c r="G337" s="637"/>
      <c r="H337" s="477">
        <v>0</v>
      </c>
      <c r="I337" s="637"/>
      <c r="J337" s="637"/>
      <c r="K337" s="1690">
        <f>H337</f>
        <v>0</v>
      </c>
      <c r="L337" s="477">
        <v>0</v>
      </c>
    </row>
    <row r="338" spans="1:14" ht="12.75" customHeight="1" x14ac:dyDescent="0.2">
      <c r="A338" s="1537" t="s">
        <v>1232</v>
      </c>
      <c r="B338" s="689" t="s">
        <v>638</v>
      </c>
      <c r="C338" s="637"/>
      <c r="D338" s="637"/>
      <c r="E338" s="637"/>
      <c r="F338" s="637"/>
      <c r="G338" s="637"/>
      <c r="H338" s="477">
        <v>0</v>
      </c>
      <c r="I338" s="637"/>
      <c r="J338" s="637"/>
      <c r="K338" s="1690">
        <f>H338</f>
        <v>0</v>
      </c>
      <c r="L338" s="477">
        <v>0</v>
      </c>
    </row>
    <row r="339" spans="1:14" x14ac:dyDescent="0.2">
      <c r="A339" s="1523"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8" t="s">
        <v>959</v>
      </c>
      <c r="B341" s="1630"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0</v>
      </c>
      <c r="D342" s="1689">
        <f>SUM(D330)</f>
        <v>0</v>
      </c>
      <c r="E342" s="1689">
        <f>SUM(E330)</f>
        <v>0</v>
      </c>
      <c r="F342" s="1689">
        <f>SUM(F330)</f>
        <v>0</v>
      </c>
      <c r="G342" s="1689">
        <f>SUM(G330)</f>
        <v>0</v>
      </c>
      <c r="H342" s="1689">
        <f>SUM(H330,H334,H340)</f>
        <v>0</v>
      </c>
      <c r="I342" s="1689">
        <f>SUM(I330)</f>
        <v>0</v>
      </c>
      <c r="J342" s="1689">
        <f>SUM(J330)</f>
        <v>0</v>
      </c>
      <c r="K342" s="1689">
        <f>SUM(K330,K334,K340)</f>
        <v>0</v>
      </c>
      <c r="L342" s="1696">
        <f>SUM(L330,L340,L341)</f>
        <v>0</v>
      </c>
    </row>
    <row r="343" spans="1:14" ht="12.75" customHeight="1" thickTop="1" x14ac:dyDescent="0.2">
      <c r="A343" s="2284" t="s">
        <v>1053</v>
      </c>
      <c r="B343" s="2285"/>
      <c r="C343" s="615"/>
      <c r="D343" s="615"/>
      <c r="E343" s="615"/>
      <c r="F343" s="615"/>
      <c r="G343" s="615"/>
      <c r="H343" s="615"/>
      <c r="I343" s="615"/>
      <c r="J343" s="615"/>
      <c r="K343" s="1703">
        <f>'Revenues 9-14'!J275-'Expenditures 15-22'!K342</f>
        <v>0</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274" t="s">
        <v>1023</v>
      </c>
      <c r="B345" s="2275"/>
      <c r="C345" s="1570"/>
      <c r="D345" s="1571"/>
      <c r="E345" s="1571"/>
      <c r="F345" s="1571"/>
      <c r="G345" s="1571"/>
      <c r="H345" s="1571"/>
      <c r="I345" s="1571"/>
      <c r="J345" s="1571"/>
      <c r="K345" s="1571"/>
      <c r="L345" s="1572"/>
      <c r="M345" s="666"/>
      <c r="N345" s="666"/>
    </row>
    <row r="346" spans="1:14" s="343" customFormat="1" ht="15.75" customHeight="1" x14ac:dyDescent="0.2">
      <c r="A346" s="1642" t="s">
        <v>899</v>
      </c>
      <c r="B346" s="1634"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3" t="s">
        <v>4</v>
      </c>
      <c r="B348" s="613">
        <v>2530</v>
      </c>
      <c r="C348" s="466">
        <v>0</v>
      </c>
      <c r="D348" s="466">
        <v>0</v>
      </c>
      <c r="E348" s="466">
        <v>6683</v>
      </c>
      <c r="F348" s="466">
        <v>9030</v>
      </c>
      <c r="G348" s="466">
        <v>182510</v>
      </c>
      <c r="H348" s="466">
        <v>0</v>
      </c>
      <c r="I348" s="467">
        <v>0</v>
      </c>
      <c r="J348" s="467">
        <v>0</v>
      </c>
      <c r="K348" s="1690">
        <f>SUM(C348:J348)</f>
        <v>198223</v>
      </c>
      <c r="L348" s="466">
        <v>285895</v>
      </c>
    </row>
    <row r="349" spans="1:14" x14ac:dyDescent="0.2">
      <c r="A349" s="1523"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6683</v>
      </c>
      <c r="F350" s="1689">
        <f t="shared" si="26"/>
        <v>9030</v>
      </c>
      <c r="G350" s="1689">
        <f t="shared" si="26"/>
        <v>182510</v>
      </c>
      <c r="H350" s="1689">
        <f t="shared" si="26"/>
        <v>0</v>
      </c>
      <c r="I350" s="1689">
        <f t="shared" si="26"/>
        <v>0</v>
      </c>
      <c r="J350" s="1689">
        <f t="shared" si="26"/>
        <v>0</v>
      </c>
      <c r="K350" s="1689">
        <f t="shared" si="26"/>
        <v>198223</v>
      </c>
      <c r="L350" s="1689">
        <f t="shared" si="26"/>
        <v>285895</v>
      </c>
    </row>
    <row r="351" spans="1:14" ht="12.75" customHeight="1" thickTop="1" x14ac:dyDescent="0.2">
      <c r="A351" s="1529"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6683</v>
      </c>
      <c r="F352" s="1689">
        <f t="shared" si="27"/>
        <v>9030</v>
      </c>
      <c r="G352" s="1689">
        <f t="shared" si="27"/>
        <v>182510</v>
      </c>
      <c r="H352" s="1689">
        <f t="shared" si="27"/>
        <v>0</v>
      </c>
      <c r="I352" s="1689">
        <f t="shared" si="27"/>
        <v>0</v>
      </c>
      <c r="J352" s="1689">
        <f t="shared" si="27"/>
        <v>0</v>
      </c>
      <c r="K352" s="1689">
        <f t="shared" si="27"/>
        <v>198223</v>
      </c>
      <c r="L352" s="1689">
        <f t="shared" si="27"/>
        <v>285895</v>
      </c>
    </row>
    <row r="353" spans="1:14" s="343" customFormat="1" ht="15.75" customHeight="1" thickTop="1" x14ac:dyDescent="0.2">
      <c r="A353" s="1631" t="s">
        <v>646</v>
      </c>
      <c r="B353" s="1628" t="s">
        <v>915</v>
      </c>
      <c r="C353" s="615"/>
      <c r="D353" s="615"/>
      <c r="E353" s="615"/>
      <c r="F353" s="615"/>
      <c r="G353" s="615"/>
      <c r="H353" s="615"/>
      <c r="I353" s="615"/>
      <c r="J353" s="615"/>
      <c r="K353" s="615"/>
      <c r="L353" s="615"/>
      <c r="M353" s="608"/>
      <c r="N353" s="608"/>
    </row>
    <row r="354" spans="1:14" x14ac:dyDescent="0.2">
      <c r="A354" s="1854" t="s">
        <v>1959</v>
      </c>
      <c r="B354" s="682" t="s">
        <v>1951</v>
      </c>
      <c r="C354" s="615"/>
      <c r="D354" s="615"/>
      <c r="E354" s="615"/>
      <c r="F354" s="615"/>
      <c r="G354" s="615"/>
      <c r="H354" s="474">
        <v>0</v>
      </c>
      <c r="I354" s="700"/>
      <c r="J354" s="615"/>
      <c r="K354" s="1718">
        <f>H354</f>
        <v>0</v>
      </c>
      <c r="L354" s="471">
        <v>0</v>
      </c>
    </row>
    <row r="355" spans="1:14" ht="12.75" customHeight="1" x14ac:dyDescent="0.2">
      <c r="A355" s="1532" t="s">
        <v>1960</v>
      </c>
      <c r="B355" s="689" t="s">
        <v>1953</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1" t="s">
        <v>1005</v>
      </c>
      <c r="B358" s="1628"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3" t="s">
        <v>89</v>
      </c>
      <c r="B360" s="613">
        <v>5110</v>
      </c>
      <c r="C360" s="615"/>
      <c r="D360" s="615"/>
      <c r="E360" s="615"/>
      <c r="F360" s="615"/>
      <c r="G360" s="615"/>
      <c r="H360" s="467">
        <v>0</v>
      </c>
      <c r="I360" s="615"/>
      <c r="J360" s="615"/>
      <c r="K360" s="1690">
        <f>SUM(C360:J360)</f>
        <v>0</v>
      </c>
      <c r="L360" s="466">
        <v>0</v>
      </c>
    </row>
    <row r="361" spans="1:14" ht="12.75" customHeight="1" x14ac:dyDescent="0.2">
      <c r="A361" s="1524"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1769</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0"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5" t="s">
        <v>1006</v>
      </c>
      <c r="B366" s="1632"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6683</v>
      </c>
      <c r="F367" s="1689">
        <f t="shared" si="28"/>
        <v>9030</v>
      </c>
      <c r="G367" s="1689">
        <f t="shared" si="28"/>
        <v>182510</v>
      </c>
      <c r="H367" s="1689">
        <f t="shared" si="28"/>
        <v>0</v>
      </c>
      <c r="I367" s="1689">
        <f t="shared" si="28"/>
        <v>0</v>
      </c>
      <c r="J367" s="1689">
        <f t="shared" si="28"/>
        <v>0</v>
      </c>
      <c r="K367" s="1689">
        <f t="shared" si="28"/>
        <v>198223</v>
      </c>
      <c r="L367" s="1689">
        <f t="shared" si="28"/>
        <v>285895</v>
      </c>
    </row>
    <row r="368" spans="1:14" ht="13.5" thickTop="1" x14ac:dyDescent="0.2">
      <c r="A368" s="2298" t="s">
        <v>1053</v>
      </c>
      <c r="B368" s="2299"/>
      <c r="C368" s="653"/>
      <c r="D368" s="653"/>
      <c r="E368" s="625"/>
      <c r="F368" s="625"/>
      <c r="G368" s="625"/>
      <c r="H368" s="625"/>
      <c r="I368" s="625"/>
      <c r="J368" s="622"/>
      <c r="K368" s="1690">
        <f>'Revenues 9-14'!K275-'Expenditures 15-22'!K367</f>
        <v>92691</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4d435f69-8686-490b-bd6d-b153bf22ab50"/>
    <ds:schemaRef ds:uri="http://schemas.microsoft.com/office/infopath/2007/PartnerControls"/>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d21dc803-237d-4c68-8692-8d731fd29118"/>
    <ds:schemaRef ds:uri="6ce3111e-7420-4802-b50a-75d4e9a0b980"/>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18</vt:lpstr>
      <vt:lpstr>SEFA NOTES</vt:lpstr>
      <vt:lpstr>SF&amp;QC Sec-1</vt:lpstr>
      <vt:lpstr>SF&amp;QC Sec-2</vt:lpstr>
      <vt:lpstr>SF&amp;QC Sec-3</vt:lpstr>
      <vt:lpstr>SSPAF</vt:lpstr>
      <vt:lpstr>CAP</vt:lpstr>
      <vt:lpstr>' SEFA'!Print_Area</vt:lpstr>
      <vt:lpstr>'SEFA 18'!Print_Area</vt:lpstr>
      <vt:lpstr>'SEFA NOTES'!Print_Area</vt:lpstr>
      <vt:lpstr>'SEFA Reconcile'!Print_Area</vt:lpstr>
      <vt:lpstr>'SF&amp;QC Sec-1'!Print_Area</vt:lpstr>
      <vt:lpstr>'SF&amp;QC Sec-3'!Print_Area</vt:lpstr>
      <vt:lpstr>'Single Audit Checklist'!Print_Area</vt:lpstr>
      <vt:lpstr>'Single Audit Cover'!Print_Area</vt:lpstr>
      <vt:lpstr>'SEFA 18'!Print_Area_MI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18'!Print_Titles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2018-10-10T13:14:07Z</cp:lastPrinted>
  <dcterms:created xsi:type="dcterms:W3CDTF">2003-10-29T19:06:34Z</dcterms:created>
  <dcterms:modified xsi:type="dcterms:W3CDTF">2018-12-10T21:04:49Z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