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J49"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6" i="36"/>
  <c r="D37" i="36"/>
  <c r="D38" i="36"/>
  <c r="D39" i="36"/>
  <c r="D40" i="36"/>
  <c r="D71" i="36"/>
  <c r="D79" i="36"/>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D24" i="37"/>
  <c r="B4270" i="106" s="1"/>
  <c r="D4270" i="106" s="1"/>
  <c r="B4172" i="106" l="1"/>
  <c r="D4172" i="106" s="1"/>
  <c r="N22" i="3"/>
  <c r="B283" i="106" s="1"/>
  <c r="D283" i="106" s="1"/>
  <c r="J22" i="37"/>
  <c r="H33" i="118"/>
  <c r="F35" i="34"/>
  <c r="F68" i="34"/>
  <c r="F50" i="34"/>
  <c r="F46" i="34"/>
  <c r="I24" i="12"/>
  <c r="I26" i="12" s="1"/>
  <c r="B7741" i="106" s="1"/>
  <c r="D7741" i="106" s="1"/>
  <c r="F42" i="34"/>
  <c r="J210" i="29"/>
  <c r="B7072" i="106" s="1"/>
  <c r="D7072" i="106" s="1"/>
  <c r="D6103" i="106"/>
  <c r="D13" i="7"/>
  <c r="B3726" i="106" s="1"/>
  <c r="D3726" i="106" s="1"/>
  <c r="F72" i="34"/>
  <c r="F27" i="108"/>
  <c r="F26" i="108"/>
  <c r="I210" i="29"/>
  <c r="B7071" i="106" s="1"/>
  <c r="D7071" i="106" s="1"/>
  <c r="D5" i="4"/>
  <c r="B3406" i="106" s="1"/>
  <c r="D3406" i="106" s="1"/>
  <c r="D26" i="108"/>
  <c r="B1126" i="106"/>
  <c r="D1126" i="106" s="1"/>
  <c r="D31" i="36"/>
  <c r="H112" i="29"/>
  <c r="B7018" i="106" s="1"/>
  <c r="D7018" i="106" s="1"/>
  <c r="F131" i="34"/>
  <c r="D22" i="37"/>
  <c r="D11" i="37"/>
  <c r="D36" i="108"/>
  <c r="K26" i="12"/>
  <c r="B7743" i="106" s="1"/>
  <c r="D7743" i="106" s="1"/>
  <c r="L15" i="11"/>
  <c r="B3459" i="106" s="1"/>
  <c r="D3459" i="106" s="1"/>
  <c r="F21" i="8"/>
  <c r="B1879" i="106" s="1"/>
  <c r="D1879" i="106" s="1"/>
  <c r="F69" i="34"/>
  <c r="D31" i="108"/>
  <c r="F49" i="34"/>
  <c r="G172" i="5"/>
  <c r="G173" i="5" s="1"/>
  <c r="B5778" i="106" s="1"/>
  <c r="D5778" i="106" s="1"/>
  <c r="F36" i="108"/>
  <c r="F45" i="34"/>
  <c r="G35" i="108"/>
  <c r="E35" i="108"/>
  <c r="B4211" i="106"/>
  <c r="D4211" i="106" s="1"/>
  <c r="F70" i="34"/>
  <c r="F41" i="34"/>
  <c r="L5" i="11"/>
  <c r="B2056" i="106" s="1"/>
  <c r="D2056" i="106" s="1"/>
  <c r="B7047" i="106"/>
  <c r="D7047" i="106" s="1"/>
  <c r="B4411" i="106"/>
  <c r="D4411" i="106" s="1"/>
  <c r="G33" i="108"/>
  <c r="B1746" i="106"/>
  <c r="D1746" i="106" s="1"/>
  <c r="B7074" i="106"/>
  <c r="D7074" i="106" s="1"/>
  <c r="C129" i="29"/>
  <c r="C151" i="29" s="1"/>
  <c r="B1226" i="106" s="1"/>
  <c r="D1226" i="106" s="1"/>
  <c r="F38"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B5770" i="106"/>
  <c r="D577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I7" i="4" l="1"/>
  <c r="B4444" i="106" s="1"/>
  <c r="D4444" i="106" s="1"/>
  <c r="D7256" i="106"/>
  <c r="J24" i="12"/>
  <c r="H22" i="37"/>
  <c r="J151" i="29"/>
  <c r="B7052" i="106" s="1"/>
  <c r="D7052" i="106" s="1"/>
  <c r="B1225" i="106"/>
  <c r="D1225" i="106" s="1"/>
  <c r="D41" i="108"/>
  <c r="E43" i="108" s="1"/>
  <c r="D7251" i="106"/>
  <c r="D7250" i="106"/>
  <c r="L16" i="11"/>
  <c r="B2061" i="106" s="1"/>
  <c r="D2061" i="106" s="1"/>
  <c r="H77" i="4"/>
  <c r="B3299" i="106" s="1"/>
  <c r="D3299" i="106" s="1"/>
  <c r="I6" i="4"/>
  <c r="B5011" i="106" s="1"/>
  <c r="D501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B3414" i="106" l="1"/>
  <c r="D3414" i="106" s="1"/>
  <c r="D13" i="3"/>
  <c r="H24" i="118"/>
  <c r="K24" i="118" s="1"/>
  <c r="O23" i="118" s="1"/>
  <c r="O25" i="118" s="1"/>
  <c r="O35" i="118" s="1"/>
  <c r="O37" i="118" s="1"/>
  <c r="D35" i="36"/>
  <c r="B109" i="106" l="1"/>
  <c r="D109" i="106" s="1"/>
  <c r="D4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<sst xmlns="http://schemas.openxmlformats.org/spreadsheetml/2006/main" count="5086" uniqueCount="2132">
  <si>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</si>
  <si>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</si>
  <si>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</si>
  <si>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</si>
  <si>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</si>
  <si>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</si>
  <si>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</si>
  <si>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</si>
  <si>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</si>
  <si>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</si>
  <si>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</si>
  <si>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</si>
  <si>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</si>
  <si>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</si>
  <si>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</si>
  <si>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</si>
  <si>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</si>
  <si>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</si>
  <si>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</si>
  <si>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</si>
  <si>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</si>
  <si>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</si>
  <si>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</si>
  <si>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</si>
  <si>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</si>
  <si>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</si>
  <si>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</si>
  <si>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</si>
  <si>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</si>
  <si>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</si>
  <si>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</si>
  <si>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</si>
  <si>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</si>
  <si>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</si>
  <si>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</si>
  <si>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</si>
  <si>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</si>
  <si>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</si>
  <si>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</si>
  <si>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</si>
  <si>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</si>
  <si>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</si>
  <si>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</si>
  <si>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</si>
  <si>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</si>
  <si>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</si>
  <si>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</si>
  <si>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</si>
  <si>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</si>
  <si>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</si>
  <si>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</si>
  <si>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</si>
  <si>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</si>
  <si>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</si>
  <si>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</si>
  <si>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</si>
  <si>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</si>
  <si>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</si>
  <si>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</si>
  <si>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</si>
  <si>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</si>
  <si>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</si>
  <si>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</si>
  <si>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</si>
  <si>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</si>
  <si>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</si>
  <si>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</si>
  <si>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</si>
  <si>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</si>
  <si>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</si>
  <si>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</si>
  <si>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</si>
  <si>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</si>
  <si>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</si>
  <si>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</si>
  <si>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</si>
  <si>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</si>
  <si>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</si>
  <si>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</si>
  <si>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</si>
  <si>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</si>
  <si>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</si>
  <si>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</si>
  <si>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</si>
  <si>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</si>
  <si>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</si>
  <si>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</si>
  <si>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</si>
  <si>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</si>
  <si>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</si>
  <si>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</si>
  <si>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</si>
  <si>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</si>
  <si>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</si>
  <si>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</si>
  <si>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</si>
  <si>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</si>
  <si>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</si>
  <si>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</si>
  <si>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</si>
  <si>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</si>
  <si>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</si>
  <si>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</si>
  <si>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</si>
  <si>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</si>
  <si>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</si>
  <si>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</si>
  <si>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</si>
  <si>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</si>
  <si>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</si>
  <si>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</si>
  <si>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</si>
  <si>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</si>
  <si>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</si>
  <si>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</si>
  <si>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</si>
  <si>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</si>
  <si>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</si>
  <si>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</si>
  <si>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</si>
  <si>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</si>
  <si>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</si>
  <si>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</si>
  <si>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</si>
  <si>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</si>
  <si>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</si>
  <si>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</si>
  <si>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</si>
  <si>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</si>
  <si>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</si>
  <si>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</si>
  <si>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</si>
  <si>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</si>
  <si>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</si>
  <si>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</si>
  <si>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</si>
  <si>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</si>
  <si>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</si>
  <si>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</si>
  <si>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</si>
  <si>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</si>
  <si>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</si>
  <si>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</si>
  <si>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</si>
  <si>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</si>
  <si>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</si>
  <si>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</si>
  <si>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</si>
  <si>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</si>
  <si>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</si>
  <si>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</si>
  <si>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</si>
  <si>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</si>
  <si>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</si>
  <si>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</si>
  <si>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</si>
  <si>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</si>
  <si>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</si>
  <si>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</si>
  <si>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</si>
  <si>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</si>
  <si>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</si>
  <si>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</si>
  <si>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</si>
  <si>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</si>
  <si>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</si>
  <si>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</si>
  <si>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</si>
  <si>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</si>
  <si>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</si>
  <si>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</si>
  <si>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</si>
  <si>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</si>
  <si>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</si>
  <si>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</si>
  <si>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</si>
  <si>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</si>
  <si>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</si>
  <si>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</si>
  <si>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</si>
  <si>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</si>
  <si>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</si>
  <si>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</si>
  <si>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</si>
  <si>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</si>
  <si>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</si>
  <si>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</si>
  <si>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</si>
  <si>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</si>
  <si>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</si>
  <si>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</si>
  <si>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</si>
  <si>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</si>
  <si>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</si>
  <si>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</si>
  <si>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</si>
  <si>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</si>
  <si>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</si>
  <si>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</si>
  <si>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</si>
  <si>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</si>
  <si>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</si>
  <si>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</si>
  <si>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</si>
  <si>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</si>
  <si>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</si>
  <si>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</si>
  <si>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</si>
  <si>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</si>
  <si>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</si>
  <si>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</si>
  <si>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</si>
  <si>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</si>
  <si>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</si>
  <si>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</si>
  <si>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</si>
  <si>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</si>
  <si>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</si>
  <si>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</si>
  <si>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</si>
  <si>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</si>
  <si>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</si>
  <si>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</si>
  <si>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</si>
  <si>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</si>
  <si>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</si>
  <si>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</si>
  <si>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</si>
  <si>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</si>
  <si>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</si>
  <si>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</si>
  <si>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</si>
  <si>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</si>
  <si>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</si>
  <si>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</si>
  <si>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</si>
  <si>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</si>
  <si>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</si>
  <si>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</si>
  <si>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</si>
  <si>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</si>
  <si>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</si>
  <si>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</si>
  <si>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</si>
  <si>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</si>
  <si>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</si>
  <si>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</si>
  <si>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</si>
  <si>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</si>
  <si>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</si>
  <si>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</si>
  <si>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</si>
  <si>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</si>
  <si>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</si>
  <si>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</si>
  <si>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</si>
  <si>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</si>
  <si>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</si>
  <si>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</si>
  <si>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</si>
  <si>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</si>
  <si>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</si>
  <si>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</si>
  <si>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</si>
  <si>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</si>
  <si>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</si>
  <si>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</si>
  <si>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</si>
  <si>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</si>
  <si>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</si>
  <si>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</si>
  <si>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</si>
  <si>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</si>
  <si>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</si>
  <si>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</si>
  <si>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</si>
  <si>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</si>
  <si>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</si>
  <si>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</si>
  <si>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</si>
  <si>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</si>
  <si>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</si>
  <si>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</si>
  <si>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</si>
  <si>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</si>
  <si>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</si>
  <si>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</si>
  <si>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</si>
  <si>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</si>
  <si>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</si>
  <si>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</si>
  <si>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</si>
  <si>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</si>
  <si>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</si>
  <si>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</si>
  <si>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</si>
  <si>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</si>
  <si>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</si>
  <si>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</si>
  <si>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</si>
  <si>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</si>
  <si>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</si>
  <si>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</si>
  <si>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</si>
  <si>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</si>
  <si>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</si>
  <si>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</si>
  <si>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</si>
  <si>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</si>
  <si>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</si>
  <si>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</si>
  <si>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</si>
  <si>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</si>
  <si>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</si>
  <si>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</si>
  <si>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</si>
  <si>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</si>
  <si>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</si>
  <si>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</si>
  <si>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</si>
  <si>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</si>
  <si>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</si>
  <si>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</si>
  <si>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</si>
  <si>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</si>
  <si>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</si>
  <si>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</si>
  <si>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</si>
  <si>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</si>
  <si>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</si>
  <si>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</si>
  <si>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</si>
  <si>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</si>
  <si>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</si>
  <si>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</si>
  <si>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</si>
  <si>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</si>
  <si>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</si>
  <si>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</si>
  <si>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</si>
  <si>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</si>
  <si>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</si>
  <si>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</si>
  <si>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</si>
  <si>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</si>
  <si>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</si>
  <si>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</si>
  <si>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</si>
  <si>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</si>
  <si>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</si>
  <si>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</si>
  <si>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</si>
  <si>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</si>
  <si>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</si>
  <si>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</si>
  <si>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</si>
  <si>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</si>
  <si>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</si>
  <si>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</si>
  <si>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</si>
  <si>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</si>
  <si>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</si>
  <si>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</si>
  <si>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</si>
  <si>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</si>
  <si>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</si>
  <si>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</si>
  <si>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</si>
  <si>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</si>
  <si>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</si>
  <si>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</si>
  <si>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</si>
  <si>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</si>
  <si>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</si>
  <si>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</si>
  <si>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</si>
  <si>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</si>
  <si>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</si>
  <si>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</si>
  <si>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</si>
  <si>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</si>
  <si>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</si>
  <si>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</si>
  <si>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</si>
  <si>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</si>
  <si>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</si>
  <si>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</si>
  <si>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</si>
  <si>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</si>
  <si>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</si>
  <si>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</si>
  <si>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</si>
  <si>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</si>
  <si>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</si>
  <si>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</si>
  <si>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</si>
  <si>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</si>
  <si>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</si>
  <si>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</si>
  <si>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</si>
  <si>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</si>
  <si>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</si>
  <si>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</si>
  <si>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</si>
  <si>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</si>
  <si>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</si>
  <si>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</si>
  <si>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</si>
  <si>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</si>
  <si>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</si>
  <si>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</si>
  <si>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</si>
  <si>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</si>
  <si>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</si>
  <si>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</si>
  <si>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</si>
  <si>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</si>
  <si>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</si>
  <si>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</si>
  <si>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</si>
  <si>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</si>
  <si>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</si>
  <si>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</si>
  <si>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</si>
  <si>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</si>
  <si>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</si>
  <si>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</si>
  <si>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</si>
  <si>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</si>
  <si>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</si>
  <si>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</si>
  <si>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</si>
  <si>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</si>
  <si>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</si>
  <si>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</si>
  <si>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</si>
  <si>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</si>
  <si>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</si>
  <si>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</si>
  <si>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</si>
  <si>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</si>
  <si>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</si>
  <si>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</si>
  <si>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</si>
  <si>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</si>
  <si>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</si>
  <si>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</si>
  <si>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</si>
  <si>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</si>
  <si>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</si>
  <si>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</si>
  <si>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</si>
  <si>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</si>
  <si>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</si>
  <si>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</si>
  <si>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</si>
  <si>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</si>
  <si>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</si>
  <si>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</si>
  <si>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</si>
  <si>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</si>
  <si>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</si>
  <si>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</si>
  <si>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</si>
  <si>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</si>
  <si>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</si>
  <si>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</si>
  <si>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</si>
  <si>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</si>
  <si>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</si>
  <si>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</si>
  <si>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</si>
  <si>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</si>
  <si>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</si>
  <si>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</si>
  <si>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</si>
  <si>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</si>
  <si>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</si>
  <si>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</si>
  <si>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</si>
  <si>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</si>
  <si>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</si>
  <si>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</si>
  <si>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</si>
  <si>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</si>
  <si>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</si>
  <si>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</si>
  <si>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</si>
  <si>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</si>
  <si>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</si>
  <si>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</si>
  <si>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</si>
  <si>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</si>
  <si>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</si>
  <si>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</si>
  <si>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</si>
  <si>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</si>
  <si>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</si>
  <si>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</si>
  <si>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</si>
  <si>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</si>
  <si>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</si>
  <si>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</si>
  <si>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</si>
  <si>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</si>
  <si>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</si>
  <si>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</si>
  <si>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</si>
  <si>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</si>
  <si>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</si>
  <si>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</si>
  <si>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</si>
  <si>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</si>
  <si>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</si>
  <si>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</si>
  <si>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</si>
  <si>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</si>
  <si>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</si>
  <si>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</si>
  <si>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</si>
  <si>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</si>
  <si>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</si>
  <si>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</si>
  <si>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</si>
  <si>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</si>
  <si>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</si>
  <si>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</si>
  <si>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</si>
  <si>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</si>
  <si>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</si>
  <si>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</si>
  <si>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</si>
  <si>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</si>
  <si>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</si>
  <si>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</si>
  <si>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</si>
  <si>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</si>
  <si>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</si>
  <si>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</si>
  <si>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</si>
  <si>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</si>
  <si>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</si>
  <si>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</si>
  <si>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</si>
  <si>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</si>
  <si>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</si>
  <si>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</si>
  <si>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</si>
  <si>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</si>
  <si>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</si>
  <si>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</si>
  <si>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</si>
  <si>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</si>
  <si>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</si>
  <si>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</si>
  <si>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</si>
  <si>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</si>
  <si>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</si>
  <si>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</si>
  <si>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</si>
  <si>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</si>
  <si>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</si>
  <si>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</si>
  <si>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</si>
  <si>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</si>
  <si>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</si>
  <si>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</si>
  <si>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</si>
  <si>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</si>
  <si>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</si>
  <si>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</si>
  <si>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</si>
  <si>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</si>
  <si>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</si>
  <si>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</si>
  <si>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</si>
  <si>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</si>
  <si>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</si>
  <si>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</si>
  <si>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</si>
  <si>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</si>
  <si>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</si>
  <si>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</si>
  <si>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</si>
  <si>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</si>
  <si>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</si>
  <si>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</si>
  <si>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</si>
  <si>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</si>
  <si>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</si>
  <si>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</si>
  <si>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</si>
  <si>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</si>
  <si>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</si>
  <si>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</si>
  <si>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</si>
  <si>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</si>
  <si>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</si>
  <si>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</si>
  <si>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</si>
  <si>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</si>
  <si>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</si>
  <si>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</si>
  <si>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</si>
  <si>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</si>
  <si>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</si>
  <si>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</si>
  <si>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</si>
  <si>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</si>
  <si>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</si>
  <si>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</si>
  <si>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</si>
  <si>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</si>
  <si>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</si>
  <si>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</si>
  <si>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</si>
  <si>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</si>
  <si>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</si>
  <si>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</si>
  <si>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</si>
  <si>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</si>
  <si>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</si>
  <si>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</si>
  <si>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</si>
  <si>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</si>
  <si>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</si>
  <si>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</si>
  <si>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</si>
  <si>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</si>
  <si>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</si>
  <si>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</si>
  <si>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</si>
  <si>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</si>
  <si>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</si>
  <si>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</si>
  <si>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</si>
  <si>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</si>
  <si>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</si>
  <si>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</si>
  <si>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</si>
  <si>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</si>
  <si>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</si>
  <si>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</si>
  <si>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</si>
  <si>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</si>
  <si>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</si>
  <si>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</si>
  <si>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</si>
  <si>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</si>
  <si>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</si>
  <si>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</si>
  <si>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</si>
  <si>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</si>
  <si>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</si>
  <si>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</si>
  <si>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</si>
  <si>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</si>
  <si>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</si>
  <si>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</si>
  <si>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</si>
  <si>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</si>
  <si>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</si>
  <si>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</si>
  <si>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</si>
  <si>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</si>
  <si>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</si>
  <si>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</si>
  <si>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</si>
  <si>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</si>
  <si>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</si>
  <si>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</si>
  <si>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</si>
  <si>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</si>
  <si>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</si>
  <si>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</si>
  <si>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</si>
  <si>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</si>
  <si>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</si>
  <si>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</si>
  <si>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</si>
  <si>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</si>
  <si>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</si>
  <si>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</si>
  <si>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</si>
  <si>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</si>
  <si>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</si>
  <si>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</si>
  <si>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</si>
  <si>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</si>
  <si>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</si>
  <si>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</si>
  <si>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</si>
  <si>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</si>
  <si>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</si>
  <si>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</si>
  <si>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</si>
  <si>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</si>
  <si>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</si>
  <si>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</si>
  <si>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</si>
  <si>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</si>
  <si>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</si>
  <si>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</si>
  <si>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</si>
  <si>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</si>
  <si>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</si>
  <si>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</si>
  <si>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</si>
  <si>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</si>
  <si>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</si>
  <si>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</si>
  <si>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</si>
  <si>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</si>
  <si>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</si>
  <si>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</si>
  <si>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</si>
  <si>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</si>
  <si>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</si>
  <si>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</si>
  <si>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</si>
  <si>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</si>
  <si>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</si>
  <si>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</si>
  <si>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</si>
  <si>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</si>
  <si>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</si>
  <si>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</si>
  <si>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</si>
  <si>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</si>
  <si>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</si>
  <si>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</si>
  <si>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</si>
  <si>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</si>
  <si>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</si>
  <si>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</si>
  <si>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</si>
  <si>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</si>
  <si>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</si>
  <si>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</si>
  <si>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</si>
  <si>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</si>
  <si>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</si>
  <si>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</si>
  <si>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</si>
  <si>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</si>
  <si>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</si>
  <si>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</si>
  <si>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</si>
  <si>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</si>
  <si>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</si>
  <si>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</si>
  <si>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</si>
  <si>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</si>
  <si>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</si>
  <si>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</si>
  <si>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</si>
  <si>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</si>
  <si>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</si>
  <si>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</si>
  <si>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</si>
  <si>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</si>
  <si>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</si>
  <si>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</si>
  <si>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</si>
  <si>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</si>
  <si>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</si>
  <si>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</si>
  <si>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</si>
  <si>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</si>
  <si>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</si>
  <si>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</si>
  <si>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</si>
  <si>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</si>
  <si>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</si>
  <si>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</si>
  <si>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</si>
  <si>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</si>
  <si>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</si>
  <si>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</si>
  <si>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</si>
  <si>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</si>
  <si>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</si>
  <si>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</si>
  <si>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</si>
  <si>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</si>
  <si>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</si>
  <si>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</si>
  <si>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</si>
  <si>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</si>
  <si>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</si>
  <si>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</si>
  <si>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</si>
  <si>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</si>
  <si>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</si>
  <si>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</si>
  <si>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</si>
  <si>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</si>
  <si>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</si>
  <si>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</si>
  <si>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</si>
  <si>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</si>
  <si>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</si>
  <si>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</si>
  <si>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</si>
  <si>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</si>
  <si>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</si>
  <si>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</si>
  <si>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</si>
  <si>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</si>
  <si>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</si>
  <si>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</si>
  <si>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</si>
  <si>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</si>
  <si>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</si>
  <si>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</si>
  <si>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</si>
  <si>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</si>
  <si>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</si>
  <si>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</si>
  <si>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</si>
  <si>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</si>
  <si>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</si>
  <si>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</si>
  <si>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</si>
  <si>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</si>
  <si>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</si>
  <si>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</si>
  <si>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</si>
  <si>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</si>
  <si>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</si>
  <si>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</si>
  <si>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</si>
  <si>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</si>
  <si>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</si>
  <si>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</si>
  <si>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</si>
  <si>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</si>
  <si>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</si>
  <si>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</si>
  <si>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</si>
  <si>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</si>
  <si>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</si>
  <si>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</si>
  <si>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</si>
  <si>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</si>
  <si>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</si>
  <si>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</si>
  <si>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</si>
  <si>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</si>
  <si>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</si>
  <si>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</si>
  <si>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</si>
  <si>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</si>
  <si>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</si>
  <si>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</si>
  <si>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</si>
  <si>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</si>
  <si>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</si>
  <si>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</si>
  <si>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</si>
  <si>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</si>
  <si>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</si>
  <si>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</si>
  <si>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</si>
  <si>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</si>
  <si>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</si>
  <si>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</si>
  <si>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</si>
  <si>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</si>
  <si>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</si>
  <si>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</si>
  <si>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</si>
  <si>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</si>
  <si>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</si>
  <si>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</si>
  <si>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</si>
  <si>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</si>
  <si>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</si>
  <si>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</si>
  <si>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</si>
  <si>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</si>
  <si>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</si>
  <si>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</si>
  <si>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</si>
  <si>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</si>
  <si>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</si>
  <si>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</si>
  <si>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</si>
  <si>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</si>
  <si>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</si>
  <si>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</si>
  <si>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</si>
  <si>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</si>
  <si>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</si>
  <si>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</si>
  <si>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</si>
  <si>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</si>
  <si>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</si>
  <si>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</si>
  <si>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</si>
  <si>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</si>
  <si>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</si>
  <si>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</si>
  <si>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</si>
  <si>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</si>
  <si>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</si>
  <si>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</si>
  <si>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</si>
  <si>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</si>
  <si>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</si>
  <si>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</si>
  <si>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</si>
  <si>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</si>
  <si>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</si>
  <si>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</si>
  <si>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</si>
  <si>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</si>
  <si>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</si>
  <si>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</si>
  <si>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</si>
  <si>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</si>
  <si>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</si>
  <si>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</si>
  <si>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</si>
  <si>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</si>
  <si>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</si>
  <si>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</si>
  <si>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</si>
  <si>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</si>
  <si>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</si>
  <si>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</si>
  <si>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</si>
  <si>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</si>
  <si>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</si>
  <si>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</si>
  <si>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</si>
  <si>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</si>
  <si>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</si>
  <si>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</si>
  <si>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</si>
  <si>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</si>
  <si>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</si>
  <si>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</si>
  <si>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</si>
  <si>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</si>
  <si>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</si>
  <si>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</si>
  <si>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</si>
  <si>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</si>
  <si>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</si>
  <si>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</si>
  <si>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</si>
  <si>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</si>
  <si>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</si>
  <si>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</si>
  <si>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</si>
  <si>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</si>
  <si>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</si>
  <si>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</si>
  <si>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</si>
  <si>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</si>
  <si>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</si>
  <si>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</si>
  <si>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</si>
  <si>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</si>
  <si>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</si>
  <si>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</si>
  <si>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</si>
  <si>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</si>
  <si>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</si>
  <si>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</si>
  <si>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</si>
  <si>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</si>
  <si>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</si>
  <si>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</si>
  <si>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</si>
  <si>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</si>
  <si>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</si>
  <si>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</si>
  <si>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</si>
  <si>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</si>
  <si>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</si>
  <si>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</si>
  <si>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</si>
  <si>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</si>
  <si>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</si>
  <si>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</si>
  <si>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</si>
  <si>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</si>
  <si>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</si>
  <si>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</si>
  <si>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</si>
  <si>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</si>
  <si>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</si>
  <si>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</si>
  <si>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</si>
  <si>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</si>
  <si>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</si>
  <si>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</si>
  <si>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</si>
  <si>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</si>
  <si>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</si>
  <si>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</si>
  <si>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</si>
  <si>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</si>
  <si>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</si>
  <si>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</si>
  <si>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</si>
  <si>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</si>
  <si>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</si>
  <si>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</si>
  <si>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</si>
  <si>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</si>
  <si>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</si>
  <si>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</si>
  <si>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</si>
  <si>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</si>
  <si>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</si>
  <si>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</si>
  <si>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</si>
  <si>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</si>
  <si>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</si>
  <si>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</si>
  <si>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</si>
  <si>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</si>
  <si>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</si>
  <si>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</si>
  <si>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</si>
  <si>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</si>
  <si>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</si>
  <si>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</si>
  <si>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</si>
  <si>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</si>
  <si>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</si>
  <si>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</si>
  <si>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</si>
  <si>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</si>
  <si>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</si>
  <si>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</si>
  <si>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</si>
  <si>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</si>
  <si>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</si>
  <si>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</si>
  <si>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</si>
  <si>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</si>
  <si>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</si>
  <si>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</si>
  <si>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</si>
  <si>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</si>
  <si>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</si>
  <si>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</si>
  <si>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</si>
  <si>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</si>
  <si>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</si>
  <si>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</si>
  <si>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</si>
  <si>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</si>
  <si>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</si>
  <si>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</si>
  <si>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</si>
  <si>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</si>
  <si>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</si>
  <si>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</si>
  <si>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</si>
  <si>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</si>
  <si>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</si>
  <si>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</si>
  <si>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</si>
  <si>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</si>
  <si>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</si>
  <si>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</si>
  <si>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</si>
  <si>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</si>
  <si>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</si>
  <si>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</si>
  <si>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</si>
  <si>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</si>
  <si>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</si>
  <si>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</si>
  <si>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</si>
  <si>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</si>
  <si>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</si>
  <si>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</si>
  <si>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</si>
  <si>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</si>
  <si>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</si>
  <si>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</si>
  <si>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</si>
  <si>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</si>
  <si>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</si>
  <si>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</si>
  <si>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</si>
  <si>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</si>
  <si>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</si>
  <si>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</si>
  <si>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</si>
  <si>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</si>
  <si>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</si>
  <si>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</si>
  <si>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</si>
  <si>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</si>
  <si>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</si>
  <si>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</si>
  <si>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</si>
  <si>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</si>
  <si>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</si>
  <si>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</si>
  <si>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</si>
  <si>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</si>
  <si>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</si>
  <si>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</si>
  <si>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</si>
  <si>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</si>
  <si>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</si>
  <si>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</si>
  <si>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</si>
  <si>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</si>
  <si>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</si>
  <si>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</si>
  <si>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</si>
  <si>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</si>
  <si>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</si>
  <si>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</si>
  <si>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</si>
  <si>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</si>
  <si>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</si>
  <si>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</si>
  <si>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</si>
  <si>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</si>
  <si>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</si>
  <si>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</si>
  <si>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</si>
  <si>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</si>
  <si>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</si>
  <si>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</si>
  <si>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</si>
  <si>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</si>
  <si>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</si>
  <si>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</si>
  <si>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</si>
  <si>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</si>
  <si>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</si>
  <si>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</si>
  <si>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</si>
  <si>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</si>
  <si>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</si>
  <si>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</si>
  <si>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</si>
  <si>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</si>
  <si>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</si>
  <si>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</si>
  <si>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</si>
  <si>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</si>
  <si>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</si>
  <si>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</si>
  <si>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</si>
  <si>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</si>
  <si>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</si>
  <si>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</si>
  <si>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</si>
  <si>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</si>
  <si>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</si>
  <si>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</si>
  <si>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</si>
  <si>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</si>
  <si>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</si>
  <si>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</si>
  <si>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</si>
  <si>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</si>
  <si>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</si>
  <si>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</si>
  <si>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</si>
  <si>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</si>
  <si>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</si>
  <si>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</si>
  <si>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</si>
  <si>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</si>
  <si>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</si>
  <si>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</si>
  <si>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</si>
  <si>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</si>
  <si>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</si>
  <si>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</si>
  <si>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</si>
  <si>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</si>
  <si>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</si>
  <si>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</si>
  <si>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</si>
  <si>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</si>
  <si>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</si>
  <si>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</si>
  <si>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</si>
  <si>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</si>
  <si>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</si>
  <si>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</si>
  <si>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</si>
  <si>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</si>
  <si>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</si>
  <si>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</si>
  <si>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</si>
  <si>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</si>
  <si>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</si>
  <si>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</si>
  <si>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</si>
  <si>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</si>
  <si>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</si>
  <si>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</si>
  <si>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</si>
  <si>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</si>
  <si>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</si>
  <si>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</si>
  <si>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</si>
  <si>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</si>
  <si>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</si>
  <si>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</si>
  <si>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</si>
  <si>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</si>
  <si>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</si>
  <si>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</si>
  <si>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</si>
  <si>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</si>
  <si>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</si>
  <si>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</si>
  <si>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</si>
  <si>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</si>
  <si>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</si>
  <si>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</si>
  <si>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</si>
  <si>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</si>
  <si>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</si>
  <si>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</si>
  <si>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</si>
  <si>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</si>
  <si>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</si>
  <si>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</si>
  <si>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</si>
  <si>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</si>
  <si>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</si>
  <si>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</si>
  <si>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</si>
  <si>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</si>
  <si>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</si>
  <si>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</si>
  <si>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</si>
  <si>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</si>
  <si>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</si>
  <si>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</si>
  <si>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</si>
  <si>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</si>
  <si>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</si>
  <si>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</si>
  <si>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</si>
  <si>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</si>
  <si>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</si>
  <si>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</si>
  <si>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</si>
  <si>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</si>
  <si>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</si>
  <si>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</si>
  <si>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</si>
  <si>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</si>
  <si>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</si>
  <si>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</si>
  <si>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</si>
  <si>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</si>
  <si>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</si>
  <si>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</si>
  <si>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</si>
  <si>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</si>
  <si>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</si>
  <si>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</si>
  <si>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</si>
  <si>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</si>
  <si>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</si>
  <si>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</si>
  <si>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</si>
  <si>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</si>
  <si>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</si>
  <si>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</si>
  <si>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</si>
  <si>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</si>
  <si>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</si>
  <si>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</si>
  <si>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</si>
  <si>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</si>
  <si>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</si>
  <si>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</si>
  <si>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</si>
  <si>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</si>
  <si>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</si>
  <si>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</si>
  <si>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</si>
  <si>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</si>
  <si>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</si>
  <si>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</si>
  <si>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</si>
  <si>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</si>
  <si>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</si>
  <si>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</si>
  <si>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</si>
  <si>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</si>
  <si>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</si>
  <si>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</si>
  <si>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</si>
  <si>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</si>
  <si>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</si>
  <si>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</si>
  <si>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</si>
  <si>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</si>
  <si>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</si>
  <si>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</si>
  <si>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</si>
  <si>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</si>
  <si>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</si>
  <si>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</si>
  <si>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</si>
  <si>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</si>
  <si>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</si>
  <si>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</si>
  <si>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</si>
  <si>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</si>
  <si>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</si>
  <si>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</si>
  <si>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</si>
  <si>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</si>
  <si>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</si>
  <si>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</si>
  <si>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</si>
  <si>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</si>
  <si>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</si>
  <si>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</si>
  <si>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</si>
  <si>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</si>
  <si>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</si>
  <si>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</si>
  <si>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</si>
  <si>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</si>
  <si>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</si>
  <si>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</si>
  <si>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</si>
  <si>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</si>
  <si>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</si>
  <si>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</si>
  <si>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</si>
  <si>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</si>
  <si>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</si>
  <si>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</si>
  <si>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</si>
  <si>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</si>
  <si>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</si>
  <si>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</si>
  <si>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</si>
  <si>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</si>
  <si>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</si>
  <si>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</si>
  <si>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</si>
  <si>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</si>
  <si>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</si>
  <si>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</si>
  <si>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</si>
  <si>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</si>
  <si>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</si>
  <si>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</si>
  <si>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</si>
  <si>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</si>
  <si>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</si>
  <si>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</si>
  <si>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</si>
  <si>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</si>
  <si>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</si>
  <si>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</si>
  <si>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</si>
  <si>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</si>
  <si>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</si>
  <si>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</si>
  <si>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</si>
  <si>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</si>
  <si>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</si>
  <si>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</si>
  <si>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</si>
  <si>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</si>
  <si>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</si>
  <si>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</si>
  <si>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</si>
  <si>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</si>
  <si>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</si>
  <si>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</si>
  <si>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</si>
  <si>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</si>
  <si>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</si>
  <si>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</si>
  <si>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</si>
  <si>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</si>
  <si>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</si>
  <si>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</si>
  <si>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</si>
  <si>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</si>
  <si>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</si>
  <si>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</si>
  <si>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</si>
  <si>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</si>
  <si>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</si>
  <si>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</si>
  <si>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</si>
  <si>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</si>
  <si>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</si>
  <si>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</si>
  <si>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</si>
  <si>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</si>
  <si>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</si>
  <si>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</si>
  <si>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</si>
  <si>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</si>
  <si>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</si>
  <si>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</si>
  <si>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</si>
  <si>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</si>
  <si>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</si>
  <si>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</si>
  <si>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</si>
  <si>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</si>
  <si>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</si>
  <si>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</si>
  <si>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</si>
  <si>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</si>
  <si>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</si>
  <si>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</si>
  <si>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</si>
  <si>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</si>
  <si>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</si>
  <si>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</si>
  <si>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</si>
  <si>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</si>
  <si>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</si>
  <si>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</si>
  <si>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</si>
  <si>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</si>
  <si>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</si>
  <si>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</si>
  <si>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</si>
  <si>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</si>
  <si>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</si>
  <si>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</si>
  <si>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</si>
  <si>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</si>
  <si>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</si>
  <si>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</si>
  <si>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</si>
  <si>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</si>
  <si>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</si>
  <si>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</si>
  <si>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</si>
  <si>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</si>
  <si>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</si>
  <si>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</si>
  <si>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</si>
  <si>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</si>
  <si>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</si>
  <si>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</si>
  <si>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</si>
  <si>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</si>
  <si>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</si>
  <si>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</si>
  <si>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</si>
  <si>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</si>
  <si>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</si>
  <si>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</si>
  <si>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</si>
  <si>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</si>
  <si>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</si>
  <si>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</si>
  <si>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</si>
  <si>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</si>
  <si>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</si>
  <si>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</si>
  <si>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</si>
  <si>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</si>
  <si>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</si>
  <si>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</si>
  <si>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</si>
  <si>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</si>
  <si>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</si>
  <si>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</si>
  <si>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</si>
  <si>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</si>
  <si>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</si>
  <si>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</si>
  <si>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</si>
  <si>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</si>
  <si>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</si>
  <si>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</si>
  <si>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</si>
  <si>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</si>
  <si>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</si>
  <si>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</si>
  <si>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</si>
  <si>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</si>
  <si>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</si>
  <si>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</si>
  <si>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</si>
  <si>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</si>
  <si>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</si>
  <si>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</si>
  <si>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</si>
  <si>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</si>
  <si>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</si>
  <si>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</si>
  <si>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</si>
  <si>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</si>
  <si>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</si>
  <si>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</si>
  <si>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</si>
  <si>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</si>
  <si>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</si>
  <si>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</si>
  <si>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</si>
  <si>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</si>
  <si>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</si>
  <si>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</si>
  <si>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</si>
  <si>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</si>
  <si>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</si>
  <si>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</si>
  <si>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</si>
  <si>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</si>
  <si>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</si>
  <si>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</si>
  <si>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</si>
  <si>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</si>
  <si>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</si>
  <si>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</si>
  <si>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</si>
  <si>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</si>
  <si>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</si>
  <si>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</si>
  <si>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</si>
  <si>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</si>
  <si>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</si>
  <si>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</si>
  <si>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</si>
  <si>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</si>
  <si>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</si>
  <si>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</si>
  <si>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</si>
  <si>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</si>
  <si>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</si>
  <si>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</si>
  <si>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</si>
  <si>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</si>
  <si>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</si>
  <si>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</si>
  <si>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</si>
  <si>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</si>
  <si>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</si>
  <si>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</si>
  <si>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</si>
  <si>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</si>
  <si>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</si>
  <si>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</si>
  <si>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</si>
  <si>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</si>
  <si>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</si>
  <si>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</si>
  <si>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</si>
  <si>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</si>
  <si>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</si>
  <si>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</si>
  <si>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</si>
  <si>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</si>
  <si>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</si>
  <si>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</si>
  <si>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</si>
  <si>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</si>
  <si>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</si>
  <si>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</si>
  <si>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</si>
  <si>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</si>
  <si>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</si>
  <si>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</si>
  <si>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</si>
  <si>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</si>
  <si>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</si>
  <si>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</si>
  <si>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</si>
  <si>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</si>
  <si>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</si>
  <si>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</si>
  <si>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</si>
  <si>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</si>
  <si>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</si>
  <si>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</si>
  <si>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</si>
  <si>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</si>
  <si>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</si>
  <si>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</si>
  <si>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</si>
  <si>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</si>
  <si>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</si>
  <si>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</si>
  <si>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</si>
  <si>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</si>
  <si>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</si>
  <si>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</si>
  <si>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</si>
  <si>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</si>
  <si>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</si>
  <si>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</si>
  <si>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</si>
  <si>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</si>
  <si>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</si>
  <si>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</si>
  <si>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</si>
  <si>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</si>
  <si>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</si>
  <si>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</si>
  <si>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</si>
  <si>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</si>
  <si>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</si>
  <si>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</si>
  <si>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</si>
  <si>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</si>
  <si>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</si>
  <si>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</si>
  <si>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</si>
  <si>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</si>
  <si>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</si>
  <si>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</si>
  <si>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</si>
  <si>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</si>
  <si>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</si>
  <si>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</si>
  <si>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</si>
  <si>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</si>
  <si>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</si>
  <si>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</si>
  <si>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</si>
  <si>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</si>
  <si>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</si>
  <si>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</si>
  <si>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</si>
  <si>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</si>
  <si>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</si>
  <si>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</si>
  <si>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</si>
  <si>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</si>
  <si>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</si>
  <si>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</si>
  <si>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</si>
  <si>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</si>
  <si>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</si>
  <si>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</si>
  <si>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</si>
  <si>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</si>
  <si>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</si>
  <si>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</si>
  <si>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</si>
  <si>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</si>
  <si>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</si>
  <si>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</si>
  <si>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</si>
  <si>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</si>
  <si>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</si>
  <si>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</si>
  <si>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</si>
  <si>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</si>
  <si>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</si>
  <si>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</si>
  <si>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</si>
  <si>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</si>
  <si>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</si>
  <si>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</si>
  <si>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</si>
  <si>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</si>
  <si>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</si>
  <si>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</si>
  <si>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</si>
  <si>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</si>
  <si>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</si>
  <si>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</si>
  <si>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</si>
  <si>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</si>
  <si>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</si>
  <si>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</si>
  <si>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</si>
  <si>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</si>
  <si>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</si>
  <si>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</si>
  <si>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</si>
  <si>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</si>
  <si>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</si>
  <si>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</si>
  <si>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</si>
  <si>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</si>
  <si>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</si>
  <si>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</si>
  <si>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</si>
  <si>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</si>
  <si>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</si>
  <si>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</si>
  <si>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</si>
  <si>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</si>
  <si>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</si>
  <si>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</si>
  <si>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</si>
  <si>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</si>
  <si>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</si>
  <si>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</si>
  <si>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</si>
  <si>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</si>
  <si>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</si>
  <si>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</si>
  <si>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</si>
  <si>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</si>
  <si>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</si>
  <si>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</si>
  <si>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</si>
  <si>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</si>
  <si>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</si>
  <si>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</si>
  <si>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</si>
  <si>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</si>
  <si>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</si>
  <si>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</si>
  <si>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</si>
  <si>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</si>
  <si>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</si>
  <si>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</si>
  <si>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</si>
  <si>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</si>
  <si>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</si>
  <si>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</si>
  <si>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</si>
  <si>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</si>
  <si>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</si>
  <si>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</si>
  <si>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</si>
  <si>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</si>
  <si>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</si>
  <si>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</si>
  <si>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</si>
  <si>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</si>
  <si>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</si>
  <si>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</si>
  <si>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</si>
  <si>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</si>
  <si>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</si>
  <si>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</si>
  <si>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</si>
  <si>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</si>
  <si>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</si>
  <si>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</si>
  <si>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</si>
  <si>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</si>
  <si>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</si>
  <si>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</si>
  <si>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</si>
  <si>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</si>
  <si>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</si>
  <si>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</si>
  <si>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</si>
  <si>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</si>
  <si>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</si>
  <si>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</si>
  <si>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</si>
  <si>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</si>
  <si>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</si>
  <si>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</si>
  <si>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</si>
  <si>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</si>
  <si>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</si>
  <si>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</si>
  <si>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</si>
  <si>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</si>
  <si>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</si>
  <si>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</si>
  <si>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</si>
  <si>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</si>
  <si>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</si>
  <si>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</si>
  <si>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</si>
  <si>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</si>
  <si>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</si>
  <si>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</si>
  <si>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</si>
  <si>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</si>
  <si>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</si>
  <si>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</si>
  <si>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</si>
  <si>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</si>
  <si>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</si>
  <si>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</si>
  <si>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</si>
  <si>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</si>
  <si>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</si>
  <si>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</si>
  <si>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</si>
  <si>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</si>
  <si>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</si>
  <si>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</si>
  <si>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</si>
  <si>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</si>
  <si>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</si>
  <si>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</si>
  <si>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</si>
  <si>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</si>
  <si>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</si>
  <si>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</si>
  <si>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</si>
  <si>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</si>
  <si>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</si>
  <si>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</si>
  <si>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</si>
  <si>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</si>
  <si>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</si>
  <si>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</si>
  <si>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</si>
  <si>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</si>
  <si>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</si>
  <si>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</si>
  <si>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</si>
  <si>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</si>
  <si>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</si>
  <si>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</si>
  <si>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</si>
  <si>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</si>
  <si>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</si>
  <si>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</si>
  <si>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</si>
  <si>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</si>
  <si>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</si>
  <si>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</si>
  <si>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</si>
  <si>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</si>
  <si>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</si>
  <si>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</si>
  <si>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</si>
  <si>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</si>
  <si>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</si>
  <si>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</si>
  <si>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</si>
  <si>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</si>
  <si>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</si>
  <si>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</si>
  <si>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</si>
  <si>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</si>
  <si>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</si>
  <si>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</si>
  <si>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</si>
  <si>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</si>
  <si>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</si>
  <si>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</si>
  <si>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</si>
  <si>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</si>
  <si>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</si>
  <si>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</si>
  <si>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</si>
  <si>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</si>
  <si>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</si>
  <si>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</si>
  <si>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</si>
  <si>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</si>
  <si>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</si>
  <si>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</si>
  <si>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</si>
  <si>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</si>
  <si>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</si>
  <si>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</si>
  <si>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</si>
  <si>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</si>
  <si>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</si>
  <si>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</si>
  <si>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</si>
  <si>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</si>
  <si>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</si>
  <si>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</si>
  <si>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</si>
  <si>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</si>
  <si>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</si>
  <si>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</si>
  <si>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</si>
  <si>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</si>
  <si>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</si>
  <si>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</si>
  <si>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</si>
  <si>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</si>
  <si>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</si>
  <si>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</si>
  <si>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</si>
  <si>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</si>
  <si>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</si>
  <si>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</si>
  <si>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</si>
  <si>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</si>
  <si>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</si>
  <si>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</si>
  <si>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</si>
  <si>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</si>
  <si>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</si>
  <si>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</si>
  <si>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</si>
  <si>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</si>
  <si>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</si>
  <si>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</si>
  <si>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</si>
  <si>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</si>
  <si>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</si>
  <si>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</si>
  <si>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</si>
  <si>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</si>
  <si>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</si>
  <si>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</si>
  <si>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</si>
  <si>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</si>
  <si>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</si>
  <si>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</si>
  <si>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</si>
  <si>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</si>
  <si>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</si>
  <si>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</si>
  <si>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</si>
  <si>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</si>
  <si>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</si>
  <si>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</si>
  <si>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</si>
  <si>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</si>
  <si>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</si>
  <si>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</si>
  <si>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</si>
  <si>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</si>
  <si>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</si>
  <si>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</si>
  <si>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</si>
  <si>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</si>
  <si>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</si>
  <si>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</si>
  <si>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</si>
  <si>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</si>
  <si>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</si>
  <si>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</si>
  <si>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</si>
  <si>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</si>
  <si>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</si>
  <si>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</si>
  <si>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</si>
  <si>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</si>
  <si>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</si>
  <si>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</si>
  <si>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</si>
  <si>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</si>
  <si>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</si>
  <si>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</si>
  <si>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</si>
  <si>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</si>
  <si>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</si>
  <si>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</si>
  <si>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</si>
  <si>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</si>
  <si>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</si>
  <si>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</si>
  <si>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</si>
  <si>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</si>
  <si>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</si>
  <si>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</si>
  <si>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</si>
  <si>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</si>
  <si>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</si>
  <si>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</si>
  <si>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</si>
  <si>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</si>
  <si>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</si>
  <si>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</si>
  <si>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</si>
  <si>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</si>
  <si>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</si>
  <si>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</si>
  <si>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</si>
  <si>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</si>
  <si>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</si>
  <si>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</si>
  <si>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</si>
  <si>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</si>
  <si>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</si>
  <si>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</si>
  <si>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</si>
  <si>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</si>
  <si>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</si>
  <si>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</si>
  <si>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</si>
  <si>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</si>
  <si>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</si>
  <si>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</si>
  <si>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</si>
  <si>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</si>
  <si>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</si>
  <si>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</si>
  <si>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</si>
  <si>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</si>
  <si>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</si>
  <si>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</si>
  <si>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</si>
  <si>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</si>
  <si>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</si>
  <si>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</si>
  <si>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</si>
  <si>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</si>
  <si>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</si>
  <si>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</si>
  <si>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</si>
  <si>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</si>
  <si>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</si>
  <si>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</si>
  <si>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</si>
  <si>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</si>
  <si>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</si>
  <si>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</si>
  <si>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</si>
  <si>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</si>
  <si>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</si>
  <si>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</si>
  <si>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</si>
  <si>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</si>
  <si>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</si>
  <si>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</si>
  <si>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</si>
  <si>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</si>
  <si>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</si>
  <si>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</si>
  <si>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</si>
  <si>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</si>
  <si>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</si>
  <si>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</si>
  <si>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</si>
  <si>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</si>
  <si>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</si>
  <si>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</si>
  <si>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</si>
  <si>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</si>
  <si>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</si>
  <si>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</si>
  <si>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</si>
  <si>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</si>
  <si>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</si>
  <si>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</si>
  <si>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</si>
  <si>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</si>
  <si>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</si>
  <si>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</si>
  <si>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</si>
  <si>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</si>
  <si>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</si>
  <si>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</si>
  <si>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</si>
  <si>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</si>
  <si>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</si>
  <si>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</si>
  <si>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</si>
  <si>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</si>
  <si>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</si>
  <si>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</si>
  <si>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</si>
  <si>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</si>
  <si>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</si>
  <si>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</si>
  <si>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</si>
  <si>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</si>
  <si>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</si>
  <si>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</si>
  <si>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</si>
  <si>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</si>
  <si>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</si>
  <si>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</si>
  <si>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</si>
  <si>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</si>
  <si>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</si>
  <si>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</si>
  <si>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</si>
  <si>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</si>
  <si>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</si>
  <si>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</si>
  <si>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</si>
  <si>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</si>
  <si>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</si>
  <si>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</si>
  <si>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</si>
  <si>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</si>
  <si>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</si>
  <si>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Tazewell</t>
  </si>
  <si>
    <t>District 50 Schools</t>
  </si>
  <si>
    <t>304 East Almond</t>
  </si>
  <si>
    <t>Washington</t>
  </si>
  <si>
    <t>callaman@d50schools.com</t>
  </si>
  <si>
    <t>Dr. Chad Allaman</t>
  </si>
  <si>
    <t>309-745-8914</t>
  </si>
  <si>
    <t>309-745-5417</t>
  </si>
  <si>
    <t>jhohulin@gorenzcpa.com</t>
  </si>
  <si>
    <t>2012 Life Safety Bonds</t>
  </si>
  <si>
    <t>2013 GO Refunding Bonds</t>
  </si>
  <si>
    <t>2017 GO Funding Bonds</t>
  </si>
  <si>
    <t>Phone Systems Lease</t>
  </si>
  <si>
    <t>Capital Lease</t>
  </si>
  <si>
    <t xml:space="preserve">Refunding of Debt Certificates </t>
  </si>
  <si>
    <t>Heart of Illinois Educators</t>
  </si>
  <si>
    <t>Illinois Energy Consortium</t>
  </si>
  <si>
    <t>Peoria County Cooperative</t>
  </si>
  <si>
    <t>Illinois School Liquid Assets Fund</t>
  </si>
  <si>
    <t>Township Special Education Association</t>
  </si>
  <si>
    <t>TMCSEA/Township Special Education Association</t>
  </si>
  <si>
    <t>2017-001</t>
  </si>
  <si>
    <t>Lack of Segregation of Duties</t>
  </si>
  <si>
    <t>Unresolved - See Finding 2018-001</t>
  </si>
  <si>
    <t>Jason A. Hohulin, CPA</t>
  </si>
  <si>
    <t>40-2550-300</t>
  </si>
  <si>
    <t>Allen Transportation</t>
  </si>
  <si>
    <t>Transportation-Pupil Transportation-Purchase Services</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</si>
  <si>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</si>
  <si>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one individual.</t>
  </si>
  <si>
    <t>One individual has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</si>
  <si>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</si>
  <si>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</si>
  <si>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on a cost effective basis, the District will pursue this option.</t>
  </si>
  <si>
    <t>Adverse due to the use of the Regulatory Basis of Accounting.</t>
  </si>
  <si>
    <t xml:space="preserve">
Part C - 20 - See Finding 2018-001</t>
  </si>
  <si>
    <t>Page 10, Line 74 - Meals for Headstart</t>
  </si>
  <si>
    <t>Page 11, Line 106 - Latchkey Fees</t>
  </si>
  <si>
    <t>Page 15, Line 41 - Lunchroom</t>
  </si>
  <si>
    <t>Page 16, Line 73 - Title I Homeless Supplies</t>
  </si>
  <si>
    <t>Page 18, Line 171 - Bond Agent Fees</t>
  </si>
  <si>
    <t>Page 19, Line 237 - Lunchroom</t>
  </si>
  <si>
    <t>066-005027</t>
  </si>
  <si>
    <t>2 &amp; 3</t>
  </si>
  <si>
    <t>Segregation of duties among accounting personnel is an integral part of an internal control structure.</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</si>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</sst>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9"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2085</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2076</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53090050002</v>
      </c>
      <c r="B13" s="2037"/>
      <c r="C13" s="2037"/>
      <c r="D13" s="2037"/>
      <c r="E13" s="2037"/>
      <c r="F13" s="2037"/>
      <c r="G13" s="2037"/>
      <c r="H13" s="2038"/>
      <c r="I13" s="31"/>
      <c r="J13" s="30"/>
      <c r="K13" s="28"/>
      <c r="L13" s="30"/>
      <c r="M13" s="30"/>
      <c r="N13" s="30"/>
      <c r="O13" s="30"/>
      <c r="P13" s="30"/>
      <c r="Q13" s="30"/>
      <c r="R13" s="30"/>
      <c r="S13" s="30"/>
      <c r="T13" s="2041" t="s">
        <v>2077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2086</v>
      </c>
      <c r="B15" s="2039"/>
      <c r="C15" s="2039"/>
      <c r="D15" s="2039"/>
      <c r="E15" s="2039"/>
      <c r="F15" s="2039"/>
      <c r="G15" s="2039"/>
      <c r="H15" s="2040"/>
      <c r="T15" s="2045" t="s">
        <v>2110</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2087</v>
      </c>
      <c r="B17" s="1996"/>
      <c r="C17" s="1996"/>
      <c r="D17" s="1996"/>
      <c r="E17" s="1996"/>
      <c r="F17" s="1996"/>
      <c r="G17" s="1996"/>
      <c r="H17" s="2021"/>
      <c r="T17" s="2052" t="s">
        <v>2078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2088</v>
      </c>
      <c r="B19" s="1981"/>
      <c r="C19" s="1981"/>
      <c r="D19" s="1981"/>
      <c r="E19" s="1981"/>
      <c r="F19" s="1981"/>
      <c r="G19" s="1981"/>
      <c r="H19" s="1961"/>
      <c r="I19" s="30"/>
      <c r="J19" s="99"/>
      <c r="K19" s="40"/>
      <c r="L19" s="38"/>
      <c r="M19" s="112" t="s">
        <v>333</v>
      </c>
      <c r="P19" s="27"/>
      <c r="Q19" s="27"/>
      <c r="R19" s="27"/>
      <c r="S19" s="31"/>
      <c r="T19" s="2035" t="s">
        <v>2079</v>
      </c>
      <c r="U19" s="1960"/>
      <c r="V19" s="1960"/>
      <c r="W19" s="1961"/>
      <c r="X19" s="2050" t="s">
        <v>2080</v>
      </c>
      <c r="Y19" s="2051"/>
      <c r="Z19" s="2048">
        <v>61614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2089</v>
      </c>
      <c r="B21" s="1960"/>
      <c r="C21" s="1960"/>
      <c r="D21" s="1960"/>
      <c r="E21" s="1960"/>
      <c r="F21" s="1960"/>
      <c r="G21" s="1960"/>
      <c r="H21" s="1961"/>
      <c r="I21" s="2015" t="s">
        <v>699</v>
      </c>
      <c r="J21" s="2010"/>
      <c r="K21" s="2010"/>
      <c r="L21" s="2010"/>
      <c r="M21" s="2010"/>
      <c r="N21" s="2010"/>
      <c r="O21" s="2010"/>
      <c r="P21" s="2010"/>
      <c r="Q21" s="2010"/>
      <c r="R21" s="2010"/>
      <c r="S21" s="2016"/>
      <c r="T21" s="2059" t="s">
        <v>2081</v>
      </c>
      <c r="U21" s="2060"/>
      <c r="V21" s="2060"/>
      <c r="W21" s="2060"/>
      <c r="X21" s="2065" t="s">
        <v>2082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2090</v>
      </c>
      <c r="B23" s="2013"/>
      <c r="C23" s="2013"/>
      <c r="D23" s="2013"/>
      <c r="E23" s="2013"/>
      <c r="F23" s="2013"/>
      <c r="G23" s="2013"/>
      <c r="H23" s="2014"/>
      <c r="T23" s="1995" t="s">
        <v>2128</v>
      </c>
      <c r="U23" s="2058"/>
      <c r="V23" s="2058"/>
      <c r="W23" s="2058"/>
      <c r="X23" s="2062">
        <v>44530</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61571</v>
      </c>
      <c r="B25" s="1960"/>
      <c r="C25" s="1960"/>
      <c r="D25" s="1960"/>
      <c r="E25" s="1960"/>
      <c r="F25" s="1960"/>
      <c r="G25" s="1960"/>
      <c r="H25" s="1961"/>
      <c r="I25" s="113"/>
      <c r="J25" s="1984"/>
      <c r="K25" s="1984"/>
      <c r="L25" s="1984"/>
      <c r="M25" s="1984"/>
      <c r="N25" s="1984"/>
      <c r="O25" s="1984"/>
      <c r="P25" s="1984"/>
      <c r="Q25" s="1984"/>
      <c r="R25" s="1984"/>
      <c r="S25" s="1985"/>
      <c r="T25" s="2055" t="s">
        <v>2094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2092</v>
      </c>
      <c r="B42" s="1979"/>
      <c r="C42" s="1980"/>
      <c r="D42" s="1978" t="s">
        <v>2093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1904</v>
      </c>
      <c r="B2" s="1548" t="s">
        <v>2036</v>
      </c>
      <c r="C2" s="713" t="s">
        <v>1909</v>
      </c>
      <c r="D2" s="713" t="s">
        <v>1910</v>
      </c>
      <c r="E2" s="713" t="s">
        <v>1911</v>
      </c>
      <c r="F2" s="713" t="s">
        <v>1912</v>
      </c>
    </row>
    <row r="3" spans="1:6" ht="12" customHeight="1" x14ac:dyDescent="0.2">
      <c r="A3" s="2202"/>
      <c r="B3" s="1545"/>
      <c r="C3" s="1546"/>
      <c r="D3" s="1547" t="s">
        <v>274</v>
      </c>
      <c r="E3" s="1546"/>
      <c r="F3" s="1547" t="s">
        <v>275</v>
      </c>
    </row>
    <row r="4" spans="1:6" ht="13.7" customHeight="1" x14ac:dyDescent="0.2">
      <c r="A4" s="714" t="s">
        <v>1217</v>
      </c>
      <c r="B4" s="1769">
        <f>'Revenues 9-14'!C5</f>
        <v>1977300</v>
      </c>
      <c r="C4" s="1544">
        <v>0</v>
      </c>
      <c r="D4" s="1772">
        <f>B4-C4</f>
        <v>1977300</v>
      </c>
      <c r="E4" s="1544">
        <v>2039123</v>
      </c>
      <c r="F4" s="1772">
        <f>E4-C4</f>
        <v>2039123</v>
      </c>
    </row>
    <row r="5" spans="1:6" ht="13.7" customHeight="1" x14ac:dyDescent="0.2">
      <c r="A5" s="714" t="s">
        <v>925</v>
      </c>
      <c r="B5" s="1770">
        <f>'Revenues 9-14'!D5</f>
        <v>248546</v>
      </c>
      <c r="C5" s="583">
        <v>0</v>
      </c>
      <c r="D5" s="1773">
        <f t="shared" ref="D5:D18" si="0">B5-C5</f>
        <v>248546</v>
      </c>
      <c r="E5" s="583">
        <v>256333</v>
      </c>
      <c r="F5" s="1773">
        <f>E5-C5</f>
        <v>256333</v>
      </c>
    </row>
    <row r="6" spans="1:6" ht="13.7" customHeight="1" x14ac:dyDescent="0.2">
      <c r="A6" s="714" t="s">
        <v>431</v>
      </c>
      <c r="B6" s="1770">
        <f>'Revenues 9-14'!E5</f>
        <v>376611</v>
      </c>
      <c r="C6" s="583">
        <v>0</v>
      </c>
      <c r="D6" s="1773">
        <f t="shared" si="0"/>
        <v>376611</v>
      </c>
      <c r="E6" s="583">
        <v>376789</v>
      </c>
      <c r="F6" s="1773">
        <f t="shared" ref="F6:F18" si="1">E6-C6</f>
        <v>376789</v>
      </c>
    </row>
    <row r="7" spans="1:6" ht="13.7" customHeight="1" x14ac:dyDescent="0.2">
      <c r="A7" s="714" t="s">
        <v>157</v>
      </c>
      <c r="B7" s="1770">
        <f>'Revenues 9-14'!F5</f>
        <v>113528</v>
      </c>
      <c r="C7" s="583">
        <v>0</v>
      </c>
      <c r="D7" s="1773">
        <f t="shared" si="0"/>
        <v>113528</v>
      </c>
      <c r="E7" s="583">
        <v>126552</v>
      </c>
      <c r="F7" s="1773">
        <f t="shared" si="1"/>
        <v>126552</v>
      </c>
    </row>
    <row r="8" spans="1:6" ht="13.7" customHeight="1" x14ac:dyDescent="0.2">
      <c r="A8" s="714" t="s">
        <v>1241</v>
      </c>
      <c r="B8" s="1770">
        <f>'Revenues 9-14'!G5</f>
        <v>122704</v>
      </c>
      <c r="C8" s="583">
        <v>0</v>
      </c>
      <c r="D8" s="1773">
        <f t="shared" si="0"/>
        <v>122704</v>
      </c>
      <c r="E8" s="583">
        <v>117095</v>
      </c>
      <c r="F8" s="1773">
        <f t="shared" si="1"/>
        <v>117095</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0</v>
      </c>
      <c r="C10" s="583">
        <v>0</v>
      </c>
      <c r="D10" s="1773">
        <f t="shared" si="0"/>
        <v>0</v>
      </c>
      <c r="E10" s="583">
        <v>0</v>
      </c>
      <c r="F10" s="1773">
        <f t="shared" si="1"/>
        <v>0</v>
      </c>
    </row>
    <row r="11" spans="1:6" x14ac:dyDescent="0.2">
      <c r="A11" s="714" t="s">
        <v>429</v>
      </c>
      <c r="B11" s="1770">
        <f>'Revenues 9-14'!J5</f>
        <v>29558</v>
      </c>
      <c r="C11" s="583">
        <v>0</v>
      </c>
      <c r="D11" s="1773">
        <f t="shared" si="0"/>
        <v>29558</v>
      </c>
      <c r="E11" s="583">
        <v>30489</v>
      </c>
      <c r="F11" s="1773">
        <f t="shared" si="1"/>
        <v>30489</v>
      </c>
    </row>
    <row r="12" spans="1:6" ht="13.7" customHeight="1" x14ac:dyDescent="0.2">
      <c r="A12" s="714" t="s">
        <v>159</v>
      </c>
      <c r="B12" s="1770">
        <f>'Revenues 9-14'!K5</f>
        <v>1433</v>
      </c>
      <c r="C12" s="583">
        <v>0</v>
      </c>
      <c r="D12" s="1773">
        <f t="shared" si="0"/>
        <v>1433</v>
      </c>
      <c r="E12" s="583">
        <v>1482</v>
      </c>
      <c r="F12" s="1773">
        <f t="shared" si="1"/>
        <v>1482</v>
      </c>
    </row>
    <row r="13" spans="1:6" ht="13.7" customHeight="1" x14ac:dyDescent="0.2">
      <c r="A13" s="714" t="s">
        <v>993</v>
      </c>
      <c r="B13" s="1770">
        <f>SUM('Revenues 9-14'!C6:D6)</f>
        <v>0</v>
      </c>
      <c r="C13" s="583">
        <v>0</v>
      </c>
      <c r="D13" s="1773">
        <f t="shared" si="0"/>
        <v>0</v>
      </c>
      <c r="E13" s="583">
        <v>0</v>
      </c>
      <c r="F13" s="1773">
        <f t="shared" si="1"/>
        <v>0</v>
      </c>
    </row>
    <row r="14" spans="1:6" ht="13.7" customHeight="1" x14ac:dyDescent="0.2">
      <c r="A14" s="714" t="s">
        <v>430</v>
      </c>
      <c r="B14" s="1770">
        <f>SUM('Revenues 9-14'!C7:D7,'Revenues 9-14'!F7:H7)</f>
        <v>19354</v>
      </c>
      <c r="C14" s="583">
        <v>0</v>
      </c>
      <c r="D14" s="1773">
        <f t="shared" si="0"/>
        <v>19354</v>
      </c>
      <c r="E14" s="583">
        <v>19973</v>
      </c>
      <c r="F14" s="1773">
        <f t="shared" si="1"/>
        <v>19973</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106682</v>
      </c>
      <c r="C16" s="583">
        <v>0</v>
      </c>
      <c r="D16" s="1773">
        <f t="shared" si="0"/>
        <v>106682</v>
      </c>
      <c r="E16" s="583">
        <v>110028</v>
      </c>
      <c r="F16" s="1773">
        <f t="shared" si="1"/>
        <v>110028</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2995716</v>
      </c>
      <c r="C19" s="1771">
        <f>SUM(C4:C18)</f>
        <v>0</v>
      </c>
      <c r="D19" s="1771">
        <f>SUM(D4:D18)</f>
        <v>2995716</v>
      </c>
      <c r="E19" s="1771">
        <f>SUM(E4:E18)</f>
        <v>3077864</v>
      </c>
      <c r="F19" s="1771">
        <f>SUM(F4:F18)</f>
        <v>3077864</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0"/>
    </row>
    <row r="2" spans="1:7" ht="33.75" x14ac:dyDescent="0.2">
      <c r="A2" s="2228" t="s">
        <v>1904</v>
      </c>
      <c r="B2" s="2229"/>
      <c r="C2" s="1907" t="s">
        <v>2037</v>
      </c>
      <c r="D2" s="722" t="s">
        <v>2044</v>
      </c>
      <c r="E2" s="722" t="s">
        <v>2045</v>
      </c>
      <c r="F2" s="1907" t="s">
        <v>2038</v>
      </c>
    </row>
    <row r="3" spans="1:7" ht="15.75" customHeight="1" x14ac:dyDescent="0.2">
      <c r="A3" s="2230" t="s">
        <v>1176</v>
      </c>
      <c r="B3" s="2231"/>
      <c r="C3" s="2224"/>
      <c r="D3" s="2225"/>
      <c r="E3" s="2225"/>
      <c r="F3" s="2226"/>
    </row>
    <row r="4" spans="1:7" ht="12.75" customHeight="1" thickBot="1" x14ac:dyDescent="0.25">
      <c r="A4" s="2218" t="s">
        <v>651</v>
      </c>
      <c r="B4" s="2219"/>
      <c r="C4" s="579"/>
      <c r="D4" s="579"/>
      <c r="E4" s="579"/>
      <c r="F4" s="1775">
        <f>SUM(C4+D4)-E4</f>
        <v>0</v>
      </c>
    </row>
    <row r="5" spans="1:7" ht="15.75" customHeight="1" thickTop="1" x14ac:dyDescent="0.2">
      <c r="A5" s="2222" t="s">
        <v>1172</v>
      </c>
      <c r="B5" s="2217"/>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4" t="s">
        <v>652</v>
      </c>
      <c r="B15" s="2215"/>
      <c r="C15" s="1775">
        <f>SUM(C6:C14)</f>
        <v>0</v>
      </c>
      <c r="D15" s="1775">
        <f>SUM(D6:D14)</f>
        <v>0</v>
      </c>
      <c r="E15" s="1775">
        <f>SUM(E6:E14)</f>
        <v>0</v>
      </c>
      <c r="F15" s="1775">
        <f>SUM(F6:F14)</f>
        <v>0</v>
      </c>
      <c r="G15" s="550"/>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5"/>
      <c r="D17" s="583"/>
      <c r="E17" s="725"/>
      <c r="F17" s="1775">
        <f>SUM(C17+D17)-E17</f>
        <v>0</v>
      </c>
    </row>
    <row r="18" spans="1:11" ht="12.75" customHeight="1" thickTop="1" thickBot="1" x14ac:dyDescent="0.25">
      <c r="A18" s="2209" t="s">
        <v>6</v>
      </c>
      <c r="B18" s="2210"/>
      <c r="C18" s="725"/>
      <c r="D18" s="583"/>
      <c r="E18" s="725"/>
      <c r="F18" s="1775">
        <f>SUM(C18+D18)-E18</f>
        <v>0</v>
      </c>
    </row>
    <row r="19" spans="1:11" ht="12.75" customHeight="1" thickTop="1" thickBot="1" x14ac:dyDescent="0.25">
      <c r="A19" s="2209" t="s">
        <v>406</v>
      </c>
      <c r="B19" s="2210"/>
      <c r="C19" s="725"/>
      <c r="D19" s="583"/>
      <c r="E19" s="725"/>
      <c r="F19" s="1775">
        <f>SUM(C19+D19)-E19</f>
        <v>0</v>
      </c>
    </row>
    <row r="20" spans="1:11" ht="12.75" customHeight="1" thickTop="1" thickBot="1" x14ac:dyDescent="0.25">
      <c r="A20" s="2209" t="s">
        <v>468</v>
      </c>
      <c r="B20" s="2210"/>
      <c r="C20" s="725"/>
      <c r="D20" s="583"/>
      <c r="E20" s="725"/>
      <c r="F20" s="1775">
        <f>SUM(C20+D20)-E20</f>
        <v>0</v>
      </c>
    </row>
    <row r="21" spans="1:11" ht="14.25" thickTop="1" thickBot="1" x14ac:dyDescent="0.25">
      <c r="A21" s="2214" t="s">
        <v>653</v>
      </c>
      <c r="B21" s="2215"/>
      <c r="C21" s="1775">
        <f>SUM(C17:C20)</f>
        <v>0</v>
      </c>
      <c r="D21" s="1775">
        <f>SUM(D17:D20)</f>
        <v>0</v>
      </c>
      <c r="E21" s="1775">
        <f>SUM(E17:E20)</f>
        <v>0</v>
      </c>
      <c r="F21" s="1775">
        <f>SUM(F17:F20)</f>
        <v>0</v>
      </c>
      <c r="G21" s="550"/>
    </row>
    <row r="22" spans="1:11" ht="15.75" customHeight="1" thickTop="1" x14ac:dyDescent="0.2">
      <c r="A22" s="2216" t="s">
        <v>1174</v>
      </c>
      <c r="B22" s="2217"/>
      <c r="C22" s="2211"/>
      <c r="D22" s="2212"/>
      <c r="E22" s="2212"/>
      <c r="F22" s="2213"/>
    </row>
    <row r="23" spans="1:11" ht="13.5" thickBot="1" x14ac:dyDescent="0.25">
      <c r="A23" s="2218" t="s">
        <v>654</v>
      </c>
      <c r="B23" s="2219"/>
      <c r="C23" s="579"/>
      <c r="D23" s="579"/>
      <c r="E23" s="579"/>
      <c r="F23" s="1775">
        <f>SUM(C23+D23)-E23</f>
        <v>0</v>
      </c>
      <c r="G23" s="550"/>
    </row>
    <row r="24" spans="1:11" ht="15.75" customHeight="1" thickTop="1" x14ac:dyDescent="0.2">
      <c r="A24" s="2216" t="s">
        <v>1175</v>
      </c>
      <c r="B24" s="2217"/>
      <c r="C24" s="2211"/>
      <c r="D24" s="2212"/>
      <c r="E24" s="2212"/>
      <c r="F24" s="2213"/>
    </row>
    <row r="25" spans="1:11" ht="13.5" thickBot="1" x14ac:dyDescent="0.25">
      <c r="A25" s="2218" t="s">
        <v>655</v>
      </c>
      <c r="B25" s="2219"/>
      <c r="C25" s="579"/>
      <c r="D25" s="579"/>
      <c r="E25" s="579"/>
      <c r="F25" s="1775">
        <f>SUM(C25+D25)-E25</f>
        <v>0</v>
      </c>
      <c r="G25" s="550"/>
    </row>
    <row r="26" spans="1:11" ht="15.75" customHeight="1" thickTop="1" x14ac:dyDescent="0.2">
      <c r="A26" s="2222" t="s">
        <v>678</v>
      </c>
      <c r="B26" s="2217"/>
      <c r="C26" s="726"/>
      <c r="D26" s="726"/>
      <c r="E26" s="726"/>
      <c r="F26" s="727"/>
    </row>
    <row r="27" spans="1:11" ht="13.5" thickBot="1" x14ac:dyDescent="0.25">
      <c r="A27" s="2214" t="s">
        <v>1130</v>
      </c>
      <c r="B27" s="2215"/>
      <c r="C27" s="583"/>
      <c r="D27" s="583"/>
      <c r="E27" s="583"/>
      <c r="F27" s="1775">
        <f>SUM(C27+D27)-E27</f>
        <v>0</v>
      </c>
      <c r="G27" s="550"/>
    </row>
    <row r="28" spans="1:11" ht="7.5" customHeight="1" thickTop="1" x14ac:dyDescent="0.2">
      <c r="A28" s="592"/>
    </row>
    <row r="29" spans="1:11" ht="23.25" customHeight="1" x14ac:dyDescent="0.2">
      <c r="A29" s="2220" t="s">
        <v>603</v>
      </c>
      <c r="B29" s="2221"/>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2095</v>
      </c>
      <c r="B31" s="732">
        <v>41030</v>
      </c>
      <c r="C31" s="733">
        <v>585000</v>
      </c>
      <c r="D31" s="734">
        <v>4</v>
      </c>
      <c r="E31" s="733">
        <v>20000</v>
      </c>
      <c r="F31" s="733"/>
      <c r="G31" s="733"/>
      <c r="H31" s="733">
        <v>20000</v>
      </c>
      <c r="I31" s="1776">
        <f>((E31+F31)-H31)+G31</f>
        <v>0</v>
      </c>
      <c r="J31" s="733"/>
      <c r="K31" s="735"/>
    </row>
    <row r="32" spans="1:11" ht="12" customHeight="1" x14ac:dyDescent="0.2">
      <c r="A32" s="731" t="s">
        <v>2096</v>
      </c>
      <c r="B32" s="732">
        <v>41518</v>
      </c>
      <c r="C32" s="733">
        <v>890000</v>
      </c>
      <c r="D32" s="734">
        <v>3</v>
      </c>
      <c r="E32" s="733">
        <v>235000</v>
      </c>
      <c r="F32" s="733"/>
      <c r="G32" s="733"/>
      <c r="H32" s="733">
        <v>235000</v>
      </c>
      <c r="I32" s="1776">
        <f>((E32+F32)-H32)+G32</f>
        <v>0</v>
      </c>
      <c r="J32" s="733"/>
      <c r="K32" s="735"/>
    </row>
    <row r="33" spans="1:11" ht="12" customHeight="1" x14ac:dyDescent="0.2">
      <c r="A33" s="731" t="s">
        <v>2097</v>
      </c>
      <c r="B33" s="732">
        <v>42768</v>
      </c>
      <c r="C33" s="733">
        <v>4680000</v>
      </c>
      <c r="D33" s="734" t="s">
        <v>2129</v>
      </c>
      <c r="E33" s="733">
        <v>4680000</v>
      </c>
      <c r="F33" s="733"/>
      <c r="G33" s="733"/>
      <c r="H33" s="733"/>
      <c r="I33" s="1776">
        <f t="shared" ref="I33:I48" si="1">((E33+F33)-H33)+G33</f>
        <v>4680000</v>
      </c>
      <c r="J33" s="733">
        <f>I33-16556</f>
        <v>4663444</v>
      </c>
      <c r="K33" s="735"/>
    </row>
    <row r="34" spans="1:11" ht="12" customHeight="1" x14ac:dyDescent="0.2">
      <c r="A34" s="731" t="s">
        <v>2098</v>
      </c>
      <c r="B34" s="732">
        <v>42768</v>
      </c>
      <c r="C34" s="733"/>
      <c r="D34" s="734">
        <v>7</v>
      </c>
      <c r="E34" s="733">
        <v>61636</v>
      </c>
      <c r="F34" s="733"/>
      <c r="G34" s="733"/>
      <c r="H34" s="733">
        <v>15409</v>
      </c>
      <c r="I34" s="1776">
        <f t="shared" si="1"/>
        <v>46227</v>
      </c>
      <c r="J34" s="733">
        <f>I34</f>
        <v>46227</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6155000</v>
      </c>
      <c r="D49" s="744"/>
      <c r="E49" s="1776">
        <f t="shared" ref="E49:J49" si="2">SUM(E31:E48)</f>
        <v>4996636</v>
      </c>
      <c r="F49" s="1776">
        <f t="shared" si="2"/>
        <v>0</v>
      </c>
      <c r="G49" s="1776">
        <f t="shared" si="2"/>
        <v>0</v>
      </c>
      <c r="H49" s="1776">
        <f t="shared" si="2"/>
        <v>270409</v>
      </c>
      <c r="I49" s="1776">
        <f t="shared" si="2"/>
        <v>4726227</v>
      </c>
      <c r="J49" s="1776">
        <f t="shared" si="2"/>
        <v>4709671</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3" t="s">
        <v>605</v>
      </c>
      <c r="C52" s="2204"/>
      <c r="D52" s="2204"/>
      <c r="E52" s="748" t="s">
        <v>900</v>
      </c>
      <c r="F52" s="2205" t="s">
        <v>2099</v>
      </c>
      <c r="G52" s="2206"/>
      <c r="H52" s="735"/>
      <c r="I52" s="735"/>
      <c r="J52" s="745"/>
    </row>
    <row r="53" spans="1:11" ht="11.25" customHeight="1" x14ac:dyDescent="0.2">
      <c r="A53" s="749" t="s">
        <v>969</v>
      </c>
      <c r="B53" s="750" t="s">
        <v>1008</v>
      </c>
      <c r="C53" s="745"/>
      <c r="D53" s="736"/>
      <c r="E53" s="748" t="s">
        <v>518</v>
      </c>
      <c r="F53" s="2207" t="s">
        <v>2100</v>
      </c>
      <c r="G53" s="2208"/>
      <c r="H53" s="735"/>
      <c r="I53" s="735"/>
      <c r="J53" s="745"/>
    </row>
    <row r="54" spans="1:11" ht="11.25" customHeight="1" x14ac:dyDescent="0.2">
      <c r="A54" s="751" t="s">
        <v>970</v>
      </c>
      <c r="B54" s="746" t="s">
        <v>1009</v>
      </c>
      <c r="C54" s="745"/>
      <c r="D54" s="736"/>
      <c r="E54" s="748" t="s">
        <v>519</v>
      </c>
      <c r="F54" s="2207"/>
      <c r="G54" s="220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0"/>
      <c r="I1" s="759"/>
      <c r="J1" s="433"/>
    </row>
    <row r="2" spans="1:11" ht="26.25" x14ac:dyDescent="0.2">
      <c r="A2" s="2251" t="s">
        <v>1776</v>
      </c>
      <c r="B2" s="2252"/>
      <c r="C2" s="2252"/>
      <c r="D2" s="2252"/>
      <c r="E2" s="2253"/>
      <c r="F2" s="760" t="s">
        <v>960</v>
      </c>
      <c r="G2" s="761" t="s">
        <v>1773</v>
      </c>
      <c r="H2" s="761" t="s">
        <v>430</v>
      </c>
      <c r="I2" s="761" t="s">
        <v>1220</v>
      </c>
      <c r="J2" s="761" t="s">
        <v>1918</v>
      </c>
      <c r="K2" s="761" t="s">
        <v>140</v>
      </c>
    </row>
    <row r="3" spans="1:11" x14ac:dyDescent="0.2">
      <c r="A3" s="2254" t="s">
        <v>1698</v>
      </c>
      <c r="B3" s="2255"/>
      <c r="C3" s="2255"/>
      <c r="D3" s="2255"/>
      <c r="E3" s="2256"/>
      <c r="F3" s="762"/>
      <c r="G3" s="763"/>
      <c r="H3" s="763"/>
      <c r="I3" s="763"/>
      <c r="J3" s="764"/>
      <c r="K3" s="764"/>
    </row>
    <row r="4" spans="1:11" x14ac:dyDescent="0.2">
      <c r="A4" s="2257" t="s">
        <v>387</v>
      </c>
      <c r="B4" s="2258"/>
      <c r="C4" s="2258"/>
      <c r="D4" s="2258"/>
      <c r="E4" s="2204"/>
      <c r="F4" s="765"/>
      <c r="G4" s="766"/>
      <c r="H4" s="767"/>
      <c r="I4" s="766"/>
      <c r="J4" s="768"/>
      <c r="K4" s="768"/>
    </row>
    <row r="5" spans="1:11" x14ac:dyDescent="0.2">
      <c r="A5" s="2235" t="s">
        <v>1129</v>
      </c>
      <c r="B5" s="2236"/>
      <c r="C5" s="2236"/>
      <c r="D5" s="2236"/>
      <c r="E5" s="2237"/>
      <c r="F5" s="769" t="s">
        <v>903</v>
      </c>
      <c r="G5" s="770"/>
      <c r="H5" s="763">
        <v>19354</v>
      </c>
      <c r="I5" s="771"/>
      <c r="J5" s="772"/>
      <c r="K5" s="772"/>
    </row>
    <row r="6" spans="1:11" x14ac:dyDescent="0.2">
      <c r="A6" s="773" t="s">
        <v>744</v>
      </c>
      <c r="B6" s="774"/>
      <c r="C6" s="774"/>
      <c r="D6" s="774"/>
      <c r="E6" s="775"/>
      <c r="F6" s="776" t="s">
        <v>904</v>
      </c>
      <c r="G6" s="763"/>
      <c r="H6" s="763">
        <v>14</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5" t="s">
        <v>1919</v>
      </c>
      <c r="B10" s="2236"/>
      <c r="C10" s="2236"/>
      <c r="D10" s="2236"/>
      <c r="E10" s="2238"/>
      <c r="F10" s="782" t="s">
        <v>917</v>
      </c>
      <c r="G10" s="781"/>
      <c r="H10" s="783"/>
      <c r="I10" s="763"/>
      <c r="J10" s="764"/>
      <c r="K10" s="764"/>
    </row>
    <row r="11" spans="1:11" x14ac:dyDescent="0.2">
      <c r="A11" s="2235" t="s">
        <v>162</v>
      </c>
      <c r="B11" s="2236"/>
      <c r="C11" s="2236"/>
      <c r="D11" s="2236"/>
      <c r="E11" s="2237"/>
      <c r="F11" s="769" t="s">
        <v>907</v>
      </c>
      <c r="G11" s="770"/>
      <c r="H11" s="763"/>
      <c r="I11" s="763"/>
      <c r="J11" s="764"/>
      <c r="K11" s="772"/>
    </row>
    <row r="12" spans="1:11" ht="13.5" thickBot="1" x14ac:dyDescent="0.25">
      <c r="A12" s="2262" t="s">
        <v>961</v>
      </c>
      <c r="B12" s="2263"/>
      <c r="C12" s="2263"/>
      <c r="D12" s="2263"/>
      <c r="E12" s="2264"/>
      <c r="F12" s="1777"/>
      <c r="G12" s="1778">
        <f>SUM(G5:G11)</f>
        <v>0</v>
      </c>
      <c r="H12" s="1778">
        <f>SUM(H5:H11)</f>
        <v>19368</v>
      </c>
      <c r="I12" s="1778">
        <f>SUM(I5:I11)</f>
        <v>0</v>
      </c>
      <c r="J12" s="1778">
        <f>SUM(J5:J11)</f>
        <v>0</v>
      </c>
      <c r="K12" s="1778">
        <f>SUM(K5:K11)</f>
        <v>0</v>
      </c>
    </row>
    <row r="13" spans="1:11" ht="13.5" thickTop="1" x14ac:dyDescent="0.2">
      <c r="A13" s="2259" t="s">
        <v>388</v>
      </c>
      <c r="B13" s="2260"/>
      <c r="C13" s="2260"/>
      <c r="D13" s="2260"/>
      <c r="E13" s="2261"/>
      <c r="F13" s="784"/>
      <c r="G13" s="785"/>
      <c r="H13" s="786"/>
      <c r="I13" s="787"/>
      <c r="J13" s="787"/>
      <c r="K13" s="787"/>
    </row>
    <row r="14" spans="1:11" x14ac:dyDescent="0.2">
      <c r="A14" s="2242" t="s">
        <v>476</v>
      </c>
      <c r="B14" s="2242"/>
      <c r="C14" s="2242"/>
      <c r="D14" s="2242"/>
      <c r="E14" s="2243"/>
      <c r="F14" s="788" t="s">
        <v>909</v>
      </c>
      <c r="G14" s="781"/>
      <c r="H14" s="763">
        <v>19368</v>
      </c>
      <c r="I14" s="770"/>
      <c r="J14" s="772"/>
      <c r="K14" s="764"/>
    </row>
    <row r="15" spans="1:11" x14ac:dyDescent="0.2">
      <c r="A15" s="2236" t="s">
        <v>4</v>
      </c>
      <c r="B15" s="2236"/>
      <c r="C15" s="2236"/>
      <c r="D15" s="2236"/>
      <c r="E15" s="2237"/>
      <c r="F15" s="788" t="s">
        <v>910</v>
      </c>
      <c r="G15" s="770"/>
      <c r="H15" s="763"/>
      <c r="I15" s="763"/>
      <c r="J15" s="764"/>
      <c r="K15" s="764"/>
    </row>
    <row r="16" spans="1:11" x14ac:dyDescent="0.2">
      <c r="A16" s="2236" t="s">
        <v>316</v>
      </c>
      <c r="B16" s="2236"/>
      <c r="C16" s="2236"/>
      <c r="D16" s="2236"/>
      <c r="E16" s="2237"/>
      <c r="F16" s="788" t="s">
        <v>980</v>
      </c>
      <c r="G16" s="771"/>
      <c r="H16" s="766"/>
      <c r="I16" s="766"/>
      <c r="J16" s="768"/>
      <c r="K16" s="768"/>
    </row>
    <row r="17" spans="1:11" x14ac:dyDescent="0.2">
      <c r="A17" s="2267" t="s">
        <v>992</v>
      </c>
      <c r="B17" s="2267"/>
      <c r="C17" s="2267"/>
      <c r="D17" s="2267"/>
      <c r="E17" s="2268"/>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44" t="s">
        <v>1915</v>
      </c>
      <c r="B19" s="2244"/>
      <c r="C19" s="2244"/>
      <c r="D19" s="2244"/>
      <c r="E19" s="2245"/>
      <c r="F19" s="788" t="s">
        <v>990</v>
      </c>
      <c r="G19" s="781"/>
      <c r="H19" s="781"/>
      <c r="I19" s="781"/>
      <c r="J19" s="764"/>
      <c r="K19" s="794"/>
    </row>
    <row r="20" spans="1:11" x14ac:dyDescent="0.2">
      <c r="A20" s="2246" t="s">
        <v>1920</v>
      </c>
      <c r="B20" s="2247"/>
      <c r="C20" s="2247"/>
      <c r="D20" s="2247"/>
      <c r="E20" s="2248"/>
      <c r="F20" s="788" t="s">
        <v>991</v>
      </c>
      <c r="G20" s="781"/>
      <c r="H20" s="781"/>
      <c r="I20" s="781"/>
      <c r="J20" s="764"/>
      <c r="K20" s="794"/>
    </row>
    <row r="21" spans="1:11" ht="13.5" thickBot="1" x14ac:dyDescent="0.25">
      <c r="A21" s="2265" t="s">
        <v>659</v>
      </c>
      <c r="B21" s="2265"/>
      <c r="C21" s="2265"/>
      <c r="D21" s="2265"/>
      <c r="E21" s="2265"/>
      <c r="F21" s="1779"/>
      <c r="G21" s="791"/>
      <c r="H21" s="795"/>
      <c r="I21" s="795"/>
      <c r="J21" s="1780">
        <f>SUM(J18:J20)</f>
        <v>0</v>
      </c>
      <c r="K21" s="792"/>
    </row>
    <row r="22" spans="1:11" ht="13.5" thickTop="1" x14ac:dyDescent="0.2">
      <c r="A22" s="2236" t="s">
        <v>1921</v>
      </c>
      <c r="B22" s="2236"/>
      <c r="C22" s="2236"/>
      <c r="D22" s="2236"/>
      <c r="E22" s="2237"/>
      <c r="F22" s="788" t="s">
        <v>917</v>
      </c>
      <c r="G22" s="781"/>
      <c r="H22" s="763"/>
      <c r="I22" s="763"/>
      <c r="J22" s="796"/>
      <c r="K22" s="764"/>
    </row>
    <row r="23" spans="1:11" ht="13.5" thickBot="1" x14ac:dyDescent="0.25">
      <c r="A23" s="2266" t="s">
        <v>962</v>
      </c>
      <c r="B23" s="2265"/>
      <c r="C23" s="2265"/>
      <c r="D23" s="2265"/>
      <c r="E23" s="2265"/>
      <c r="F23" s="1781"/>
      <c r="G23" s="1778">
        <f>SUM(G14:G16,G21,G22)</f>
        <v>0</v>
      </c>
      <c r="H23" s="1778">
        <f>SUM(H14:H16,H21,H22)</f>
        <v>19368</v>
      </c>
      <c r="I23" s="1778">
        <f>SUM(I14:I16,I21,I22)</f>
        <v>0</v>
      </c>
      <c r="J23" s="1778">
        <f>SUM(J14:J16,J21,J22)</f>
        <v>0</v>
      </c>
      <c r="K23" s="1778">
        <f>SUM(K14:K16,K21,K22)</f>
        <v>0</v>
      </c>
    </row>
    <row r="24" spans="1:11" ht="14.25" thickTop="1" thickBot="1" x14ac:dyDescent="0.25">
      <c r="A24" s="2266" t="s">
        <v>2025</v>
      </c>
      <c r="B24" s="2265"/>
      <c r="C24" s="2265"/>
      <c r="D24" s="2265"/>
      <c r="E24" s="2265"/>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9"/>
      <c r="I31" s="2240"/>
      <c r="J31" s="2240"/>
      <c r="K31" s="2240"/>
    </row>
    <row r="32" spans="1:11" x14ac:dyDescent="0.2">
      <c r="A32" s="808"/>
      <c r="B32" s="237"/>
      <c r="C32" s="237"/>
      <c r="D32" s="237"/>
      <c r="E32" s="804"/>
      <c r="F32" s="810" t="s">
        <v>561</v>
      </c>
      <c r="G32" s="763"/>
      <c r="H32" s="2241"/>
      <c r="I32" s="2240"/>
      <c r="J32" s="2240"/>
      <c r="K32" s="2240"/>
    </row>
    <row r="33" spans="1:11" ht="1.5" customHeight="1" x14ac:dyDescent="0.2">
      <c r="A33" s="811" t="s">
        <v>1231</v>
      </c>
      <c r="B33" s="364"/>
      <c r="C33" s="364"/>
      <c r="D33" s="364"/>
      <c r="E33" s="364"/>
      <c r="F33" s="364"/>
      <c r="G33" s="812"/>
      <c r="H33" s="2241"/>
      <c r="I33" s="2240"/>
      <c r="J33" s="2240"/>
      <c r="K33" s="2240"/>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6" t="s">
        <v>562</v>
      </c>
      <c r="B41" s="2249"/>
      <c r="C41" s="2249"/>
      <c r="D41" s="2249"/>
      <c r="E41" s="2249"/>
      <c r="F41" s="225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27238</v>
      </c>
      <c r="D5" s="840">
        <v>0</v>
      </c>
      <c r="E5" s="840">
        <v>0</v>
      </c>
      <c r="F5" s="1780">
        <f>(C5+D5)-E5</f>
        <v>27238</v>
      </c>
      <c r="G5" s="836"/>
      <c r="H5" s="841"/>
      <c r="I5" s="841"/>
      <c r="J5" s="841"/>
      <c r="K5" s="792"/>
      <c r="L5" s="1789">
        <f>F5-K5</f>
        <v>27238</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8702953</v>
      </c>
      <c r="D8" s="843">
        <v>1872335</v>
      </c>
      <c r="E8" s="843">
        <v>0</v>
      </c>
      <c r="F8" s="1780">
        <f>(C8+D8)-E8</f>
        <v>10575288</v>
      </c>
      <c r="G8" s="842">
        <v>50</v>
      </c>
      <c r="H8" s="764">
        <v>4090954</v>
      </c>
      <c r="I8" s="764">
        <v>191857</v>
      </c>
      <c r="J8" s="764">
        <v>0</v>
      </c>
      <c r="K8" s="1789">
        <f>(H8+I8)-J8</f>
        <v>4282811</v>
      </c>
      <c r="L8" s="1789">
        <f>F8-K8</f>
        <v>6292477</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773786</v>
      </c>
      <c r="D10" s="845">
        <v>324071</v>
      </c>
      <c r="E10" s="845">
        <v>0</v>
      </c>
      <c r="F10" s="1784">
        <f>(C10+D10)-E10</f>
        <v>1097857</v>
      </c>
      <c r="G10" s="842">
        <v>20</v>
      </c>
      <c r="H10" s="846">
        <v>199306</v>
      </c>
      <c r="I10" s="846">
        <v>54894</v>
      </c>
      <c r="J10" s="846">
        <v>0</v>
      </c>
      <c r="K10" s="1789">
        <f>(H10+I10)-J10</f>
        <v>254200</v>
      </c>
      <c r="L10" s="1789">
        <f>F10-K10</f>
        <v>843657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855656</v>
      </c>
      <c r="D12" s="843">
        <v>121967</v>
      </c>
      <c r="E12" s="843">
        <v>165043</v>
      </c>
      <c r="F12" s="1780">
        <f>(C12+D12)-E12</f>
        <v>812580</v>
      </c>
      <c r="G12" s="842">
        <v>10</v>
      </c>
      <c r="H12" s="764">
        <v>442855</v>
      </c>
      <c r="I12" s="764">
        <v>81260</v>
      </c>
      <c r="J12" s="764">
        <v>165043</v>
      </c>
      <c r="K12" s="1789">
        <f>(H12+I12)-J12</f>
        <v>359072</v>
      </c>
      <c r="L12" s="1789">
        <f>F12-K12</f>
        <v>453508</v>
      </c>
    </row>
    <row r="13" spans="1:14" ht="14.25" thickTop="1" thickBot="1" x14ac:dyDescent="0.25">
      <c r="A13" s="847" t="s">
        <v>1184</v>
      </c>
      <c r="B13" s="839">
        <v>252</v>
      </c>
      <c r="C13" s="843">
        <v>820731</v>
      </c>
      <c r="D13" s="843">
        <v>0</v>
      </c>
      <c r="E13" s="843">
        <v>0</v>
      </c>
      <c r="F13" s="1780">
        <f>(C13+D13)-E13</f>
        <v>820731</v>
      </c>
      <c r="G13" s="842">
        <v>5</v>
      </c>
      <c r="H13" s="764">
        <v>793138</v>
      </c>
      <c r="I13" s="764">
        <v>13796</v>
      </c>
      <c r="J13" s="764">
        <v>0</v>
      </c>
      <c r="K13" s="1789">
        <f>(H13+I13)-J13</f>
        <v>806934</v>
      </c>
      <c r="L13" s="1789">
        <f>F13-K13</f>
        <v>13797</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718064</v>
      </c>
      <c r="D15" s="843">
        <v>57069</v>
      </c>
      <c r="E15" s="843">
        <v>718064</v>
      </c>
      <c r="F15" s="1780">
        <f>(C15+D15)-E15</f>
        <v>57069</v>
      </c>
      <c r="G15" s="848" t="s">
        <v>917</v>
      </c>
      <c r="H15" s="780"/>
      <c r="I15" s="780"/>
      <c r="J15" s="780"/>
      <c r="K15" s="780"/>
      <c r="L15" s="1789">
        <f>F15-K15</f>
        <v>57069</v>
      </c>
    </row>
    <row r="16" spans="1:14" ht="15" customHeight="1" thickTop="1" thickBot="1" x14ac:dyDescent="0.25">
      <c r="A16" s="1785" t="s">
        <v>664</v>
      </c>
      <c r="B16" s="1786">
        <v>200</v>
      </c>
      <c r="C16" s="1780">
        <f>SUM(C3,C5:C6,C8:C10,C12:C15)</f>
        <v>11898428</v>
      </c>
      <c r="D16" s="1780">
        <f>SUM(D3,D5:D6,D8:D10,D12:D15)</f>
        <v>2375442</v>
      </c>
      <c r="E16" s="1780">
        <f>SUM(E3,E5:E6,E8:E10,E12:E15)</f>
        <v>883107</v>
      </c>
      <c r="F16" s="1780">
        <f>SUM(F3,F5:F6,F8:F10,F12:F15)</f>
        <v>13390763</v>
      </c>
      <c r="G16" s="842"/>
      <c r="H16" s="1780">
        <f>SUM(H3,H6,H8:H10,H12:H14,)</f>
        <v>5526253</v>
      </c>
      <c r="I16" s="1780">
        <f>SUM(I3,I6,I8:I10,I12:I14,)</f>
        <v>341807</v>
      </c>
      <c r="J16" s="1780">
        <f>SUM(J3,J6,J8:J10,J12:J14,)</f>
        <v>165043</v>
      </c>
      <c r="K16" s="1780">
        <f>(H16+I16)-J16</f>
        <v>5703017</v>
      </c>
      <c r="L16" s="1780">
        <f>F16-K16</f>
        <v>7687746</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341807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30" zoomScaleNormal="130" workbookViewId="0">
      <pane ySplit="5" topLeftCell="A6" activePane="bottomLeft" state="frozen"/>
      <selection activeCell="G29" sqref="G29"/>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6141685</v>
      </c>
      <c r="G8" s="864"/>
    </row>
    <row r="9" spans="1:7" x14ac:dyDescent="0.2">
      <c r="A9" s="868" t="s">
        <v>480</v>
      </c>
      <c r="B9" s="869" t="s">
        <v>1988</v>
      </c>
      <c r="C9" s="870"/>
      <c r="D9" s="868" t="s">
        <v>522</v>
      </c>
      <c r="E9" s="867"/>
      <c r="F9" s="1933">
        <f>'Expenditures 15-22'!K151</f>
        <v>271304</v>
      </c>
      <c r="G9" s="871"/>
    </row>
    <row r="10" spans="1:7" x14ac:dyDescent="0.2">
      <c r="A10" s="868" t="s">
        <v>520</v>
      </c>
      <c r="B10" s="869" t="s">
        <v>1989</v>
      </c>
      <c r="C10" s="870"/>
      <c r="D10" s="868" t="s">
        <v>522</v>
      </c>
      <c r="E10" s="867"/>
      <c r="F10" s="1933">
        <f>'Expenditures 15-22'!K174</f>
        <v>491238</v>
      </c>
      <c r="G10" s="871"/>
    </row>
    <row r="11" spans="1:7" x14ac:dyDescent="0.2">
      <c r="A11" s="868" t="s">
        <v>481</v>
      </c>
      <c r="B11" s="869" t="s">
        <v>1990</v>
      </c>
      <c r="C11" s="870"/>
      <c r="D11" s="868" t="s">
        <v>522</v>
      </c>
      <c r="E11" s="867"/>
      <c r="F11" s="1933">
        <f>'Expenditures 15-22'!K210</f>
        <v>590220</v>
      </c>
      <c r="G11" s="871"/>
    </row>
    <row r="12" spans="1:7" x14ac:dyDescent="0.2">
      <c r="A12" s="868" t="s">
        <v>482</v>
      </c>
      <c r="B12" s="869" t="s">
        <v>1991</v>
      </c>
      <c r="C12" s="870"/>
      <c r="D12" s="868" t="s">
        <v>522</v>
      </c>
      <c r="E12" s="867"/>
      <c r="F12" s="1933">
        <f>'Expenditures 15-22'!K295</f>
        <v>240784</v>
      </c>
      <c r="G12" s="871"/>
    </row>
    <row r="13" spans="1:7" x14ac:dyDescent="0.2">
      <c r="A13" s="868" t="s">
        <v>108</v>
      </c>
      <c r="B13" s="869" t="s">
        <v>1992</v>
      </c>
      <c r="C13" s="870"/>
      <c r="D13" s="868" t="s">
        <v>522</v>
      </c>
      <c r="E13" s="867"/>
      <c r="F13" s="1933">
        <f>'Expenditures 15-22'!K342</f>
        <v>29580</v>
      </c>
      <c r="G13" s="872"/>
    </row>
    <row r="14" spans="1:7" ht="12" customHeight="1" thickBot="1" x14ac:dyDescent="0.25">
      <c r="A14" s="1790"/>
      <c r="B14" s="1791"/>
      <c r="C14" s="1792"/>
      <c r="D14" s="1793" t="s">
        <v>522</v>
      </c>
      <c r="E14" s="1794" t="s">
        <v>1015</v>
      </c>
      <c r="F14" s="1795">
        <f>SUM(F8:F13)</f>
        <v>7764811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83411</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108269</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239092</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55098</v>
      </c>
      <c r="G52" s="864"/>
    </row>
    <row r="53" spans="1:7" x14ac:dyDescent="0.2">
      <c r="A53" s="868" t="s">
        <v>479</v>
      </c>
      <c r="B53" s="868" t="s">
        <v>1551</v>
      </c>
      <c r="C53" s="888">
        <f>'Expenditures 15-22'!B102</f>
        <v>4000</v>
      </c>
      <c r="D53" s="887" t="str">
        <f>'Expenditures 15-22'!A102</f>
        <v>Total Payments to Other Govt Units</v>
      </c>
      <c r="E53" s="867"/>
      <c r="F53" s="1937">
        <f>'Expenditures 15-22'!K102</f>
        <v>271607</v>
      </c>
      <c r="G53" s="864"/>
    </row>
    <row r="54" spans="1:7" x14ac:dyDescent="0.2">
      <c r="A54" s="868" t="s">
        <v>479</v>
      </c>
      <c r="B54" s="868" t="s">
        <v>1552</v>
      </c>
      <c r="C54" s="888" t="s">
        <v>1039</v>
      </c>
      <c r="D54" s="884" t="s">
        <v>1157</v>
      </c>
      <c r="E54" s="867"/>
      <c r="F54" s="1937">
        <f>'Expenditures 15-22'!G114</f>
        <v>54565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12482</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270409</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3600</v>
      </c>
      <c r="G67" s="864"/>
    </row>
    <row r="68" spans="1:8" x14ac:dyDescent="0.2">
      <c r="A68" s="868" t="s">
        <v>482</v>
      </c>
      <c r="B68" s="868" t="s">
        <v>1555</v>
      </c>
      <c r="C68" s="885" t="str">
        <f>'Expenditures 15-22'!B218</f>
        <v>1225</v>
      </c>
      <c r="D68" s="891" t="str">
        <f>'Expenditures 15-22'!A218</f>
        <v>Special Education Programs - Pre-K</v>
      </c>
      <c r="E68" s="867"/>
      <c r="F68" s="1937">
        <f>'Expenditures 15-22'!K218</f>
        <v>5015</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8737</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1112285</v>
      </c>
      <c r="G76" s="864"/>
    </row>
    <row r="77" spans="1:8" s="892" customFormat="1" ht="12" customHeight="1" thickTop="1" thickBot="1" x14ac:dyDescent="0.25">
      <c r="A77" s="1799"/>
      <c r="B77" s="1796"/>
      <c r="C77" s="1792"/>
      <c r="D77" s="1797" t="s">
        <v>2011</v>
      </c>
      <c r="E77" s="1794"/>
      <c r="F77" s="1800">
        <f>(F14-F76)</f>
        <v>6652526</v>
      </c>
      <c r="G77" s="868"/>
    </row>
    <row r="78" spans="1:8" s="892" customFormat="1" ht="12" customHeight="1" thickTop="1" x14ac:dyDescent="0.2">
      <c r="A78" s="1801"/>
      <c r="B78" s="1796"/>
      <c r="C78" s="1792"/>
      <c r="D78" s="1797" t="s">
        <v>2058</v>
      </c>
      <c r="E78" s="1794"/>
      <c r="F78" s="897">
        <v>683.6</v>
      </c>
      <c r="G78" s="898"/>
      <c r="H78" s="868"/>
    </row>
    <row r="79" spans="1:8" s="892" customFormat="1" ht="12" customHeight="1" thickBot="1" x14ac:dyDescent="0.25">
      <c r="A79" s="1802"/>
      <c r="B79" s="1796"/>
      <c r="C79" s="1792"/>
      <c r="D79" s="1797" t="s">
        <v>2012</v>
      </c>
      <c r="E79" s="1794" t="s">
        <v>1015</v>
      </c>
      <c r="F79" s="1803">
        <f>IF(F78&gt;0,F77/F78," Complete Line 78")</f>
        <v>9731.6062024575767</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85336</v>
      </c>
      <c r="G94" s="911"/>
    </row>
    <row r="95" spans="1:7" x14ac:dyDescent="0.2">
      <c r="A95" s="907" t="s">
        <v>142</v>
      </c>
      <c r="B95" s="907" t="s">
        <v>177</v>
      </c>
      <c r="C95" s="909">
        <v>1700</v>
      </c>
      <c r="D95" s="917" t="str">
        <f>'Revenues 9-14'!A82</f>
        <v>Total District/School Activity Income</v>
      </c>
      <c r="E95" s="905"/>
      <c r="F95" s="1809">
        <f>SUM('Revenues 9-14'!C82,'Revenues 9-14'!D82)</f>
        <v>7333</v>
      </c>
      <c r="G95" s="911"/>
    </row>
    <row r="96" spans="1:7" x14ac:dyDescent="0.2">
      <c r="A96" s="907" t="s">
        <v>479</v>
      </c>
      <c r="B96" s="907" t="s">
        <v>178</v>
      </c>
      <c r="C96" s="909">
        <f>'Revenues 9-14'!B84</f>
        <v>1811</v>
      </c>
      <c r="D96" s="910" t="str">
        <f>'Revenues 9-14'!A84</f>
        <v>Rentals - Regular Textbooks</v>
      </c>
      <c r="E96" s="905"/>
      <c r="F96" s="1809">
        <f>'Revenues 9-14'!C84</f>
        <v>18750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2676</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68304</v>
      </c>
      <c r="G104" s="911"/>
    </row>
    <row r="105" spans="1:7" x14ac:dyDescent="0.2">
      <c r="A105" s="907" t="s">
        <v>524</v>
      </c>
      <c r="B105" s="907" t="s">
        <v>842</v>
      </c>
      <c r="C105" s="912">
        <v>3100</v>
      </c>
      <c r="D105" s="918" t="str">
        <f>'Revenues 9-14'!A131</f>
        <v>Total Special Education</v>
      </c>
      <c r="E105" s="905"/>
      <c r="F105" s="1809">
        <f>SUM('Revenues 9-14'!C131:D131,'Revenues 9-14'!F131)</f>
        <v>340259</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3152</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419831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227494</v>
      </c>
      <c r="G129" s="929"/>
    </row>
    <row r="130" spans="1:7" x14ac:dyDescent="0.2">
      <c r="A130" s="926" t="s">
        <v>689</v>
      </c>
      <c r="B130" s="926" t="s">
        <v>804</v>
      </c>
      <c r="C130" s="931">
        <v>4300</v>
      </c>
      <c r="D130" s="932" t="str">
        <f>'Revenues 9-14'!A211</f>
        <v>Total Title I</v>
      </c>
      <c r="E130" s="905"/>
      <c r="F130" s="1809">
        <f>SUM('Revenues 9-14'!C211,'Revenues 9-14'!D211,'Revenues 9-14'!F211,'Revenues 9-14'!G211)</f>
        <v>158917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101948</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20010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18955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12968</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277727.18</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1763660.18</v>
      </c>
    </row>
    <row r="179" spans="1:7" ht="12" customHeight="1" x14ac:dyDescent="0.2">
      <c r="A179" s="1790"/>
      <c r="B179" s="1804"/>
      <c r="C179" s="1805"/>
      <c r="D179" s="1806" t="s">
        <v>2014</v>
      </c>
      <c r="E179" s="1807"/>
      <c r="F179" s="1809">
        <f>'PCTC-OEPP 27-28'!F77-F178</f>
        <v>4888865.82</v>
      </c>
    </row>
    <row r="180" spans="1:7" ht="12" customHeight="1" x14ac:dyDescent="0.2">
      <c r="A180" s="1790"/>
      <c r="B180" s="1804"/>
      <c r="C180" s="1805"/>
      <c r="D180" s="1806" t="s">
        <v>1923</v>
      </c>
      <c r="E180" s="1807"/>
      <c r="F180" s="1809">
        <f>'Cap Outlay Deprec 26'!I18</f>
        <v>341807</v>
      </c>
    </row>
    <row r="181" spans="1:7" ht="12" customHeight="1" x14ac:dyDescent="0.2">
      <c r="A181" s="1790"/>
      <c r="B181" s="1804"/>
      <c r="C181" s="1805"/>
      <c r="D181" s="1806" t="s">
        <v>2015</v>
      </c>
      <c r="E181" s="1807"/>
      <c r="F181" s="1809">
        <f>F179+F180</f>
        <v>5230672.82</v>
      </c>
    </row>
    <row r="182" spans="1:7" ht="12" customHeight="1" x14ac:dyDescent="0.2">
      <c r="A182" s="1790"/>
      <c r="B182" s="1810"/>
      <c r="C182" s="1805"/>
      <c r="D182" s="1806" t="str">
        <f>D78</f>
        <v>9 Month ADA from District Average Daily Attendance/Prior General State Aid Inquiry 2017-2018</v>
      </c>
      <c r="E182" s="1807"/>
      <c r="F182" s="1811">
        <f>'PCTC-OEPP 27-28'!F78</f>
        <v>683.6</v>
      </c>
      <c r="G182" s="929"/>
    </row>
    <row r="183" spans="1:7" ht="12" customHeight="1" thickBot="1" x14ac:dyDescent="0.25">
      <c r="A183" s="1790"/>
      <c r="B183" s="1810"/>
      <c r="C183" s="1805"/>
      <c r="D183" s="1806" t="s">
        <v>2016</v>
      </c>
      <c r="E183" s="1807" t="s">
        <v>1626</v>
      </c>
      <c r="F183" s="1812">
        <f>F181/F182</f>
        <v>7651.6571386775895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4" t="s">
        <v>1925</v>
      </c>
      <c r="B6" s="1555"/>
      <c r="C6" s="1555"/>
      <c r="D6" s="1555"/>
      <c r="E6" s="1555"/>
      <c r="F6" s="1555"/>
      <c r="G6" s="1556"/>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7" t="s">
        <v>1926</v>
      </c>
      <c r="B10" s="1558"/>
      <c r="C10" s="1558"/>
      <c r="D10" s="1558"/>
      <c r="E10" s="1558"/>
      <c r="F10" s="1558"/>
      <c r="G10" s="1559"/>
    </row>
    <row r="11" spans="1:7" ht="17.25" customHeight="1" x14ac:dyDescent="0.25">
      <c r="A11" s="2294" t="s">
        <v>1940</v>
      </c>
      <c r="B11" s="2295"/>
      <c r="C11" s="2295"/>
      <c r="D11" s="2295"/>
      <c r="E11" s="2295"/>
      <c r="F11" s="2295"/>
      <c r="G11" s="2296"/>
    </row>
    <row r="12" spans="1:7" ht="15" customHeight="1" x14ac:dyDescent="0.25">
      <c r="A12" s="1557" t="s">
        <v>1931</v>
      </c>
      <c r="B12" s="1558"/>
      <c r="C12" s="1558"/>
      <c r="D12" s="1558"/>
      <c r="E12" s="1558"/>
      <c r="F12" s="1558"/>
      <c r="G12" s="1559"/>
    </row>
    <row r="13" spans="1:7" ht="32.25" customHeight="1" x14ac:dyDescent="0.25">
      <c r="A13" s="2285" t="s">
        <v>1932</v>
      </c>
      <c r="B13" s="2286"/>
      <c r="C13" s="2286"/>
      <c r="D13" s="2286"/>
      <c r="E13" s="2286"/>
      <c r="F13" s="2286"/>
      <c r="G13" s="2287"/>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8" t="s">
        <v>2113</v>
      </c>
      <c r="B17" s="1956" t="s">
        <v>2111</v>
      </c>
      <c r="C17" s="1957" t="s">
        <v>2112</v>
      </c>
      <c r="D17" s="1865">
        <v>448842</v>
      </c>
      <c r="E17" s="1560">
        <f t="shared" ref="E17:E141" si="1">IF(D17&lt;=25000,D17,IF(D17&gt;25000,25000,0))</f>
        <v>25000</v>
      </c>
      <c r="F17" s="1813">
        <f t="shared" si="0"/>
        <v>25000</v>
      </c>
      <c r="G17" s="1814">
        <f>IF(F17=0,0,D17-F17)</f>
        <v>423842</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448842</v>
      </c>
      <c r="E141" s="1561">
        <f t="shared" si="1"/>
        <v>25000</v>
      </c>
      <c r="F141" s="1815">
        <f>SUM(F17:F140)</f>
        <v>25000</v>
      </c>
      <c r="G141" s="1816">
        <f>SUM(G17:G140)</f>
        <v>423842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112296</v>
      </c>
      <c r="F10" s="973"/>
      <c r="G10" s="974"/>
      <c r="H10" s="162"/>
      <c r="I10" s="162"/>
    </row>
    <row r="11" spans="1:9" s="667" customFormat="1" ht="22.5" customHeight="1" x14ac:dyDescent="0.2">
      <c r="A11" s="2305" t="s">
        <v>1944</v>
      </c>
      <c r="B11" s="2306"/>
      <c r="C11" s="2306"/>
      <c r="D11" s="2307"/>
      <c r="E11" s="976">
        <v>25684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3766146</v>
      </c>
      <c r="F19" s="1820"/>
      <c r="G19" s="1822">
        <f>'Expenditures 15-22'!K33-SUM('Expenditures 15-22'!G33,'Expenditures 15-22'!I33)+'Expenditures 15-22'!D229</f>
        <v>3766146</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366979</v>
      </c>
      <c r="F21" s="1823"/>
      <c r="G21" s="1826">
        <f>'Expenditures 15-22'!K42-SUM('Expenditures 15-22'!G42,'Expenditures 15-22'!I42)+'Expenditures 15-22'!K120-SUM('Expenditures 15-22'!G120,'Expenditures 15-22'!I120)+'Expenditures 15-22'!K180-SUM('Expenditures 15-22'!G180,'Expenditures 15-22'!I180)+'Expenditures 15-22'!D238</f>
        <v>366979</v>
      </c>
      <c r="H21" s="986"/>
      <c r="I21" s="162"/>
    </row>
    <row r="22" spans="1:9" s="667" customFormat="1" ht="12" customHeight="1" x14ac:dyDescent="0.2">
      <c r="A22" s="993" t="s">
        <v>585</v>
      </c>
      <c r="B22" s="994"/>
      <c r="C22" s="992">
        <v>2200</v>
      </c>
      <c r="D22" s="1823"/>
      <c r="E22" s="1825">
        <f>'Expenditures 15-22'!K47-SUM('Expenditures 15-22'!G47,'Expenditures 15-22'!I47)+'Expenditures 15-22'!D243</f>
        <v>497036</v>
      </c>
      <c r="F22" s="1823"/>
      <c r="G22" s="1826">
        <f>'Expenditures 15-22'!K47-SUM('Expenditures 15-22'!G47,'Expenditures 15-22'!I47)+'Expenditures 15-22'!D243</f>
        <v>497036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365931</v>
      </c>
      <c r="F23" s="1823"/>
      <c r="G23" s="1825">
        <f>'Expenditures 15-22'!K53-SUM('Expenditures 15-22'!G53,'Expenditures 15-22'!I53)+'Expenditures 15-22'!D257+'Expenditures 15-22'!K330-SUM('Expenditures 15-22'!G330,'Expenditures 15-22'!I330)</f>
        <v>365931</v>
      </c>
      <c r="H23" s="986"/>
      <c r="I23" s="162"/>
    </row>
    <row r="24" spans="1:9" s="667" customFormat="1" ht="12" customHeight="1" x14ac:dyDescent="0.2">
      <c r="A24" s="993" t="s">
        <v>587</v>
      </c>
      <c r="B24" s="994"/>
      <c r="C24" s="992">
        <v>2400</v>
      </c>
      <c r="D24" s="1823"/>
      <c r="E24" s="1825">
        <f>'Expenditures 15-22'!K57-SUM('Expenditures 15-22'!G57,'Expenditures 15-22'!I57)+'Expenditures 15-22'!D261</f>
        <v>348279</v>
      </c>
      <c r="F24" s="1823"/>
      <c r="G24" s="1826">
        <f>'Expenditures 15-22'!K57-SUM('Expenditures 15-22'!G57,'Expenditures 15-22'!I57)+'Expenditures 15-22'!D261</f>
        <v>348279</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94605</v>
      </c>
      <c r="E27" s="1825">
        <f>E8</f>
        <v>0</v>
      </c>
      <c r="F27" s="1825">
        <f>'Expenditures 15-22'!K60-SUM('Expenditures 15-22'!G60,'Expenditures 15-22'!I60)+'Expenditures 15-22'!D264-E8</f>
        <v>94605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476243</v>
      </c>
      <c r="F28" s="1827">
        <f>'Expenditures 15-22'!K61-SUM('Expenditures 15-22'!G61,'Expenditures 15-22'!I61)+'Expenditures 15-22'!K124-SUM('Expenditures 15-22'!G124,'Expenditures 15-22'!I124)+'Expenditures 15-22'!D266-E9</f>
        <v>476243</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599142</v>
      </c>
      <c r="F29" s="1823"/>
      <c r="G29" s="1826">
        <f>'Expenditures 15-22'!K62-SUM('Expenditures 15-22'!G62,'Expenditures 15-22'!I62)+'Expenditures 15-22'!K125-SUM('Expenditures 15-22'!G125,'Expenditures 15-22'!I125)+'Expenditures 15-22'!K182-SUM('Expenditures 15-22'!G182,'Expenditures 15-22'!I182)+'Expenditures 15-22'!D267</f>
        <v>599142</v>
      </c>
      <c r="H29" s="984"/>
    </row>
    <row r="30" spans="1:9" ht="12" customHeight="1" x14ac:dyDescent="0.2">
      <c r="A30" s="993" t="s">
        <v>102</v>
      </c>
      <c r="B30" s="996"/>
      <c r="C30" s="992">
        <v>2560</v>
      </c>
      <c r="D30" s="1823"/>
      <c r="E30" s="1825">
        <f>'Expenditures 15-22'!K63-SUM('Expenditures 15-22'!G63,'Expenditures 15-22'!I63)+'Expenditures 15-22'!D268-E10</f>
        <v>244317</v>
      </c>
      <c r="F30" s="1823"/>
      <c r="G30" s="1825">
        <f>'Expenditures 15-22'!K63-SUM('Expenditures 15-22'!G63,'Expenditures 15-22'!I63)+'Expenditures 15-22'!D268-E10</f>
        <v>244317</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110</v>
      </c>
      <c r="F38" s="1823"/>
      <c r="G38" s="1825">
        <f>'Expenditures 15-22'!K73-SUM('Expenditures 15-22'!G73,'Expenditures 15-22'!I73)+'Expenditures 15-22'!K128-SUM('Expenditures 15-22'!G128,'Expenditures 15-22'!I128)+'Expenditures 15-22'!K183-SUM('Expenditures 15-22'!G183,'Expenditures 15-22'!I183)+'Expenditures 15-22'!D278</f>
        <v>110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63835</v>
      </c>
      <c r="F39" s="1823"/>
      <c r="G39" s="1825">
        <f>'Expenditures 15-22'!K75-SUM('Expenditures 15-22'!G75,'Expenditures 15-22'!I75)+'Expenditures 15-22'!K130-SUM('Expenditures 15-22'!G130,'Expenditures 15-22'!I130)+'Expenditures 15-22'!K185-SUM('Expenditures 15-22'!G185,'Expenditures 15-22'!I185)+'Expenditures 15-22'!D280</f>
        <v>63835</v>
      </c>
    </row>
    <row r="40" spans="1:7" ht="12" customHeight="1" x14ac:dyDescent="0.2">
      <c r="A40" s="989" t="s">
        <v>1929</v>
      </c>
      <c r="B40" s="990"/>
      <c r="C40" s="992"/>
      <c r="D40" s="1823"/>
      <c r="E40" s="1827">
        <f>-'Contracts Paid in CY 29'!G141</f>
        <v>-423842</v>
      </c>
      <c r="F40" s="1823"/>
      <c r="G40" s="1827">
        <f>-'Contracts Paid in CY 29'!G141</f>
        <v>-423842</v>
      </c>
    </row>
    <row r="41" spans="1:7" ht="12" customHeight="1" x14ac:dyDescent="0.2">
      <c r="A41" s="997" t="s">
        <v>158</v>
      </c>
      <c r="B41" s="998"/>
      <c r="C41" s="999"/>
      <c r="D41" s="1827">
        <f>SUM(D19:D39)</f>
        <v>94605</v>
      </c>
      <c r="E41" s="1827">
        <f>SUM(E19:E40)</f>
        <v>6304176</v>
      </c>
      <c r="F41" s="1827">
        <f>SUM(F19:F39)</f>
        <v>570848</v>
      </c>
      <c r="G41" s="1827">
        <f>SUM(G19:G40)</f>
        <v>5827933</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94605</v>
      </c>
      <c r="F43" s="1828" t="s">
        <v>495</v>
      </c>
      <c r="G43" s="1829">
        <f>F41</f>
        <v>570848</v>
      </c>
    </row>
    <row r="44" spans="1:7" ht="12" customHeight="1" x14ac:dyDescent="0.2">
      <c r="A44" s="986"/>
      <c r="B44" s="162"/>
      <c r="C44" s="1000"/>
      <c r="D44" s="1828" t="s">
        <v>494</v>
      </c>
      <c r="E44" s="1829">
        <f>E41</f>
        <v>6304176</v>
      </c>
      <c r="F44" s="1828" t="s">
        <v>494</v>
      </c>
      <c r="G44" s="1829">
        <f>G41</f>
        <v>5827933</v>
      </c>
    </row>
    <row r="45" spans="1:7" ht="12" customHeight="1" x14ac:dyDescent="0.2">
      <c r="A45" s="986"/>
      <c r="B45" s="162"/>
      <c r="C45" s="162"/>
      <c r="D45" s="1830" t="s">
        <v>1063</v>
      </c>
      <c r="E45" s="1831">
        <f>(E43/E44)</f>
        <v>1.5006719355550988E-2</v>
      </c>
      <c r="F45" s="1830" t="s">
        <v>1063</v>
      </c>
      <c r="G45" s="1831">
        <f>(G43/G44)</f>
        <v>9.7950336766054108E-2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9" activePane="bottomLeft" state="frozen"/>
      <selection activeCell="G29" sqref="G29"/>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2" t="s">
        <v>1446</v>
      </c>
      <c r="B1" s="2322"/>
      <c r="C1" s="2322"/>
      <c r="D1" s="2322"/>
      <c r="E1" s="2322"/>
      <c r="F1" s="2322"/>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3" t="s">
        <v>1627</v>
      </c>
      <c r="B5" s="2324"/>
      <c r="C5" s="2325"/>
      <c r="D5" s="2325"/>
      <c r="E5" s="2325"/>
      <c r="F5" s="2325"/>
    </row>
    <row r="6" spans="1:10" ht="12" customHeight="1" x14ac:dyDescent="0.25">
      <c r="A6" s="1873"/>
      <c r="B6" s="1874"/>
      <c r="C6" s="2326" t="str">
        <f>COVER!A17</f>
        <v>District 50 Schools</v>
      </c>
      <c r="D6" s="2326"/>
      <c r="E6" s="2326"/>
      <c r="F6" s="1875"/>
    </row>
    <row r="7" spans="1:10" ht="11.25" customHeight="1" thickBot="1" x14ac:dyDescent="0.3">
      <c r="A7" s="1873"/>
      <c r="B7" s="1874"/>
      <c r="C7" s="2327">
        <f>COVER!A13</f>
        <v>53090050002</v>
      </c>
      <c r="D7" s="2327"/>
      <c r="E7" s="2327"/>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2085</v>
      </c>
      <c r="D11" s="1888" t="s">
        <v>2085</v>
      </c>
      <c r="E11" s="1889"/>
      <c r="F11" s="1890"/>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2085</v>
      </c>
      <c r="D14" s="1888" t="s">
        <v>2085</v>
      </c>
      <c r="E14" s="1891"/>
      <c r="F14" s="1890" t="s">
        <v>2101</v>
      </c>
      <c r="H14" s="1901">
        <f t="shared" si="0"/>
        <v>5</v>
      </c>
      <c r="I14" s="1901">
        <f t="shared" si="1"/>
        <v>5</v>
      </c>
      <c r="J14" s="1901">
        <f t="shared" si="2"/>
        <v>0</v>
      </c>
    </row>
    <row r="15" spans="1:10" ht="12" customHeight="1" x14ac:dyDescent="0.2">
      <c r="A15" s="1886" t="s">
        <v>1454</v>
      </c>
      <c r="B15" s="1887"/>
      <c r="C15" s="1888" t="s">
        <v>2085</v>
      </c>
      <c r="D15" s="1888" t="s">
        <v>2085</v>
      </c>
      <c r="E15" s="1891"/>
      <c r="F15" s="1890" t="s">
        <v>2102</v>
      </c>
      <c r="H15" s="1901">
        <f t="shared" si="0"/>
        <v>5</v>
      </c>
      <c r="I15" s="1901">
        <f t="shared" si="1"/>
        <v>5</v>
      </c>
      <c r="J15" s="1901">
        <f t="shared" si="2"/>
        <v>0</v>
      </c>
    </row>
    <row r="16" spans="1:10" ht="12" customHeight="1" x14ac:dyDescent="0.2">
      <c r="A16" s="1886" t="s">
        <v>1455</v>
      </c>
      <c r="B16" s="1887"/>
      <c r="C16" s="1888" t="s">
        <v>2085</v>
      </c>
      <c r="D16" s="1888" t="s">
        <v>2085</v>
      </c>
      <c r="E16" s="1891"/>
      <c r="F16" s="1890" t="s">
        <v>2103</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t="s">
        <v>2085</v>
      </c>
      <c r="D18" s="1888" t="s">
        <v>2085</v>
      </c>
      <c r="E18" s="1891"/>
      <c r="F18" s="1890"/>
      <c r="H18" s="1901">
        <f t="shared" si="0"/>
        <v>5</v>
      </c>
      <c r="I18" s="1901">
        <f t="shared" si="1"/>
        <v>5</v>
      </c>
      <c r="J18" s="1901">
        <f t="shared" si="2"/>
        <v>0</v>
      </c>
    </row>
    <row r="19" spans="1:12" ht="12" customHeight="1" x14ac:dyDescent="0.2">
      <c r="A19" s="1886" t="s">
        <v>1608</v>
      </c>
      <c r="B19" s="1887"/>
      <c r="C19" s="1888" t="s">
        <v>2085</v>
      </c>
      <c r="D19" s="1888" t="s">
        <v>2085</v>
      </c>
      <c r="E19" s="1891"/>
      <c r="F19" s="1890"/>
      <c r="H19" s="1901">
        <f t="shared" si="0"/>
        <v>5</v>
      </c>
      <c r="I19" s="1901">
        <f t="shared" si="1"/>
        <v>5</v>
      </c>
      <c r="J19" s="1901">
        <f t="shared" si="2"/>
        <v>0</v>
      </c>
    </row>
    <row r="20" spans="1:12" ht="12" customHeight="1" x14ac:dyDescent="0.2">
      <c r="A20" s="1886" t="s">
        <v>1609</v>
      </c>
      <c r="B20" s="1887"/>
      <c r="C20" s="1888" t="s">
        <v>2085</v>
      </c>
      <c r="D20" s="1888" t="s">
        <v>2085</v>
      </c>
      <c r="E20" s="1891"/>
      <c r="F20" s="1890" t="s">
        <v>2104</v>
      </c>
      <c r="H20" s="1901">
        <f t="shared" si="0"/>
        <v>5</v>
      </c>
      <c r="I20" s="1901">
        <f t="shared" si="1"/>
        <v>5</v>
      </c>
      <c r="J20" s="1901">
        <f t="shared" si="2"/>
        <v>0</v>
      </c>
    </row>
    <row r="21" spans="1:12" ht="12" customHeight="1" x14ac:dyDescent="0.2">
      <c r="A21" s="1886" t="s">
        <v>1610</v>
      </c>
      <c r="B21" s="1887"/>
      <c r="C21" s="1888" t="s">
        <v>2085</v>
      </c>
      <c r="D21" s="1888" t="s">
        <v>2085</v>
      </c>
      <c r="E21" s="1891"/>
      <c r="F21" s="1890"/>
      <c r="H21" s="1901">
        <f t="shared" si="0"/>
        <v>5</v>
      </c>
      <c r="I21" s="1901">
        <f t="shared" si="1"/>
        <v>5</v>
      </c>
      <c r="J21" s="1901">
        <f t="shared" si="2"/>
        <v>0</v>
      </c>
    </row>
    <row r="22" spans="1:12" ht="12" customHeight="1" x14ac:dyDescent="0.2">
      <c r="A22" s="1886" t="s">
        <v>1611</v>
      </c>
      <c r="B22" s="1887"/>
      <c r="C22" s="1888" t="s">
        <v>2085</v>
      </c>
      <c r="D22" s="1888" t="s">
        <v>2085</v>
      </c>
      <c r="E22" s="1891"/>
      <c r="F22" s="1890"/>
      <c r="H22" s="1901">
        <f t="shared" si="0"/>
        <v>5</v>
      </c>
      <c r="I22" s="1901">
        <f t="shared" si="1"/>
        <v>5</v>
      </c>
      <c r="J22" s="1901">
        <f t="shared" si="2"/>
        <v>0</v>
      </c>
    </row>
    <row r="23" spans="1:12" ht="12" customHeight="1" x14ac:dyDescent="0.2">
      <c r="A23" s="1886" t="s">
        <v>1612</v>
      </c>
      <c r="B23" s="1887"/>
      <c r="C23" s="1888" t="s">
        <v>2085</v>
      </c>
      <c r="D23" s="1888" t="s">
        <v>2085</v>
      </c>
      <c r="E23" s="1891"/>
      <c r="F23" s="1890"/>
      <c r="H23" s="1901">
        <f t="shared" si="0"/>
        <v>5</v>
      </c>
      <c r="I23" s="1901">
        <f t="shared" si="1"/>
        <v>5</v>
      </c>
      <c r="J23" s="1901">
        <f t="shared" si="2"/>
        <v>0</v>
      </c>
    </row>
    <row r="24" spans="1:12" ht="12" customHeight="1" x14ac:dyDescent="0.2">
      <c r="A24" s="1886" t="s">
        <v>1613</v>
      </c>
      <c r="B24" s="1887"/>
      <c r="C24" s="1888" t="s">
        <v>2085</v>
      </c>
      <c r="D24" s="1888" t="s">
        <v>2085</v>
      </c>
      <c r="E24" s="1891"/>
      <c r="F24" s="1890"/>
      <c r="H24" s="1901">
        <f t="shared" si="0"/>
        <v>5</v>
      </c>
      <c r="I24" s="1901">
        <f t="shared" si="1"/>
        <v>5</v>
      </c>
      <c r="J24" s="1901">
        <f t="shared" si="2"/>
        <v>0</v>
      </c>
    </row>
    <row r="25" spans="1:12" ht="12" customHeight="1" x14ac:dyDescent="0.2">
      <c r="A25" s="1886" t="s">
        <v>1614</v>
      </c>
      <c r="B25" s="1887"/>
      <c r="C25" s="1888" t="s">
        <v>2085</v>
      </c>
      <c r="D25" s="1888" t="s">
        <v>2085</v>
      </c>
      <c r="E25" s="1891"/>
      <c r="F25" s="1890" t="s">
        <v>2105</v>
      </c>
      <c r="H25" s="1901">
        <f t="shared" si="0"/>
        <v>5</v>
      </c>
      <c r="I25" s="1901">
        <f t="shared" si="1"/>
        <v>5</v>
      </c>
      <c r="J25" s="1901">
        <f t="shared" si="2"/>
        <v>0</v>
      </c>
    </row>
    <row r="26" spans="1:12" ht="12" customHeight="1" x14ac:dyDescent="0.2">
      <c r="A26" s="1886" t="s">
        <v>1615</v>
      </c>
      <c r="B26" s="1887"/>
      <c r="C26" s="1888" t="s">
        <v>2085</v>
      </c>
      <c r="D26" s="1888" t="s">
        <v>2085</v>
      </c>
      <c r="E26" s="1891"/>
      <c r="F26" s="1890" t="s">
        <v>2106</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2085</v>
      </c>
      <c r="D29" s="1888" t="s">
        <v>2085</v>
      </c>
      <c r="E29" s="1891"/>
      <c r="F29" s="1890"/>
      <c r="H29" s="1901">
        <f t="shared" si="0"/>
        <v>5</v>
      </c>
      <c r="I29" s="1901">
        <f t="shared" si="1"/>
        <v>5</v>
      </c>
      <c r="J29" s="1901">
        <f t="shared" si="2"/>
        <v>0</v>
      </c>
    </row>
    <row r="30" spans="1:12" ht="12" customHeight="1" x14ac:dyDescent="0.2">
      <c r="A30" s="1886" t="s">
        <v>1619</v>
      </c>
      <c r="B30" s="1887"/>
      <c r="C30" s="1888" t="s">
        <v>2085</v>
      </c>
      <c r="D30" s="1888" t="s">
        <v>2085</v>
      </c>
      <c r="E30" s="1891"/>
      <c r="F30" s="1890"/>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75</v>
      </c>
      <c r="I34" s="1901">
        <f>SUM(I11:I32)</f>
        <v>75</v>
      </c>
      <c r="J34" s="1901">
        <f>SUM(J11:J32)</f>
        <v>0</v>
      </c>
      <c r="K34" s="1901">
        <f>SUM(H34:J34)</f>
        <v>150</v>
      </c>
    </row>
    <row r="35" spans="1:11" ht="12" customHeight="1" x14ac:dyDescent="0.2">
      <c r="A35" s="1894" t="s">
        <v>1459</v>
      </c>
      <c r="B35" s="1895"/>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6"/>
      <c r="B39" s="1896"/>
      <c r="C39" s="1896"/>
      <c r="D39" s="1896"/>
      <c r="E39" s="1896"/>
      <c r="F39" s="1896"/>
    </row>
    <row r="40" spans="1:11" s="1893" customFormat="1" ht="12" customHeight="1" x14ac:dyDescent="0.25">
      <c r="A40" s="1897" t="s">
        <v>1458</v>
      </c>
      <c r="B40" s="1898"/>
      <c r="C40" s="2317"/>
      <c r="D40" s="2317"/>
      <c r="E40" s="2317"/>
      <c r="F40" s="2318"/>
      <c r="H40" s="1902"/>
      <c r="I40" s="1902"/>
      <c r="J40" s="1902"/>
      <c r="K40" s="1902"/>
    </row>
    <row r="41" spans="1:11" s="1893" customFormat="1" ht="12" customHeight="1" x14ac:dyDescent="0.25">
      <c r="A41" s="2319"/>
      <c r="B41" s="2320"/>
      <c r="C41" s="2320"/>
      <c r="D41" s="2320"/>
      <c r="E41" s="2320"/>
      <c r="F41" s="2321"/>
      <c r="H41" s="1902"/>
      <c r="I41" s="1902"/>
      <c r="J41" s="1902"/>
      <c r="K41" s="1902"/>
    </row>
    <row r="42" spans="1:11" s="1893" customFormat="1" ht="12" customHeight="1" x14ac:dyDescent="0.25">
      <c r="A42" s="2319"/>
      <c r="B42" s="2320"/>
      <c r="C42" s="2320"/>
      <c r="D42" s="2320"/>
      <c r="E42" s="2320"/>
      <c r="F42" s="2321"/>
      <c r="H42" s="1902"/>
      <c r="I42" s="1902"/>
      <c r="J42" s="1902"/>
      <c r="K42" s="1902"/>
    </row>
    <row r="43" spans="1:11" s="1893" customFormat="1" ht="15" x14ac:dyDescent="0.25">
      <c r="A43" s="2308"/>
      <c r="B43" s="2309"/>
      <c r="C43" s="2309"/>
      <c r="D43" s="2309"/>
      <c r="E43" s="2309"/>
      <c r="F43" s="2310"/>
      <c r="H43" s="1902"/>
      <c r="I43" s="1902"/>
      <c r="J43" s="1902"/>
      <c r="K43" s="1902"/>
    </row>
    <row r="44" spans="1:11" s="1893" customFormat="1" ht="12" hidden="1" customHeight="1" x14ac:dyDescent="0.25">
      <c r="A44" s="2308"/>
      <c r="B44" s="2309"/>
      <c r="C44" s="2309"/>
      <c r="D44" s="2309"/>
      <c r="E44" s="2309"/>
      <c r="F44" s="231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District 50 Schools</v>
      </c>
      <c r="J6" s="2336"/>
      <c r="Q6" s="1684"/>
    </row>
    <row r="7" spans="1:17" x14ac:dyDescent="0.2">
      <c r="A7" s="2337" t="s">
        <v>924</v>
      </c>
      <c r="B7" s="2338"/>
      <c r="C7" s="2338"/>
      <c r="D7" s="2338"/>
      <c r="E7" s="2339"/>
      <c r="F7" s="1016"/>
      <c r="G7" s="1008"/>
      <c r="H7" s="1015" t="s">
        <v>390</v>
      </c>
      <c r="I7" s="2340">
        <f>COVER!A13</f>
        <v>53090050002</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186609</v>
      </c>
      <c r="F12" s="1038"/>
      <c r="G12" s="1832">
        <f t="shared" ref="G12:G18" si="0">SUM(E12:F12)</f>
        <v>186609</v>
      </c>
      <c r="H12" s="1039">
        <v>192600</v>
      </c>
      <c r="I12" s="1038"/>
      <c r="J12" s="1832">
        <f t="shared" ref="J12:J18" si="1">SUM(H12:I12)</f>
        <v>192600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186609</v>
      </c>
      <c r="F19" s="1834">
        <f t="shared" si="2"/>
        <v>0</v>
      </c>
      <c r="G19" s="1834">
        <f t="shared" si="2"/>
        <v>186609</v>
      </c>
      <c r="H19" s="1834">
        <f t="shared" si="2"/>
        <v>192600</v>
      </c>
      <c r="I19" s="1834">
        <f t="shared" si="2"/>
        <v>0</v>
      </c>
      <c r="J19" s="1834">
        <f t="shared" si="2"/>
        <v>192600</v>
      </c>
    </row>
    <row r="20" spans="1:10" ht="13.5" thickTop="1" x14ac:dyDescent="0.2">
      <c r="A20" s="1034">
        <v>9</v>
      </c>
      <c r="B20" s="2347" t="s">
        <v>1703</v>
      </c>
      <c r="C20" s="2347"/>
      <c r="D20" s="2348"/>
      <c r="E20" s="1045"/>
      <c r="F20" s="1045"/>
      <c r="G20" s="1045"/>
      <c r="H20" s="1045"/>
      <c r="I20" s="1045"/>
      <c r="J20" s="1835">
        <f>IF(AND(G19&gt;0,J19&gt;0),(((J19-G19)/G19)),"Enter Budget Data")</f>
        <v>3.210456087326978E-2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73.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2122</v>
      </c>
    </row>
    <row r="6" spans="1:2" x14ac:dyDescent="0.2">
      <c r="A6" s="1067">
        <v>2</v>
      </c>
      <c r="B6" s="329" t="s">
        <v>2123</v>
      </c>
    </row>
    <row r="7" spans="1:2" x14ac:dyDescent="0.2">
      <c r="A7" s="1067">
        <v>3</v>
      </c>
      <c r="B7" s="329" t="s">
        <v>2124</v>
      </c>
    </row>
    <row r="8" spans="1:2" x14ac:dyDescent="0.2">
      <c r="A8" s="1067">
        <v>4</v>
      </c>
      <c r="B8" s="329" t="s">
        <v>2125</v>
      </c>
    </row>
    <row r="9" spans="1:2" x14ac:dyDescent="0.2">
      <c r="A9" s="1067">
        <v>5</v>
      </c>
      <c r="B9" s="329" t="s">
        <v>2126</v>
      </c>
    </row>
    <row r="10" spans="1:2" x14ac:dyDescent="0.2">
      <c r="A10" s="1067">
        <v>6</v>
      </c>
      <c r="B10" s="329" t="s">
        <v>2127</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District 50 Schools</v>
      </c>
    </row>
    <row r="52" spans="1:2" x14ac:dyDescent="0.2">
      <c r="A52" s="1068"/>
      <c r="B52" s="329">
        <f>COVER!A13</f>
        <v>53090050002</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2055</v>
      </c>
      <c r="B4" s="2375"/>
      <c r="C4" s="2375"/>
      <c r="D4" s="2375"/>
      <c r="E4" s="2375"/>
      <c r="F4" s="2376"/>
      <c r="G4" s="1073"/>
      <c r="H4" s="1073"/>
    </row>
    <row r="5" spans="1:8" ht="14.25" customHeight="1" x14ac:dyDescent="0.2">
      <c r="A5" s="2377" t="s">
        <v>2056</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6692047</v>
      </c>
      <c r="C8" s="1836">
        <f>'Acct Summary 7-8'!D8</f>
        <v>252017</v>
      </c>
      <c r="D8" s="1836">
        <f>'Acct Summary 7-8'!F8</f>
        <v>577972</v>
      </c>
      <c r="E8" s="1836">
        <f>'Acct Summary 7-8'!I8</f>
        <v>22992</v>
      </c>
      <c r="F8" s="1836">
        <f>SUM(B8:E8)</f>
        <v>7545028</v>
      </c>
    </row>
    <row r="9" spans="1:8" s="1078" customFormat="1" ht="14.25" customHeight="1" thickBot="1" x14ac:dyDescent="0.25">
      <c r="A9" s="1077" t="s">
        <v>1436</v>
      </c>
      <c r="B9" s="1837">
        <f>'Acct Summary 7-8'!C17</f>
        <v>6141685</v>
      </c>
      <c r="C9" s="1837">
        <f>'Acct Summary 7-8'!D17</f>
        <v>271304</v>
      </c>
      <c r="D9" s="1837">
        <f>'Acct Summary 7-8'!F17</f>
        <v>590220</v>
      </c>
      <c r="E9" s="1836"/>
      <c r="F9" s="1836">
        <f>SUM(B9:E9)</f>
        <v>7003209</v>
      </c>
    </row>
    <row r="10" spans="1:8" s="1078" customFormat="1" ht="14.25" thickTop="1" thickBot="1" x14ac:dyDescent="0.25">
      <c r="A10" s="1079" t="s">
        <v>1437</v>
      </c>
      <c r="B10" s="1838">
        <f>(B8-B9)</f>
        <v>550362</v>
      </c>
      <c r="C10" s="1838">
        <f>(C8-C9)</f>
        <v>-19287</v>
      </c>
      <c r="D10" s="1838">
        <f>(D8-D9)</f>
        <v>-12248</v>
      </c>
      <c r="E10" s="1837">
        <f>(E8-E9)</f>
        <v>22992</v>
      </c>
      <c r="F10" s="1839">
        <f>SUM(F8-F9)</f>
        <v>541819</v>
      </c>
    </row>
    <row r="11" spans="1:8" s="1078" customFormat="1" ht="14.25" thickTop="1" thickBot="1" x14ac:dyDescent="0.25">
      <c r="A11" s="1080" t="s">
        <v>1785</v>
      </c>
      <c r="B11" s="1840">
        <f>'Acct Summary 7-8'!C81</f>
        <v>3652871</v>
      </c>
      <c r="C11" s="1840">
        <f>'Acct Summary 7-8'!D81</f>
        <v>327581</v>
      </c>
      <c r="D11" s="1840">
        <f>'Acct Summary 7-8'!F81</f>
        <v>112858</v>
      </c>
      <c r="E11" s="1840">
        <f>'Acct Summary 7-8'!I81</f>
        <v>1096244</v>
      </c>
      <c r="F11" s="1841">
        <f>SUM(B11:E11)</f>
        <v>5189554</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53090050002</v>
      </c>
    </row>
    <row r="3" spans="1:2" x14ac:dyDescent="0.2">
      <c r="A3" t="s">
        <v>1013</v>
      </c>
      <c r="B3" s="138" t="str">
        <f>COVER!A15</f>
        <v>Tazewell</v>
      </c>
    </row>
    <row r="4" spans="1:2" x14ac:dyDescent="0.2">
      <c r="A4" t="s">
        <v>1064</v>
      </c>
      <c r="B4" s="138" t="str">
        <f>COVER!A17</f>
        <v>District 50 Schools</v>
      </c>
    </row>
    <row r="5" spans="1:2" x14ac:dyDescent="0.2">
      <c r="A5" t="s">
        <v>728</v>
      </c>
      <c r="B5" s="138" t="str">
        <f>COVER!A38</f>
        <v>Dr. Chad Allaman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3508373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3652871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3652871</v>
      </c>
      <c r="D92" s="2" t="str">
        <f t="shared" si="0"/>
        <v>Error?</v>
      </c>
    </row>
    <row r="93" spans="1:4" x14ac:dyDescent="0.2">
      <c r="A93" s="5">
        <v>32</v>
      </c>
      <c r="B93" s="138">
        <f>'Assets-Liab 5-6'!C41</f>
        <v>3652871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300305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327581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327581</v>
      </c>
      <c r="D123" s="2" t="str">
        <f t="shared" si="0"/>
        <v>Error?</v>
      </c>
    </row>
    <row r="124" spans="1:4" x14ac:dyDescent="0.2">
      <c r="A124" s="5">
        <v>63</v>
      </c>
      <c r="B124" s="138">
        <f>'Assets-Liab 5-6'!D41</f>
        <v>327581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16556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16556</v>
      </c>
      <c r="D140" s="2" t="str">
        <f t="shared" si="1"/>
        <v>Error?</v>
      </c>
    </row>
    <row r="141" spans="1:4" x14ac:dyDescent="0.2">
      <c r="A141" s="5">
        <v>80</v>
      </c>
      <c r="B141" s="138">
        <f>'Assets-Liab 5-6'!E41</f>
        <v>16556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1761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112858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112858</v>
      </c>
      <c r="D170" s="2" t="str">
        <f t="shared" si="1"/>
        <v>Error?</v>
      </c>
    </row>
    <row r="171" spans="1:4" x14ac:dyDescent="0.2">
      <c r="A171" s="5">
        <v>110</v>
      </c>
      <c r="B171" s="138">
        <f>'Assets-Liab 5-6'!F41</f>
        <v>112858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107273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162822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136563</v>
      </c>
      <c r="D189" s="2" t="str">
        <f t="shared" si="1"/>
        <v>Error?</v>
      </c>
    </row>
    <row r="190" spans="1:4" x14ac:dyDescent="0.2">
      <c r="A190" s="5">
        <v>129</v>
      </c>
      <c r="B190" s="138">
        <f>'Assets-Liab 5-6'!G41</f>
        <v>162822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2114665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2216487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2216487</v>
      </c>
      <c r="D212" s="2" t="str">
        <f t="shared" si="2"/>
        <v>Error?</v>
      </c>
    </row>
    <row r="213" spans="1:4" x14ac:dyDescent="0.2">
      <c r="A213" s="12">
        <v>152</v>
      </c>
      <c r="B213" s="138">
        <f>'Assets-Liab 5-6'!H41</f>
        <v>2216487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27328</v>
      </c>
      <c r="D273" s="2" t="str">
        <f t="shared" si="3"/>
        <v>Error?</v>
      </c>
    </row>
    <row r="274" spans="1:4" x14ac:dyDescent="0.2">
      <c r="A274" s="5">
        <v>213</v>
      </c>
      <c r="B274" s="138">
        <f>'Assets-Liab 5-6'!M17</f>
        <v>10575288</v>
      </c>
      <c r="D274" s="2" t="str">
        <f t="shared" si="3"/>
        <v>Error?</v>
      </c>
    </row>
    <row r="275" spans="1:4" x14ac:dyDescent="0.2">
      <c r="A275" s="5">
        <v>214</v>
      </c>
      <c r="B275" s="138">
        <f>'Assets-Liab 5-6'!M18</f>
        <v>1097857</v>
      </c>
      <c r="D275" s="2" t="str">
        <f t="shared" si="3"/>
        <v>Error?</v>
      </c>
    </row>
    <row r="276" spans="1:4" x14ac:dyDescent="0.2">
      <c r="A276" s="5">
        <v>215</v>
      </c>
      <c r="B276" s="138">
        <f>'Assets-Liab 5-6'!M19</f>
        <v>1633311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13390853</v>
      </c>
      <c r="C279" s="2" t="s">
        <v>594</v>
      </c>
      <c r="D279" s="2" t="str">
        <f t="shared" si="3"/>
        <v>Error?</v>
      </c>
    </row>
    <row r="280" spans="1:4" x14ac:dyDescent="0.2">
      <c r="A280" s="5">
        <v>219</v>
      </c>
      <c r="B280" s="138">
        <f>'Assets-Liab 5-6'!M40</f>
        <v>13390853</v>
      </c>
      <c r="D280" s="2" t="str">
        <f t="shared" si="3"/>
        <v>Error?</v>
      </c>
    </row>
    <row r="281" spans="1:4" x14ac:dyDescent="0.2">
      <c r="A281" s="5">
        <v>220</v>
      </c>
      <c r="B281" s="138">
        <f>'Assets-Liab 5-6'!M41</f>
        <v>13390853</v>
      </c>
      <c r="C281" s="2" t="s">
        <v>594</v>
      </c>
      <c r="D281" s="2" t="str">
        <f t="shared" si="3"/>
        <v>Error?</v>
      </c>
    </row>
    <row r="282" spans="1:4" x14ac:dyDescent="0.2">
      <c r="A282" s="5">
        <v>221</v>
      </c>
      <c r="B282" s="138">
        <f>'Assets-Liab 5-6'!N21</f>
        <v>16556</v>
      </c>
      <c r="D282" s="2" t="str">
        <f t="shared" si="3"/>
        <v>Error?</v>
      </c>
    </row>
    <row r="283" spans="1:4" x14ac:dyDescent="0.2">
      <c r="A283" s="5">
        <v>222</v>
      </c>
      <c r="B283" s="138">
        <f>'Assets-Liab 5-6'!N22</f>
        <v>4709671</v>
      </c>
      <c r="D283" s="2" t="str">
        <f t="shared" si="3"/>
        <v>Error?</v>
      </c>
    </row>
    <row r="284" spans="1:4" x14ac:dyDescent="0.2">
      <c r="A284" s="5">
        <v>223</v>
      </c>
      <c r="B284" s="138">
        <f>'Assets-Liab 5-6'!N23</f>
        <v>4726227</v>
      </c>
      <c r="C284" s="2" t="s">
        <v>594</v>
      </c>
      <c r="D284" s="2" t="str">
        <f t="shared" si="3"/>
        <v>Error?</v>
      </c>
    </row>
    <row r="285" spans="1:4" x14ac:dyDescent="0.2">
      <c r="A285" s="5">
        <v>224</v>
      </c>
      <c r="B285" s="138">
        <f>'Assets-Liab 5-6'!N36</f>
        <v>4726227</v>
      </c>
      <c r="D285" s="2" t="str">
        <f t="shared" si="3"/>
        <v>Error?</v>
      </c>
    </row>
    <row r="286" spans="1:4" x14ac:dyDescent="0.2">
      <c r="A286" s="10">
        <v>225</v>
      </c>
      <c r="D286" s="2" t="str">
        <f t="shared" si="3"/>
        <v>OK</v>
      </c>
    </row>
    <row r="287" spans="1:4" x14ac:dyDescent="0.2">
      <c r="A287" s="5">
        <v>226</v>
      </c>
      <c r="B287" s="138">
        <f>'Assets-Liab 5-6'!N37</f>
        <v>4726227</v>
      </c>
      <c r="C287" s="2" t="s">
        <v>594</v>
      </c>
      <c r="D287" s="2" t="str">
        <f t="shared" si="3"/>
        <v>Error?</v>
      </c>
    </row>
    <row r="288" spans="1:4" x14ac:dyDescent="0.2">
      <c r="A288" s="5">
        <v>227</v>
      </c>
      <c r="B288" s="138">
        <f>'Assets-Liab 5-6'!N41</f>
        <v>4726227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1719148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53300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2521868</v>
      </c>
      <c r="C720" s="2" t="s">
        <v>594</v>
      </c>
      <c r="D720" s="2" t="str">
        <f t="shared" si="10"/>
        <v>Error?</v>
      </c>
    </row>
    <row r="721" spans="1:4" x14ac:dyDescent="0.2">
      <c r="A721" s="5">
        <v>660</v>
      </c>
      <c r="B721" s="138">
        <f>'Expenditures 15-22'!C36</f>
        <v>33613</v>
      </c>
      <c r="D721" s="2" t="str">
        <f t="shared" si="10"/>
        <v>Error?</v>
      </c>
    </row>
    <row r="722" spans="1:4" x14ac:dyDescent="0.2">
      <c r="A722" s="5">
        <v>661</v>
      </c>
      <c r="B722" s="138">
        <f>'Expenditures 15-22'!C37</f>
        <v>37144</v>
      </c>
      <c r="D722" s="2" t="str">
        <f t="shared" si="10"/>
        <v>Error?</v>
      </c>
    </row>
    <row r="723" spans="1:4" x14ac:dyDescent="0.2">
      <c r="A723" s="5">
        <v>662</v>
      </c>
      <c r="B723" s="138">
        <f>'Expenditures 15-22'!C38</f>
        <v>47769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135867</v>
      </c>
      <c r="D725" s="2" t="str">
        <f t="shared" si="10"/>
        <v>Error?</v>
      </c>
    </row>
    <row r="726" spans="1:4" x14ac:dyDescent="0.2">
      <c r="A726" s="5">
        <v>665</v>
      </c>
      <c r="B726" s="138">
        <f>'Expenditures 15-22'!C41</f>
        <v>17020</v>
      </c>
      <c r="D726" s="2" t="str">
        <f t="shared" si="10"/>
        <v>Error?</v>
      </c>
    </row>
    <row r="727" spans="1:4" x14ac:dyDescent="0.2">
      <c r="A727" s="5">
        <v>666</v>
      </c>
      <c r="B727" s="138">
        <f>'Expenditures 15-22'!C42</f>
        <v>271413</v>
      </c>
      <c r="C727" s="2" t="s">
        <v>594</v>
      </c>
      <c r="D727" s="2" t="str">
        <f t="shared" si="10"/>
        <v>Error?</v>
      </c>
    </row>
    <row r="728" spans="1:4" x14ac:dyDescent="0.2">
      <c r="A728" s="5">
        <v>667</v>
      </c>
      <c r="B728" s="138">
        <f>'Expenditures 15-22'!C44</f>
        <v>53738</v>
      </c>
      <c r="D728" s="2" t="str">
        <f t="shared" si="10"/>
        <v>Error?</v>
      </c>
    </row>
    <row r="729" spans="1:4" x14ac:dyDescent="0.2">
      <c r="A729" s="5">
        <v>668</v>
      </c>
      <c r="B729" s="138">
        <f>'Expenditures 15-22'!C45</f>
        <v>137384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191122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140080</v>
      </c>
      <c r="D733" s="2" t="str">
        <f t="shared" si="10"/>
        <v>Error?</v>
      </c>
    </row>
    <row r="734" spans="1:4" x14ac:dyDescent="0.2">
      <c r="A734" s="5">
        <v>673</v>
      </c>
      <c r="B734" s="138">
        <f>'Expenditures 15-22'!C53</f>
        <v>140080</v>
      </c>
      <c r="C734" s="2" t="s">
        <v>594</v>
      </c>
      <c r="D734" s="2" t="str">
        <f t="shared" si="10"/>
        <v>Error?</v>
      </c>
    </row>
    <row r="735" spans="1:4" x14ac:dyDescent="0.2">
      <c r="A735" s="5">
        <v>674</v>
      </c>
      <c r="B735" s="138">
        <f>'Expenditures 15-22'!C55</f>
        <v>253350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253350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67746</v>
      </c>
      <c r="D739" s="2" t="str">
        <f t="shared" si="10"/>
        <v>Error?</v>
      </c>
    </row>
    <row r="740" spans="1:4" x14ac:dyDescent="0.2">
      <c r="A740" s="5">
        <v>679</v>
      </c>
      <c r="B740" s="138">
        <f>'Expenditures 15-22'!C61</f>
        <v>140202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169773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377721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1233686</v>
      </c>
      <c r="C755" s="2" t="s">
        <v>594</v>
      </c>
      <c r="D755" s="2" t="str">
        <f t="shared" si="10"/>
        <v>Error?</v>
      </c>
    </row>
    <row r="756" spans="1:4" x14ac:dyDescent="0.2">
      <c r="A756" s="5">
        <v>695</v>
      </c>
      <c r="B756" s="138">
        <f>'Expenditures 15-22'!C75</f>
        <v>51541</v>
      </c>
      <c r="D756" s="2" t="str">
        <f t="shared" si="10"/>
        <v>Error?</v>
      </c>
    </row>
    <row r="757" spans="1:4" x14ac:dyDescent="0.2">
      <c r="A757" s="5">
        <v>696</v>
      </c>
      <c r="B757" s="138">
        <f>'Expenditures 15-22'!C114</f>
        <v>3807095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610480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826416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11285</v>
      </c>
      <c r="D780" s="2" t="str">
        <f t="shared" si="11"/>
        <v>Error?</v>
      </c>
    </row>
    <row r="781" spans="1:4" x14ac:dyDescent="0.2">
      <c r="A781" s="5">
        <v>720</v>
      </c>
      <c r="B781" s="138">
        <f>'Expenditures 15-22'!D38</f>
        <v>123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15086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26494</v>
      </c>
      <c r="C785" s="2" t="s">
        <v>594</v>
      </c>
      <c r="D785" s="2" t="str">
        <f t="shared" si="11"/>
        <v>Error?</v>
      </c>
    </row>
    <row r="786" spans="1:4" x14ac:dyDescent="0.2">
      <c r="A786" s="5">
        <v>725</v>
      </c>
      <c r="B786" s="138">
        <f>'Expenditures 15-22'!D44</f>
        <v>41619</v>
      </c>
      <c r="D786" s="2" t="str">
        <f t="shared" si="11"/>
        <v>Error?</v>
      </c>
    </row>
    <row r="787" spans="1:4" x14ac:dyDescent="0.2">
      <c r="A787" s="5">
        <v>726</v>
      </c>
      <c r="B787" s="138">
        <f>'Expenditures 15-22'!D45</f>
        <v>19677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61296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37507</v>
      </c>
      <c r="D791" s="2" t="str">
        <f t="shared" si="11"/>
        <v>Error?</v>
      </c>
    </row>
    <row r="792" spans="1:4" x14ac:dyDescent="0.2">
      <c r="A792" s="5">
        <v>731</v>
      </c>
      <c r="B792" s="138">
        <f>'Expenditures 15-22'!D53</f>
        <v>37507</v>
      </c>
      <c r="C792" s="2" t="s">
        <v>594</v>
      </c>
      <c r="D792" s="2" t="str">
        <f t="shared" si="11"/>
        <v>Error?</v>
      </c>
    </row>
    <row r="793" spans="1:4" x14ac:dyDescent="0.2">
      <c r="A793" s="5">
        <v>732</v>
      </c>
      <c r="B793" s="138">
        <f>'Expenditures 15-22'!D55</f>
        <v>66090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66090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13483</v>
      </c>
      <c r="D797" s="2" t="str">
        <f t="shared" si="11"/>
        <v>Error?</v>
      </c>
    </row>
    <row r="798" spans="1:4" x14ac:dyDescent="0.2">
      <c r="A798" s="5">
        <v>737</v>
      </c>
      <c r="B798" s="138">
        <f>'Expenditures 15-22'!D61</f>
        <v>46912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25046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85441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276828</v>
      </c>
      <c r="C813" s="2" t="s">
        <v>594</v>
      </c>
      <c r="D813" s="2" t="str">
        <f t="shared" si="11"/>
        <v>Error?</v>
      </c>
    </row>
    <row r="814" spans="1:4" x14ac:dyDescent="0.2">
      <c r="A814" s="5">
        <v>753</v>
      </c>
      <c r="B814" s="138">
        <f>'Expenditures 15-22'!D75</f>
        <v>76</v>
      </c>
      <c r="D814" s="2" t="str">
        <f t="shared" si="11"/>
        <v>Error?</v>
      </c>
    </row>
    <row r="815" spans="1:4" x14ac:dyDescent="0.2">
      <c r="A815" s="5">
        <v>754</v>
      </c>
      <c r="B815" s="138">
        <f>'Expenditures 15-22'!D114</f>
        <v>1103320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14791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26468</v>
      </c>
      <c r="C836" s="2" t="s">
        <v>594</v>
      </c>
      <c r="D836" s="2" t="str">
        <f t="shared" si="12"/>
        <v>Error?</v>
      </c>
    </row>
    <row r="837" spans="1:4" x14ac:dyDescent="0.2">
      <c r="A837" s="5">
        <v>776</v>
      </c>
      <c r="B837" s="138">
        <f>'Expenditures 15-22'!E36</f>
        <v>2449</v>
      </c>
      <c r="D837" s="2" t="str">
        <f t="shared" si="12"/>
        <v>Error?</v>
      </c>
    </row>
    <row r="838" spans="1:4" x14ac:dyDescent="0.2">
      <c r="A838" s="5">
        <v>777</v>
      </c>
      <c r="B838" s="138">
        <f>'Expenditures 15-22'!E37</f>
        <v>34521</v>
      </c>
      <c r="D838" s="2" t="str">
        <f t="shared" si="12"/>
        <v>Error?</v>
      </c>
    </row>
    <row r="839" spans="1:4" x14ac:dyDescent="0.2">
      <c r="A839" s="5">
        <v>778</v>
      </c>
      <c r="B839" s="138">
        <f>'Expenditures 15-22'!E38</f>
        <v>5276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42246</v>
      </c>
      <c r="C843" s="2" t="s">
        <v>594</v>
      </c>
      <c r="D843" s="2" t="str">
        <f t="shared" si="12"/>
        <v>Error?</v>
      </c>
    </row>
    <row r="844" spans="1:4" x14ac:dyDescent="0.2">
      <c r="A844" s="5">
        <v>783</v>
      </c>
      <c r="B844" s="138">
        <f>'Expenditures 15-22'!E44</f>
        <v>38563</v>
      </c>
      <c r="D844" s="2" t="str">
        <f t="shared" si="12"/>
        <v>Error?</v>
      </c>
    </row>
    <row r="845" spans="1:4" x14ac:dyDescent="0.2">
      <c r="A845" s="5">
        <v>784</v>
      </c>
      <c r="B845" s="138">
        <f>'Expenditures 15-22'!E45</f>
        <v>160183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198746</v>
      </c>
      <c r="C847" s="2" t="s">
        <v>594</v>
      </c>
      <c r="D847" s="2" t="str">
        <f t="shared" si="12"/>
        <v>Error?</v>
      </c>
    </row>
    <row r="848" spans="1:4" x14ac:dyDescent="0.2">
      <c r="A848" s="5">
        <v>787</v>
      </c>
      <c r="B848" s="138">
        <f>'Expenditures 15-22'!E49</f>
        <v>102468</v>
      </c>
      <c r="D848" s="2" t="str">
        <f t="shared" si="12"/>
        <v>Error?</v>
      </c>
    </row>
    <row r="849" spans="1:4" x14ac:dyDescent="0.2">
      <c r="A849" s="5">
        <v>788</v>
      </c>
      <c r="B849" s="138">
        <f>'Expenditures 15-22'!E50</f>
        <v>3600</v>
      </c>
      <c r="D849" s="2" t="str">
        <f t="shared" si="12"/>
        <v>Error?</v>
      </c>
    </row>
    <row r="850" spans="1:4" x14ac:dyDescent="0.2">
      <c r="A850" s="5">
        <v>789</v>
      </c>
      <c r="B850" s="138">
        <f>'Expenditures 15-22'!E53</f>
        <v>106068</v>
      </c>
      <c r="C850" s="2" t="s">
        <v>594</v>
      </c>
      <c r="D850" s="2" t="str">
        <f t="shared" si="12"/>
        <v>Error?</v>
      </c>
    </row>
    <row r="851" spans="1:4" x14ac:dyDescent="0.2">
      <c r="A851" s="5">
        <v>790</v>
      </c>
      <c r="B851" s="138">
        <f>'Expenditures 15-22'!E55</f>
        <v>10029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10029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v>
      </c>
      <c r="D855" s="2" t="str">
        <f t="shared" si="12"/>
        <v>Error?</v>
      </c>
    </row>
    <row r="856" spans="1:4" x14ac:dyDescent="0.2">
      <c r="A856" s="5">
        <v>795</v>
      </c>
      <c r="B856" s="138">
        <f>'Expenditures 15-22'!E61</f>
        <v>600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12589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13234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370323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576070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45804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3282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57591</v>
      </c>
      <c r="C894" s="2" t="s">
        <v>594</v>
      </c>
      <c r="D894" s="2" t="str">
        <f t="shared" si="12"/>
        <v>Error?</v>
      </c>
    </row>
    <row r="895" spans="1:4" x14ac:dyDescent="0.2">
      <c r="A895" s="5">
        <v>834</v>
      </c>
      <c r="B895" s="138">
        <f>'Expenditures 15-22'!F36</f>
        <v>1884</v>
      </c>
      <c r="D895" s="2" t="str">
        <f t="shared" ref="D895:D958" si="13">IF(ISBLANK(B895),"OK",IF(A895-B895=0,"OK","Error?"))</f>
        <v>Error?</v>
      </c>
    </row>
    <row r="896" spans="1:4" x14ac:dyDescent="0.2">
      <c r="A896" s="5">
        <v>835</v>
      </c>
      <c r="B896" s="138">
        <f>'Expenditures 15-22'!F37</f>
        <v>1395</v>
      </c>
      <c r="D896" s="2" t="str">
        <f t="shared" si="13"/>
        <v>Error?</v>
      </c>
    </row>
    <row r="897" spans="1:4" x14ac:dyDescent="0.2">
      <c r="A897" s="5">
        <v>836</v>
      </c>
      <c r="B897" s="138">
        <f>'Expenditures 15-22'!F38</f>
        <v>1962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2421</v>
      </c>
      <c r="D899" s="2" t="str">
        <f t="shared" si="13"/>
        <v>Error?</v>
      </c>
    </row>
    <row r="900" spans="1:4" x14ac:dyDescent="0.2">
      <c r="A900" s="5">
        <v>839</v>
      </c>
      <c r="B900" s="138">
        <f>'Expenditures 15-22'!F41</f>
        <v>364</v>
      </c>
      <c r="D900" s="2" t="str">
        <f t="shared" si="13"/>
        <v>Error?</v>
      </c>
    </row>
    <row r="901" spans="1:4" x14ac:dyDescent="0.2">
      <c r="A901" s="5">
        <v>840</v>
      </c>
      <c r="B901" s="138">
        <f>'Expenditures 15-22'!F42</f>
        <v>8026</v>
      </c>
      <c r="C901" s="2" t="s">
        <v>594</v>
      </c>
      <c r="D901" s="2" t="str">
        <f t="shared" si="13"/>
        <v>Error?</v>
      </c>
    </row>
    <row r="902" spans="1:4" x14ac:dyDescent="0.2">
      <c r="A902" s="5">
        <v>841</v>
      </c>
      <c r="B902" s="138">
        <f>'Expenditures 15-22'!F44</f>
        <v>5151</v>
      </c>
      <c r="D902" s="2" t="str">
        <f t="shared" si="13"/>
        <v>Error?</v>
      </c>
    </row>
    <row r="903" spans="1:4" x14ac:dyDescent="0.2">
      <c r="A903" s="5">
        <v>842</v>
      </c>
      <c r="B903" s="138">
        <f>'Expenditures 15-22'!F45</f>
        <v>14008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19159</v>
      </c>
      <c r="C905" s="2" t="s">
        <v>594</v>
      </c>
      <c r="D905" s="2" t="str">
        <f t="shared" si="13"/>
        <v>Error?</v>
      </c>
    </row>
    <row r="906" spans="1:4" x14ac:dyDescent="0.2">
      <c r="A906" s="5">
        <v>845</v>
      </c>
      <c r="B906" s="138">
        <f>'Expenditures 15-22'!F49</f>
        <v>23101</v>
      </c>
      <c r="D906" s="2" t="str">
        <f t="shared" si="13"/>
        <v>Error?</v>
      </c>
    </row>
    <row r="907" spans="1:4" x14ac:dyDescent="0.2">
      <c r="A907" s="5">
        <v>846</v>
      </c>
      <c r="B907" s="138">
        <f>'Expenditures 15-22'!F50</f>
        <v>2979</v>
      </c>
      <c r="D907" s="2" t="str">
        <f t="shared" si="13"/>
        <v>Error?</v>
      </c>
    </row>
    <row r="908" spans="1:4" x14ac:dyDescent="0.2">
      <c r="A908" s="5">
        <v>847</v>
      </c>
      <c r="B908" s="138">
        <f>'Expenditures 15-22'!F53</f>
        <v>26080</v>
      </c>
      <c r="C908" s="2" t="s">
        <v>594</v>
      </c>
      <c r="D908" s="2" t="str">
        <f t="shared" si="13"/>
        <v>Error?</v>
      </c>
    </row>
    <row r="909" spans="1:4" x14ac:dyDescent="0.2">
      <c r="A909" s="5">
        <v>848</v>
      </c>
      <c r="B909" s="138">
        <f>'Expenditures 15-22'!F55</f>
        <v>8205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8205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116887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118140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110</v>
      </c>
      <c r="D928" s="2" t="str">
        <f t="shared" si="13"/>
        <v>Error?</v>
      </c>
    </row>
    <row r="929" spans="1:4" x14ac:dyDescent="0.2">
      <c r="A929" s="5">
        <v>868</v>
      </c>
      <c r="B929" s="138">
        <f>'Expenditures 15-22'!F74</f>
        <v>179720</v>
      </c>
      <c r="C929" s="2" t="s">
        <v>594</v>
      </c>
      <c r="D929" s="2" t="str">
        <f t="shared" si="13"/>
        <v>Error?</v>
      </c>
    </row>
    <row r="930" spans="1:4" x14ac:dyDescent="0.2">
      <c r="A930" s="5">
        <v>869</v>
      </c>
      <c r="B930" s="138">
        <f>'Expenditures 15-22'!F75</f>
        <v>3481</v>
      </c>
      <c r="D930" s="2" t="str">
        <f t="shared" si="13"/>
        <v>Error?</v>
      </c>
    </row>
    <row r="931" spans="1:4" x14ac:dyDescent="0.2">
      <c r="A931" s="5">
        <v>870</v>
      </c>
      <c r="B931" s="138">
        <f>'Expenditures 15-22'!F114</f>
        <v>240792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54026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54026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539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54565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54565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241118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22255</v>
      </c>
      <c r="D1022" s="2" t="str">
        <f t="shared" si="14"/>
        <v>Error?</v>
      </c>
    </row>
    <row r="1023" spans="1:4" x14ac:dyDescent="0.2">
      <c r="A1023" s="5">
        <v>962</v>
      </c>
      <c r="B1023" s="138">
        <f>'Expenditures 15-22'!H50</f>
        <v>2443</v>
      </c>
      <c r="D1023" s="2" t="str">
        <f t="shared" ref="D1023:D1086" si="15">IF(ISBLANK(B1023),"OK",IF(A1023-B1023=0,"OK","Error?"))</f>
        <v>Error?</v>
      </c>
    </row>
    <row r="1024" spans="1:4" x14ac:dyDescent="0.2">
      <c r="A1024" s="5">
        <v>963</v>
      </c>
      <c r="B1024" s="138">
        <f>'Expenditures 15-22'!H53</f>
        <v>24698</v>
      </c>
      <c r="C1024" s="2" t="s">
        <v>594</v>
      </c>
      <c r="D1024" s="2" t="str">
        <f t="shared" si="15"/>
        <v>Error?</v>
      </c>
    </row>
    <row r="1025" spans="1:4" x14ac:dyDescent="0.2">
      <c r="A1025" s="5">
        <v>964</v>
      </c>
      <c r="B1025" s="138">
        <f>'Expenditures 15-22'!H55</f>
        <v>1699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26397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92328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359843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2380109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76285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3673461</v>
      </c>
      <c r="C1108" s="2" t="s">
        <v>594</v>
      </c>
      <c r="D1108" s="2" t="str">
        <f t="shared" si="16"/>
        <v>Error?</v>
      </c>
    </row>
    <row r="1109" spans="1:4" x14ac:dyDescent="0.2">
      <c r="A1109" s="5">
        <v>1048</v>
      </c>
      <c r="B1109" s="138">
        <f>'Expenditures 15-22'!K36</f>
        <v>37946</v>
      </c>
      <c r="C1109" s="2" t="s">
        <v>594</v>
      </c>
      <c r="D1109" s="2" t="str">
        <f t="shared" si="16"/>
        <v>Error?</v>
      </c>
    </row>
    <row r="1110" spans="1:4" x14ac:dyDescent="0.2">
      <c r="A1110" s="5">
        <v>1049</v>
      </c>
      <c r="B1110" s="138">
        <f>'Expenditures 15-22'!K37</f>
        <v>84345</v>
      </c>
      <c r="C1110" s="2" t="s">
        <v>594</v>
      </c>
      <c r="D1110" s="2" t="str">
        <f t="shared" si="16"/>
        <v>Error?</v>
      </c>
    </row>
    <row r="1111" spans="1:4" x14ac:dyDescent="0.2">
      <c r="A1111" s="5">
        <v>1050</v>
      </c>
      <c r="B1111" s="138">
        <f>'Expenditures 15-22'!K38</f>
        <v>55130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153374</v>
      </c>
      <c r="C1113" s="2" t="s">
        <v>594</v>
      </c>
      <c r="D1113" s="2" t="str">
        <f t="shared" si="16"/>
        <v>Error?</v>
      </c>
    </row>
    <row r="1114" spans="1:4" x14ac:dyDescent="0.2">
      <c r="A1114" s="5">
        <v>1053</v>
      </c>
      <c r="B1114" s="138">
        <f>'Expenditures 15-22'!K41</f>
        <v>17384</v>
      </c>
      <c r="C1114" s="2" t="s">
        <v>594</v>
      </c>
      <c r="D1114" s="2" t="str">
        <f t="shared" si="16"/>
        <v>Error?</v>
      </c>
    </row>
    <row r="1115" spans="1:4" x14ac:dyDescent="0.2">
      <c r="A1115" s="5">
        <v>1054</v>
      </c>
      <c r="B1115" s="138">
        <f>'Expenditures 15-22'!K42</f>
        <v>348179</v>
      </c>
      <c r="C1115" s="2" t="s">
        <v>594</v>
      </c>
      <c r="D1115" s="2" t="str">
        <f t="shared" si="16"/>
        <v>Error?</v>
      </c>
    </row>
    <row r="1116" spans="1:4" x14ac:dyDescent="0.2">
      <c r="A1116" s="5">
        <v>1055</v>
      </c>
      <c r="B1116" s="138">
        <f>'Expenditures 15-22'!K44</f>
        <v>139071</v>
      </c>
      <c r="C1116" s="2" t="s">
        <v>594</v>
      </c>
      <c r="D1116" s="2" t="str">
        <f t="shared" si="16"/>
        <v>Error?</v>
      </c>
    </row>
    <row r="1117" spans="1:4" x14ac:dyDescent="0.2">
      <c r="A1117" s="5">
        <v>1056</v>
      </c>
      <c r="B1117" s="138">
        <f>'Expenditures 15-22'!K45</f>
        <v>385278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524349</v>
      </c>
      <c r="C1119" s="2" t="s">
        <v>594</v>
      </c>
      <c r="D1119" s="2" t="str">
        <f t="shared" si="16"/>
        <v>Error?</v>
      </c>
    </row>
    <row r="1120" spans="1:4" x14ac:dyDescent="0.2">
      <c r="A1120" s="5">
        <v>1059</v>
      </c>
      <c r="B1120" s="138">
        <f>'Expenditures 15-22'!K49</f>
        <v>147824</v>
      </c>
      <c r="C1120" s="2" t="s">
        <v>594</v>
      </c>
      <c r="D1120" s="2" t="str">
        <f t="shared" si="16"/>
        <v>Error?</v>
      </c>
    </row>
    <row r="1121" spans="1:4" x14ac:dyDescent="0.2">
      <c r="A1121" s="5">
        <v>1060</v>
      </c>
      <c r="B1121" s="138">
        <f>'Expenditures 15-22'!K50</f>
        <v>186609</v>
      </c>
      <c r="C1121" s="2" t="s">
        <v>594</v>
      </c>
      <c r="D1121" s="2" t="str">
        <f t="shared" si="16"/>
        <v>Error?</v>
      </c>
    </row>
    <row r="1122" spans="1:4" x14ac:dyDescent="0.2">
      <c r="A1122" s="5">
        <v>1061</v>
      </c>
      <c r="B1122" s="138">
        <f>'Expenditures 15-22'!K53</f>
        <v>334433</v>
      </c>
      <c r="C1122" s="2" t="s">
        <v>594</v>
      </c>
      <c r="D1122" s="2" t="str">
        <f t="shared" si="16"/>
        <v>Error?</v>
      </c>
    </row>
    <row r="1123" spans="1:4" x14ac:dyDescent="0.2">
      <c r="A1123" s="5">
        <v>1062</v>
      </c>
      <c r="B1123" s="138">
        <f>'Expenditures 15-22'!K55</f>
        <v>339373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339373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82527</v>
      </c>
      <c r="C1127" s="2" t="s">
        <v>594</v>
      </c>
      <c r="D1127" s="2" t="str">
        <f t="shared" si="16"/>
        <v>Error?</v>
      </c>
    </row>
    <row r="1128" spans="1:4" x14ac:dyDescent="0.2">
      <c r="A1128" s="5">
        <v>1067</v>
      </c>
      <c r="B1128" s="138">
        <f>'Expenditures 15-22'!K61</f>
        <v>187714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324834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595075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110</v>
      </c>
      <c r="C1142" s="2" t="s">
        <v>594</v>
      </c>
      <c r="D1142" s="2" t="str">
        <f t="shared" si="16"/>
        <v>Error?</v>
      </c>
    </row>
    <row r="1143" spans="1:4" x14ac:dyDescent="0.2">
      <c r="A1143" s="5">
        <v>1082</v>
      </c>
      <c r="B1143" s="138">
        <f>'Expenditures 15-22'!K74</f>
        <v>2141519</v>
      </c>
      <c r="C1143" s="2" t="s">
        <v>594</v>
      </c>
      <c r="D1143" s="2" t="str">
        <f t="shared" si="16"/>
        <v>Error?</v>
      </c>
    </row>
    <row r="1144" spans="1:4" x14ac:dyDescent="0.2">
      <c r="A1144" s="5">
        <v>1083</v>
      </c>
      <c r="B1144" s="138">
        <f>'Expenditures 15-22'!K75</f>
        <v>55098</v>
      </c>
      <c r="C1144" s="2" t="s">
        <v>594</v>
      </c>
      <c r="D1144" s="2" t="str">
        <f t="shared" si="16"/>
        <v>Error?</v>
      </c>
    </row>
    <row r="1145" spans="1:4" x14ac:dyDescent="0.2">
      <c r="A1145" s="5">
        <v>1084</v>
      </c>
      <c r="B1145" s="138">
        <f>'Expenditures 15-22'!K102</f>
        <v>271607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6141685</v>
      </c>
      <c r="C1152" s="2" t="s">
        <v>594</v>
      </c>
      <c r="D1152" s="2" t="str">
        <f t="shared" si="17"/>
        <v>Error?</v>
      </c>
    </row>
    <row r="1153" spans="1:4" x14ac:dyDescent="0.2">
      <c r="A1153" s="5">
        <v>1092</v>
      </c>
      <c r="B1153" s="138">
        <f>'Expenditures 15-22'!K115</f>
        <v>550362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38698</v>
      </c>
      <c r="D1221" s="2" t="str">
        <f t="shared" si="18"/>
        <v>Error?</v>
      </c>
    </row>
    <row r="1222" spans="1:4" x14ac:dyDescent="0.2">
      <c r="A1222" s="10">
        <v>1161</v>
      </c>
      <c r="D1222" s="2" t="str">
        <f t="shared" si="18"/>
        <v>OK</v>
      </c>
    </row>
    <row r="1223" spans="1:4" x14ac:dyDescent="0.2">
      <c r="A1223" s="5">
        <v>1162</v>
      </c>
      <c r="B1223" s="138">
        <f>'Expenditures 15-22'!C127</f>
        <v>38698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38698</v>
      </c>
      <c r="C1225" s="2" t="s">
        <v>594</v>
      </c>
      <c r="D1225" s="2" t="str">
        <f t="shared" si="18"/>
        <v>Error?</v>
      </c>
    </row>
    <row r="1226" spans="1:4" x14ac:dyDescent="0.2">
      <c r="A1226" s="5">
        <v>1165</v>
      </c>
      <c r="B1226" s="138">
        <f>'Expenditures 15-22'!C151</f>
        <v>38698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88650</v>
      </c>
      <c r="D1237" s="2" t="str">
        <f t="shared" si="18"/>
        <v>Error?</v>
      </c>
    </row>
    <row r="1238" spans="1:4" x14ac:dyDescent="0.2">
      <c r="A1238" s="10">
        <v>1177</v>
      </c>
      <c r="D1238" s="2" t="str">
        <f t="shared" si="18"/>
        <v>OK</v>
      </c>
    </row>
    <row r="1239" spans="1:4" x14ac:dyDescent="0.2">
      <c r="A1239" s="5">
        <v>1178</v>
      </c>
      <c r="B1239" s="138">
        <f>'Expenditures 15-22'!E127</f>
        <v>88650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88650</v>
      </c>
      <c r="C1241" s="2" t="s">
        <v>594</v>
      </c>
      <c r="D1241" s="2" t="str">
        <f t="shared" si="18"/>
        <v>Error?</v>
      </c>
    </row>
    <row r="1242" spans="1:4" x14ac:dyDescent="0.2">
      <c r="A1242" s="5">
        <v>1181</v>
      </c>
      <c r="B1242" s="138">
        <f>'Expenditures 15-22'!E151</f>
        <v>88650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131474</v>
      </c>
      <c r="D1245" s="2" t="str">
        <f t="shared" si="18"/>
        <v>Error?</v>
      </c>
    </row>
    <row r="1246" spans="1:4" x14ac:dyDescent="0.2">
      <c r="A1246" s="10">
        <v>1185</v>
      </c>
      <c r="D1246" s="2" t="str">
        <f t="shared" si="18"/>
        <v>OK</v>
      </c>
    </row>
    <row r="1247" spans="1:4" x14ac:dyDescent="0.2">
      <c r="A1247" s="5">
        <v>1186</v>
      </c>
      <c r="B1247" s="138">
        <f>'Expenditures 15-22'!F127</f>
        <v>131474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131474</v>
      </c>
      <c r="C1249" s="2" t="s">
        <v>594</v>
      </c>
      <c r="D1249" s="2" t="str">
        <f t="shared" si="18"/>
        <v>Error?</v>
      </c>
    </row>
    <row r="1250" spans="1:4" x14ac:dyDescent="0.2">
      <c r="A1250" s="5">
        <v>1189</v>
      </c>
      <c r="B1250" s="138">
        <f>'Expenditures 15-22'!F151</f>
        <v>131474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12482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12482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12482</v>
      </c>
      <c r="C1258" s="2" t="s">
        <v>594</v>
      </c>
      <c r="D1258" s="2" t="str">
        <f t="shared" si="18"/>
        <v>Error?</v>
      </c>
    </row>
    <row r="1259" spans="1:4" x14ac:dyDescent="0.2">
      <c r="A1259" s="5">
        <v>1198</v>
      </c>
      <c r="B1259" s="138">
        <f>'Expenditures 15-22'!G151</f>
        <v>12482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271304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271304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271304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271304</v>
      </c>
      <c r="C1288" s="2" t="s">
        <v>594</v>
      </c>
      <c r="D1288" s="2" t="str">
        <f t="shared" si="19"/>
        <v>Error?</v>
      </c>
    </row>
    <row r="1289" spans="1:4" x14ac:dyDescent="0.2">
      <c r="A1289" s="5">
        <v>1228</v>
      </c>
      <c r="B1289" s="138">
        <f>'Expenditures 15-22'!K152</f>
        <v>-19287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219429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270409</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491238</v>
      </c>
      <c r="C1317" s="2" t="s">
        <v>594</v>
      </c>
      <c r="D1317" s="2" t="str">
        <f t="shared" si="19"/>
        <v>Error?</v>
      </c>
    </row>
    <row r="1318" spans="1:4" x14ac:dyDescent="0.2">
      <c r="A1318" s="5">
        <v>1257</v>
      </c>
      <c r="B1318" s="138">
        <f>'Expenditures 15-22'!H174</f>
        <v>491238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219429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270409</v>
      </c>
      <c r="C1329" s="2" t="s">
        <v>594</v>
      </c>
      <c r="D1329" s="2" t="str">
        <f t="shared" si="19"/>
        <v>Error?</v>
      </c>
    </row>
    <row r="1330" spans="1:4" x14ac:dyDescent="0.2">
      <c r="A1330" s="5">
        <v>1269</v>
      </c>
      <c r="B1330" s="138">
        <f>'Expenditures 15-22'!K171</f>
        <v>1400</v>
      </c>
      <c r="C1330" s="2" t="s">
        <v>594</v>
      </c>
      <c r="D1330" s="2" t="str">
        <f t="shared" si="19"/>
        <v>Error?</v>
      </c>
    </row>
    <row r="1331" spans="1:4" x14ac:dyDescent="0.2">
      <c r="A1331" s="5">
        <v>1270</v>
      </c>
      <c r="B1331" s="138">
        <f>'Expenditures 15-22'!K172</f>
        <v>491238</v>
      </c>
      <c r="C1331" s="2" t="s">
        <v>594</v>
      </c>
      <c r="D1331" s="2" t="str">
        <f t="shared" si="19"/>
        <v>Error?</v>
      </c>
    </row>
    <row r="1332" spans="1:4" x14ac:dyDescent="0.2">
      <c r="A1332" s="5">
        <v>1271</v>
      </c>
      <c r="B1332" s="138">
        <f>'Expenditures 15-22'!K174</f>
        <v>491238</v>
      </c>
      <c r="C1332" s="2" t="s">
        <v>594</v>
      </c>
      <c r="D1332" s="2" t="str">
        <f t="shared" si="19"/>
        <v>Error?</v>
      </c>
    </row>
    <row r="1333" spans="1:4" x14ac:dyDescent="0.2">
      <c r="A1333" s="5">
        <v>1272</v>
      </c>
      <c r="B1333" s="138">
        <f>'Expenditures 15-22'!K175</f>
        <v>-114356</v>
      </c>
      <c r="C1333" s="2" t="s">
        <v>594</v>
      </c>
      <c r="D1333" s="2" t="str">
        <f t="shared" si="19"/>
        <v>Error?</v>
      </c>
    </row>
    <row r="1334" spans="1:4" x14ac:dyDescent="0.2">
      <c r="A1334" s="10">
        <v>1273</v>
      </c>
      <c r="D1334" s="2" t="str">
        <f t="shared" si="19"/>
        <v>OK</v>
      </c>
    </row>
    <row r="1335" spans="1:4" x14ac:dyDescent="0.2">
      <c r="A1335" s="5">
        <v>1274</v>
      </c>
      <c r="B1335" s="138">
        <f>'Expenditures 15-22'!C182</f>
        <v>100360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100360</v>
      </c>
      <c r="C1339" s="2" t="s">
        <v>594</v>
      </c>
      <c r="D1339" s="2" t="str">
        <f t="shared" si="19"/>
        <v>Error?</v>
      </c>
    </row>
    <row r="1340" spans="1:4" x14ac:dyDescent="0.2">
      <c r="A1340" s="5">
        <v>1279</v>
      </c>
      <c r="B1340" s="138">
        <f>'Expenditures 15-22'!C210</f>
        <v>100360</v>
      </c>
      <c r="C1340" s="2" t="s">
        <v>594</v>
      </c>
      <c r="D1340" s="2" t="str">
        <f t="shared" si="19"/>
        <v>Error?</v>
      </c>
    </row>
    <row r="1341" spans="1:4" x14ac:dyDescent="0.2">
      <c r="A1341" s="5">
        <v>1280</v>
      </c>
      <c r="B1341" s="138">
        <f>'Expenditures 15-22'!D182</f>
        <v>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73</v>
      </c>
      <c r="C1345" s="2" t="s">
        <v>594</v>
      </c>
      <c r="D1345" s="2" t="str">
        <f t="shared" si="20"/>
        <v>Error?</v>
      </c>
    </row>
    <row r="1346" spans="1:4" x14ac:dyDescent="0.2">
      <c r="A1346" s="5">
        <v>1285</v>
      </c>
      <c r="B1346" s="138">
        <f>'Expenditures 15-22'!D210</f>
        <v>73</v>
      </c>
      <c r="C1346" s="2" t="s">
        <v>594</v>
      </c>
      <c r="D1346" s="2" t="str">
        <f t="shared" si="20"/>
        <v>Error?</v>
      </c>
    </row>
    <row r="1347" spans="1:4" x14ac:dyDescent="0.2">
      <c r="A1347" s="5">
        <v>1286</v>
      </c>
      <c r="B1347" s="138">
        <f>'Expenditures 15-22'!E182</f>
        <v>453655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453655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453655</v>
      </c>
      <c r="C1353" s="2" t="s">
        <v>594</v>
      </c>
      <c r="D1353" s="2" t="str">
        <f t="shared" si="20"/>
        <v>Error?</v>
      </c>
    </row>
    <row r="1354" spans="1:4" x14ac:dyDescent="0.2">
      <c r="A1354" s="5">
        <v>1293</v>
      </c>
      <c r="B1354" s="138">
        <f>'Expenditures 15-22'!F182</f>
        <v>36132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36132</v>
      </c>
      <c r="C1358" s="2" t="s">
        <v>594</v>
      </c>
      <c r="D1358" s="2" t="str">
        <f t="shared" si="20"/>
        <v>Error?</v>
      </c>
    </row>
    <row r="1359" spans="1:4" x14ac:dyDescent="0.2">
      <c r="A1359" s="5">
        <v>1298</v>
      </c>
      <c r="B1359" s="138">
        <f>'Expenditures 15-22'!F210</f>
        <v>36132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590220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590220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590220</v>
      </c>
      <c r="C1388" s="2" t="s">
        <v>594</v>
      </c>
      <c r="D1388" s="2" t="str">
        <f t="shared" si="20"/>
        <v>Error?</v>
      </c>
    </row>
    <row r="1389" spans="1:4" x14ac:dyDescent="0.2">
      <c r="A1389" s="5">
        <v>1328</v>
      </c>
      <c r="B1389" s="138">
        <f>'Expenditures 15-22'!K211</f>
        <v>-12248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4148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92685</v>
      </c>
      <c r="C1410" s="2" t="s">
        <v>594</v>
      </c>
      <c r="D1410" s="2" t="str">
        <f t="shared" si="21"/>
        <v>Error?</v>
      </c>
    </row>
    <row r="1411" spans="1:4" x14ac:dyDescent="0.2">
      <c r="A1411" s="5">
        <v>1350</v>
      </c>
      <c r="B1411" s="138">
        <f>'Expenditures 15-22'!D232</f>
        <v>5570</v>
      </c>
      <c r="D1411" s="2" t="str">
        <f t="shared" si="21"/>
        <v>Error?</v>
      </c>
    </row>
    <row r="1412" spans="1:4" x14ac:dyDescent="0.2">
      <c r="A1412" s="5">
        <v>1351</v>
      </c>
      <c r="B1412" s="138">
        <f>'Expenditures 15-22'!D233</f>
        <v>485</v>
      </c>
      <c r="D1412" s="2" t="str">
        <f t="shared" si="21"/>
        <v>Error?</v>
      </c>
    </row>
    <row r="1413" spans="1:4" x14ac:dyDescent="0.2">
      <c r="A1413" s="5">
        <v>1352</v>
      </c>
      <c r="B1413" s="138">
        <f>'Expenditures 15-22'!D234</f>
        <v>9359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1938</v>
      </c>
      <c r="D1415" s="2" t="str">
        <f t="shared" si="21"/>
        <v>Error?</v>
      </c>
    </row>
    <row r="1416" spans="1:4" x14ac:dyDescent="0.2">
      <c r="A1416" s="5">
        <v>1355</v>
      </c>
      <c r="B1416" s="138">
        <f>'Expenditures 15-22'!D237</f>
        <v>1448</v>
      </c>
      <c r="D1416" s="2" t="str">
        <f t="shared" si="21"/>
        <v>Error?</v>
      </c>
    </row>
    <row r="1417" spans="1:4" x14ac:dyDescent="0.2">
      <c r="A1417" s="5">
        <v>1356</v>
      </c>
      <c r="B1417" s="138">
        <f>'Expenditures 15-22'!D238</f>
        <v>18800</v>
      </c>
      <c r="C1417" s="2" t="s">
        <v>594</v>
      </c>
      <c r="D1417" s="2" t="str">
        <f t="shared" si="21"/>
        <v>Error?</v>
      </c>
    </row>
    <row r="1418" spans="1:4" x14ac:dyDescent="0.2">
      <c r="A1418" s="5">
        <v>1357</v>
      </c>
      <c r="B1418" s="138">
        <f>'Expenditures 15-22'!D240</f>
        <v>721</v>
      </c>
      <c r="D1418" s="2" t="str">
        <f t="shared" si="21"/>
        <v>Error?</v>
      </c>
    </row>
    <row r="1419" spans="1:4" x14ac:dyDescent="0.2">
      <c r="A1419" s="5">
        <v>1358</v>
      </c>
      <c r="B1419" s="138">
        <f>'Expenditures 15-22'!D241</f>
        <v>25992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26713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1918</v>
      </c>
      <c r="D1423" s="2" t="str">
        <f t="shared" si="21"/>
        <v>Error?</v>
      </c>
    </row>
    <row r="1424" spans="1:4" x14ac:dyDescent="0.2">
      <c r="A1424" s="5">
        <v>1363</v>
      </c>
      <c r="B1424" s="138">
        <f>'Expenditures 15-22'!D257</f>
        <v>1918</v>
      </c>
      <c r="C1424" s="2" t="s">
        <v>594</v>
      </c>
      <c r="D1424" s="2" t="str">
        <f t="shared" si="21"/>
        <v>Error?</v>
      </c>
    </row>
    <row r="1425" spans="1:4" x14ac:dyDescent="0.2">
      <c r="A1425" s="5">
        <v>1364</v>
      </c>
      <c r="B1425" s="138">
        <f>'Expenditures 15-22'!D259</f>
        <v>8906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8906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12078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29707</v>
      </c>
      <c r="D1431" s="2" t="str">
        <f t="shared" si="21"/>
        <v>Error?</v>
      </c>
    </row>
    <row r="1432" spans="1:4" x14ac:dyDescent="0.2">
      <c r="A1432" s="5">
        <v>1371</v>
      </c>
      <c r="B1432" s="138">
        <f>'Expenditures 15-22'!D267</f>
        <v>8922</v>
      </c>
      <c r="D1432" s="2" t="str">
        <f t="shared" si="21"/>
        <v>Error?</v>
      </c>
    </row>
    <row r="1433" spans="1:4" x14ac:dyDescent="0.2">
      <c r="A1433" s="5">
        <v>1372</v>
      </c>
      <c r="B1433" s="138">
        <f>'Expenditures 15-22'!D268</f>
        <v>32318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83025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139362</v>
      </c>
      <c r="C1446" s="2" t="s">
        <v>594</v>
      </c>
      <c r="D1446" s="2" t="str">
        <f t="shared" si="21"/>
        <v>Error?</v>
      </c>
    </row>
    <row r="1447" spans="1:4" x14ac:dyDescent="0.2">
      <c r="A1447" s="5">
        <v>1386</v>
      </c>
      <c r="B1447" s="138">
        <f>'Expenditures 15-22'!D280</f>
        <v>8737</v>
      </c>
      <c r="D1447" s="2" t="str">
        <f t="shared" si="21"/>
        <v>Error?</v>
      </c>
    </row>
    <row r="1448" spans="1:4" x14ac:dyDescent="0.2">
      <c r="A1448" s="5">
        <v>1387</v>
      </c>
      <c r="B1448" s="138">
        <f>'Expenditures 15-22'!D295</f>
        <v>240784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4148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92685</v>
      </c>
      <c r="C1474" s="2" t="s">
        <v>594</v>
      </c>
      <c r="D1474" s="2" t="str">
        <f t="shared" si="22"/>
        <v>Error?</v>
      </c>
    </row>
    <row r="1475" spans="1:4" x14ac:dyDescent="0.2">
      <c r="A1475" s="5">
        <v>1414</v>
      </c>
      <c r="B1475" s="138">
        <f>'Expenditures 15-22'!K232</f>
        <v>5570</v>
      </c>
      <c r="C1475" s="2" t="s">
        <v>594</v>
      </c>
      <c r="D1475" s="2" t="str">
        <f t="shared" si="22"/>
        <v>Error?</v>
      </c>
    </row>
    <row r="1476" spans="1:4" x14ac:dyDescent="0.2">
      <c r="A1476" s="5">
        <v>1415</v>
      </c>
      <c r="B1476" s="138">
        <f>'Expenditures 15-22'!K233</f>
        <v>485</v>
      </c>
      <c r="C1476" s="2" t="s">
        <v>594</v>
      </c>
      <c r="D1476" s="2" t="str">
        <f t="shared" si="22"/>
        <v>Error?</v>
      </c>
    </row>
    <row r="1477" spans="1:4" x14ac:dyDescent="0.2">
      <c r="A1477" s="5">
        <v>1416</v>
      </c>
      <c r="B1477" s="138">
        <f>'Expenditures 15-22'!K234</f>
        <v>9359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1938</v>
      </c>
      <c r="C1479" s="2" t="s">
        <v>594</v>
      </c>
      <c r="D1479" s="2" t="str">
        <f t="shared" si="22"/>
        <v>Error?</v>
      </c>
    </row>
    <row r="1480" spans="1:4" x14ac:dyDescent="0.2">
      <c r="A1480" s="5">
        <v>1419</v>
      </c>
      <c r="B1480" s="138">
        <f>'Expenditures 15-22'!K237</f>
        <v>1448</v>
      </c>
      <c r="C1480" s="2" t="s">
        <v>594</v>
      </c>
      <c r="D1480" s="2" t="str">
        <f t="shared" si="22"/>
        <v>Error?</v>
      </c>
    </row>
    <row r="1481" spans="1:4" x14ac:dyDescent="0.2">
      <c r="A1481" s="5">
        <v>1420</v>
      </c>
      <c r="B1481" s="138">
        <f>'Expenditures 15-22'!K238</f>
        <v>18800</v>
      </c>
      <c r="C1481" s="2" t="s">
        <v>594</v>
      </c>
      <c r="D1481" s="2" t="str">
        <f t="shared" si="22"/>
        <v>Error?</v>
      </c>
    </row>
    <row r="1482" spans="1:4" x14ac:dyDescent="0.2">
      <c r="A1482" s="5">
        <v>1421</v>
      </c>
      <c r="B1482" s="138">
        <f>'Expenditures 15-22'!K240</f>
        <v>721</v>
      </c>
      <c r="C1482" s="2" t="s">
        <v>594</v>
      </c>
      <c r="D1482" s="2" t="str">
        <f t="shared" si="22"/>
        <v>Error?</v>
      </c>
    </row>
    <row r="1483" spans="1:4" x14ac:dyDescent="0.2">
      <c r="A1483" s="5">
        <v>1422</v>
      </c>
      <c r="B1483" s="138">
        <f>'Expenditures 15-22'!K241</f>
        <v>25992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26713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1918</v>
      </c>
      <c r="C1487" s="2" t="s">
        <v>594</v>
      </c>
      <c r="D1487" s="2" t="str">
        <f t="shared" si="22"/>
        <v>Error?</v>
      </c>
    </row>
    <row r="1488" spans="1:4" x14ac:dyDescent="0.2">
      <c r="A1488" s="5">
        <v>1427</v>
      </c>
      <c r="B1488" s="138">
        <f>'Expenditures 15-22'!K257</f>
        <v>1918</v>
      </c>
      <c r="C1488" s="2" t="s">
        <v>594</v>
      </c>
      <c r="D1488" s="2" t="str">
        <f t="shared" si="22"/>
        <v>Error?</v>
      </c>
    </row>
    <row r="1489" spans="1:4" x14ac:dyDescent="0.2">
      <c r="A1489" s="5">
        <v>1428</v>
      </c>
      <c r="B1489" s="138">
        <f>'Expenditures 15-22'!K259</f>
        <v>8906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8906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12078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29707</v>
      </c>
      <c r="C1495" s="2" t="s">
        <v>594</v>
      </c>
      <c r="D1495" s="2" t="str">
        <f t="shared" si="22"/>
        <v>Error?</v>
      </c>
    </row>
    <row r="1496" spans="1:4" x14ac:dyDescent="0.2">
      <c r="A1496" s="5">
        <v>1435</v>
      </c>
      <c r="B1496" s="138">
        <f>'Expenditures 15-22'!K267</f>
        <v>8922</v>
      </c>
      <c r="C1496" s="2" t="s">
        <v>594</v>
      </c>
      <c r="D1496" s="2" t="str">
        <f t="shared" si="22"/>
        <v>Error?</v>
      </c>
    </row>
    <row r="1497" spans="1:4" x14ac:dyDescent="0.2">
      <c r="A1497" s="5">
        <v>1436</v>
      </c>
      <c r="B1497" s="138">
        <f>'Expenditures 15-22'!K268</f>
        <v>32318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83025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139362</v>
      </c>
      <c r="C1510" s="2" t="s">
        <v>594</v>
      </c>
      <c r="D1510" s="2" t="str">
        <f t="shared" si="22"/>
        <v>Error?</v>
      </c>
    </row>
    <row r="1511" spans="1:4" x14ac:dyDescent="0.2">
      <c r="A1511" s="5">
        <v>1450</v>
      </c>
      <c r="B1511" s="138">
        <f>'Expenditures 15-22'!K280</f>
        <v>8737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240784</v>
      </c>
      <c r="C1517" s="2" t="s">
        <v>594</v>
      </c>
      <c r="D1517" s="2" t="str">
        <f t="shared" si="22"/>
        <v>Error?</v>
      </c>
    </row>
    <row r="1518" spans="1:4" x14ac:dyDescent="0.2">
      <c r="A1518" s="5">
        <v>1457</v>
      </c>
      <c r="B1518" s="138">
        <f>'Expenditures 15-22'!K296</f>
        <v>-3744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50536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50536</v>
      </c>
      <c r="C1535" s="2" t="s">
        <v>594</v>
      </c>
      <c r="D1535" s="2" t="str">
        <f t="shared" ref="D1535:D1598" si="23">IF(ISBLANK(B1535),"OK",IF(A1535-B1535=0,"OK","Error?"))</f>
        <v>Error?</v>
      </c>
    </row>
    <row r="1536" spans="1:4" x14ac:dyDescent="0.2">
      <c r="A1536" s="5">
        <v>1475</v>
      </c>
      <c r="B1536" s="138">
        <f>'Expenditures 15-22'!E312</f>
        <v>50536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1590331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1590331</v>
      </c>
      <c r="C1547" s="2" t="s">
        <v>594</v>
      </c>
      <c r="D1547" s="2" t="str">
        <f t="shared" si="23"/>
        <v>Error?</v>
      </c>
    </row>
    <row r="1548" spans="1:4" x14ac:dyDescent="0.2">
      <c r="A1548" s="5">
        <v>1487</v>
      </c>
      <c r="B1548" s="138">
        <f>'Expenditures 15-22'!G312</f>
        <v>1590331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1640867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1640867</v>
      </c>
      <c r="C1559" s="2" t="s">
        <v>594</v>
      </c>
      <c r="D1559" s="2" t="str">
        <f t="shared" si="23"/>
        <v>Error?</v>
      </c>
    </row>
    <row r="1560" spans="1:4" x14ac:dyDescent="0.2">
      <c r="A1560" s="5">
        <v>1499</v>
      </c>
      <c r="B1560" s="138">
        <f>'Expenditures 15-22'!K312</f>
        <v>1640867</v>
      </c>
      <c r="C1560" s="2" t="s">
        <v>594</v>
      </c>
      <c r="D1560" s="2" t="str">
        <f t="shared" si="23"/>
        <v>Error?</v>
      </c>
    </row>
    <row r="1561" spans="1:4" x14ac:dyDescent="0.2">
      <c r="A1561" s="5">
        <v>1500</v>
      </c>
      <c r="B1561" s="138">
        <f>'Expenditures 15-22'!K313</f>
        <v>-1616607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3117918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3652871</v>
      </c>
      <c r="C1630" s="2" t="s">
        <v>594</v>
      </c>
      <c r="D1630" s="2" t="str">
        <f t="shared" si="24"/>
        <v>Error?</v>
      </c>
    </row>
    <row r="1631" spans="1:4" x14ac:dyDescent="0.2">
      <c r="A1631" s="5">
        <v>1570</v>
      </c>
      <c r="B1631" s="138">
        <f>'Acct Summary 7-8'!D79</f>
        <v>346868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327581</v>
      </c>
      <c r="C1644" s="2" t="s">
        <v>594</v>
      </c>
      <c r="D1644" s="2" t="str">
        <f t="shared" si="24"/>
        <v>Error?</v>
      </c>
    </row>
    <row r="1645" spans="1:4" x14ac:dyDescent="0.2">
      <c r="A1645" s="5">
        <v>1584</v>
      </c>
      <c r="B1645" s="138">
        <f>'Acct Summary 7-8'!E79</f>
        <v>115503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16556</v>
      </c>
      <c r="C1658" s="2" t="s">
        <v>594</v>
      </c>
      <c r="D1658" s="2" t="str">
        <f t="shared" si="24"/>
        <v>Error?</v>
      </c>
    </row>
    <row r="1659" spans="1:4" x14ac:dyDescent="0.2">
      <c r="A1659" s="5">
        <v>1598</v>
      </c>
      <c r="B1659" s="138">
        <f>'Acct Summary 7-8'!F79</f>
        <v>125106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112858</v>
      </c>
      <c r="C1672" s="2" t="s">
        <v>594</v>
      </c>
      <c r="D1672" s="2" t="str">
        <f t="shared" si="25"/>
        <v>Error?</v>
      </c>
    </row>
    <row r="1673" spans="1:4" x14ac:dyDescent="0.2">
      <c r="A1673" s="5">
        <v>1612</v>
      </c>
      <c r="B1673" s="138">
        <f>'Acct Summary 7-8'!G79</f>
        <v>166566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162822</v>
      </c>
      <c r="C1686" s="2" t="s">
        <v>594</v>
      </c>
      <c r="D1686" s="2" t="str">
        <f t="shared" si="25"/>
        <v>Error?</v>
      </c>
    </row>
    <row r="1687" spans="1:4" x14ac:dyDescent="0.2">
      <c r="A1687" s="5">
        <v>1626</v>
      </c>
      <c r="B1687" s="138">
        <f>'Acct Summary 7-8'!H79</f>
        <v>3833094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2216487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1977300</v>
      </c>
      <c r="C1744" s="2" t="s">
        <v>594</v>
      </c>
      <c r="D1744" s="2" t="str">
        <f t="shared" si="26"/>
        <v>Error?</v>
      </c>
    </row>
    <row r="1745" spans="1:5" x14ac:dyDescent="0.2">
      <c r="A1745" s="5">
        <v>1684</v>
      </c>
      <c r="B1745" s="138">
        <f>'Tax Sched 23'!B5</f>
        <v>248546</v>
      </c>
      <c r="C1745" s="2" t="s">
        <v>594</v>
      </c>
      <c r="D1745" s="2" t="str">
        <f t="shared" si="26"/>
        <v>Error?</v>
      </c>
    </row>
    <row r="1746" spans="1:5" x14ac:dyDescent="0.2">
      <c r="A1746" s="5">
        <v>1685</v>
      </c>
      <c r="B1746" s="138">
        <f>'Tax Sched 23'!B6</f>
        <v>376611</v>
      </c>
      <c r="C1746" s="2" t="s">
        <v>594</v>
      </c>
      <c r="D1746" s="2" t="str">
        <f t="shared" si="26"/>
        <v>Error?</v>
      </c>
    </row>
    <row r="1747" spans="1:5" x14ac:dyDescent="0.2">
      <c r="A1747" s="5">
        <v>1686</v>
      </c>
      <c r="B1747" s="138">
        <f>'Tax Sched 23'!B7</f>
        <v>113528</v>
      </c>
      <c r="C1747" s="2" t="s">
        <v>594</v>
      </c>
      <c r="D1747" s="2" t="str">
        <f t="shared" si="26"/>
        <v>Error?</v>
      </c>
    </row>
    <row r="1748" spans="1:5" x14ac:dyDescent="0.2">
      <c r="A1748" s="5">
        <v>1687</v>
      </c>
      <c r="B1748" s="138">
        <f>'Tax Sched 23'!B8</f>
        <v>122704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29558</v>
      </c>
      <c r="C1752" s="2" t="s">
        <v>594</v>
      </c>
      <c r="D1752" s="2" t="str">
        <f t="shared" si="26"/>
        <v>Error?</v>
      </c>
    </row>
    <row r="1753" spans="1:5" x14ac:dyDescent="0.2">
      <c r="A1753" s="5">
        <v>1692</v>
      </c>
      <c r="B1753" s="138">
        <f>'Tax Sched 23'!B12</f>
        <v>1433</v>
      </c>
      <c r="C1753" s="2" t="s">
        <v>594</v>
      </c>
      <c r="D1753" s="2" t="str">
        <f t="shared" si="26"/>
        <v>Error?</v>
      </c>
    </row>
    <row r="1754" spans="1:5" x14ac:dyDescent="0.2">
      <c r="A1754" s="5">
        <v>1693</v>
      </c>
      <c r="B1754" s="138">
        <f>'Tax Sched 23'!B14</f>
        <v>19354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2995716</v>
      </c>
      <c r="C1759" s="2" t="s">
        <v>594</v>
      </c>
      <c r="D1759" s="2" t="str">
        <f t="shared" si="26"/>
        <v>Error?</v>
      </c>
    </row>
    <row r="1760" spans="1:5" x14ac:dyDescent="0.2">
      <c r="A1760" s="5">
        <v>1699</v>
      </c>
      <c r="B1760" s="138">
        <f>'Tax Sched 23'!D4</f>
        <v>1977300</v>
      </c>
      <c r="C1760" s="2" t="s">
        <v>594</v>
      </c>
      <c r="D1760" s="2" t="str">
        <f t="shared" si="26"/>
        <v>Error?</v>
      </c>
    </row>
    <row r="1761" spans="1:5" x14ac:dyDescent="0.2">
      <c r="A1761" s="5">
        <v>1700</v>
      </c>
      <c r="B1761" s="138">
        <f>'Tax Sched 23'!D5</f>
        <v>248546</v>
      </c>
      <c r="C1761" s="2" t="s">
        <v>594</v>
      </c>
      <c r="D1761" s="2" t="str">
        <f t="shared" si="26"/>
        <v>Error?</v>
      </c>
    </row>
    <row r="1762" spans="1:5" s="8" customFormat="1" x14ac:dyDescent="0.2">
      <c r="A1762" s="5">
        <v>1701</v>
      </c>
      <c r="B1762" s="138">
        <f>'Tax Sched 23'!D6</f>
        <v>376611</v>
      </c>
      <c r="C1762" s="2" t="s">
        <v>594</v>
      </c>
      <c r="D1762" s="2" t="str">
        <f t="shared" si="26"/>
        <v>Error?</v>
      </c>
      <c r="E1762" s="9"/>
    </row>
    <row r="1763" spans="1:5" x14ac:dyDescent="0.2">
      <c r="A1763" s="5">
        <v>1702</v>
      </c>
      <c r="B1763" s="138">
        <f>'Tax Sched 23'!D7</f>
        <v>113528</v>
      </c>
      <c r="C1763" s="2" t="s">
        <v>594</v>
      </c>
      <c r="D1763" s="2" t="str">
        <f t="shared" si="26"/>
        <v>Error?</v>
      </c>
    </row>
    <row r="1764" spans="1:5" x14ac:dyDescent="0.2">
      <c r="A1764" s="5">
        <v>1703</v>
      </c>
      <c r="B1764" s="138">
        <f>'Tax Sched 23'!D8</f>
        <v>122704</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29558</v>
      </c>
      <c r="C1768" s="2" t="s">
        <v>594</v>
      </c>
      <c r="D1768" s="2" t="str">
        <f t="shared" si="26"/>
        <v>Error?</v>
      </c>
    </row>
    <row r="1769" spans="1:5" x14ac:dyDescent="0.2">
      <c r="A1769" s="5">
        <v>1708</v>
      </c>
      <c r="B1769" s="138">
        <f>'Tax Sched 23'!D12</f>
        <v>1433</v>
      </c>
      <c r="C1769" s="2" t="s">
        <v>594</v>
      </c>
      <c r="D1769" s="2" t="str">
        <f t="shared" si="26"/>
        <v>Error?</v>
      </c>
    </row>
    <row r="1770" spans="1:5" x14ac:dyDescent="0.2">
      <c r="A1770" s="5">
        <v>1709</v>
      </c>
      <c r="B1770" s="138">
        <f>'Tax Sched 23'!D14</f>
        <v>19354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2995716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2039123</v>
      </c>
      <c r="C1792" s="2" t="s">
        <v>594</v>
      </c>
      <c r="D1792" s="2" t="str">
        <f t="shared" si="27"/>
        <v>Error?</v>
      </c>
    </row>
    <row r="1793" spans="1:4" x14ac:dyDescent="0.2">
      <c r="A1793" s="5">
        <v>1732</v>
      </c>
      <c r="B1793" s="138">
        <f>'Tax Sched 23'!F5</f>
        <v>256333</v>
      </c>
      <c r="C1793" s="2" t="s">
        <v>594</v>
      </c>
      <c r="D1793" s="2" t="str">
        <f t="shared" si="27"/>
        <v>Error?</v>
      </c>
    </row>
    <row r="1794" spans="1:4" x14ac:dyDescent="0.2">
      <c r="A1794" s="5">
        <v>1733</v>
      </c>
      <c r="B1794" s="138">
        <f>'Tax Sched 23'!F6</f>
        <v>376789</v>
      </c>
      <c r="C1794" s="2" t="s">
        <v>594</v>
      </c>
      <c r="D1794" s="2" t="str">
        <f t="shared" si="27"/>
        <v>Error?</v>
      </c>
    </row>
    <row r="1795" spans="1:4" x14ac:dyDescent="0.2">
      <c r="A1795" s="5">
        <v>1734</v>
      </c>
      <c r="B1795" s="138">
        <f>'Tax Sched 23'!F7</f>
        <v>126552</v>
      </c>
      <c r="C1795" s="2" t="s">
        <v>594</v>
      </c>
      <c r="D1795" s="2" t="str">
        <f t="shared" si="27"/>
        <v>Error?</v>
      </c>
    </row>
    <row r="1796" spans="1:4" x14ac:dyDescent="0.2">
      <c r="A1796" s="5">
        <v>1735</v>
      </c>
      <c r="B1796" s="138">
        <f>'Tax Sched 23'!F8</f>
        <v>117095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30489</v>
      </c>
      <c r="C1800" s="2" t="s">
        <v>594</v>
      </c>
      <c r="D1800" s="2" t="str">
        <f t="shared" si="27"/>
        <v>Error?</v>
      </c>
    </row>
    <row r="1801" spans="1:4" x14ac:dyDescent="0.2">
      <c r="A1801" s="5">
        <v>1740</v>
      </c>
      <c r="B1801" s="138">
        <f>'Tax Sched 23'!F12</f>
        <v>1482</v>
      </c>
      <c r="C1801" s="2" t="s">
        <v>594</v>
      </c>
      <c r="D1801" s="2" t="str">
        <f t="shared" si="27"/>
        <v>Error?</v>
      </c>
    </row>
    <row r="1802" spans="1:4" x14ac:dyDescent="0.2">
      <c r="A1802" s="5">
        <v>1741</v>
      </c>
      <c r="B1802" s="138">
        <f>'Tax Sched 23'!F14</f>
        <v>19973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3077864</v>
      </c>
      <c r="C1807" s="2" t="s">
        <v>594</v>
      </c>
      <c r="D1807" s="2" t="str">
        <f t="shared" si="27"/>
        <v>Error?</v>
      </c>
    </row>
    <row r="1808" spans="1:4" x14ac:dyDescent="0.2">
      <c r="A1808" s="5">
        <v>1747</v>
      </c>
      <c r="B1808" s="138">
        <f>'Tax Sched 23'!E4</f>
        <v>2039123</v>
      </c>
      <c r="D1808" s="2" t="str">
        <f t="shared" si="27"/>
        <v>Error?</v>
      </c>
    </row>
    <row r="1809" spans="1:4" x14ac:dyDescent="0.2">
      <c r="A1809" s="5">
        <v>1748</v>
      </c>
      <c r="B1809" s="138">
        <f>'Tax Sched 23'!E5</f>
        <v>256333</v>
      </c>
      <c r="D1809" s="2" t="str">
        <f t="shared" si="27"/>
        <v>Error?</v>
      </c>
    </row>
    <row r="1810" spans="1:4" x14ac:dyDescent="0.2">
      <c r="A1810" s="5">
        <v>1749</v>
      </c>
      <c r="B1810" s="138">
        <f>'Tax Sched 23'!E6</f>
        <v>376789</v>
      </c>
      <c r="D1810" s="2" t="str">
        <f t="shared" si="27"/>
        <v>Error?</v>
      </c>
    </row>
    <row r="1811" spans="1:4" x14ac:dyDescent="0.2">
      <c r="A1811" s="5">
        <v>1750</v>
      </c>
      <c r="B1811" s="138">
        <f>'Tax Sched 23'!E7</f>
        <v>126552</v>
      </c>
      <c r="D1811" s="2" t="str">
        <f t="shared" si="27"/>
        <v>Error?</v>
      </c>
    </row>
    <row r="1812" spans="1:4" x14ac:dyDescent="0.2">
      <c r="A1812" s="5">
        <v>1751</v>
      </c>
      <c r="B1812" s="138">
        <f>'Tax Sched 23'!E8</f>
        <v>117095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30489</v>
      </c>
      <c r="D1816" s="2" t="str">
        <f t="shared" si="27"/>
        <v>Error?</v>
      </c>
    </row>
    <row r="1817" spans="1:4" x14ac:dyDescent="0.2">
      <c r="A1817" s="5">
        <v>1756</v>
      </c>
      <c r="B1817" s="138">
        <f>'Tax Sched 23'!E12</f>
        <v>1482</v>
      </c>
      <c r="D1817" s="2" t="str">
        <f t="shared" si="27"/>
        <v>Error?</v>
      </c>
    </row>
    <row r="1818" spans="1:4" x14ac:dyDescent="0.2">
      <c r="A1818" s="5">
        <v>1757</v>
      </c>
      <c r="B1818" s="138">
        <f>'Tax Sched 23'!E14</f>
        <v>19973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3077864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4996636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19354</v>
      </c>
      <c r="D1972" s="2" t="str">
        <f t="shared" si="29"/>
        <v>Error?</v>
      </c>
    </row>
    <row r="1973" spans="1:5" x14ac:dyDescent="0.2">
      <c r="A1973" s="5">
        <v>1912</v>
      </c>
      <c r="B1973" s="138">
        <f>'Rest Tax Levies-Tort Im 25'!H6</f>
        <v>14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19368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19368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27238</v>
      </c>
      <c r="D2008" s="2" t="str">
        <f t="shared" si="30"/>
        <v>Error?</v>
      </c>
    </row>
    <row r="2009" spans="1:4" x14ac:dyDescent="0.2">
      <c r="A2009" s="5">
        <v>1948</v>
      </c>
      <c r="B2009" s="138">
        <f>'Cap Outlay Deprec 26'!C8</f>
        <v>8702953</v>
      </c>
      <c r="D2009" s="2" t="str">
        <f t="shared" si="30"/>
        <v>Error?</v>
      </c>
    </row>
    <row r="2010" spans="1:4" x14ac:dyDescent="0.2">
      <c r="A2010" s="5">
        <v>1949</v>
      </c>
      <c r="B2010" s="138">
        <f>'Cap Outlay Deprec 26'!C10</f>
        <v>773786</v>
      </c>
      <c r="D2010" s="2" t="str">
        <f t="shared" si="30"/>
        <v>Error?</v>
      </c>
    </row>
    <row r="2011" spans="1:4" x14ac:dyDescent="0.2">
      <c r="A2011" s="5">
        <v>1950</v>
      </c>
      <c r="B2011" s="138">
        <f>'Cap Outlay Deprec 26'!C12</f>
        <v>855656</v>
      </c>
      <c r="D2011" s="2" t="str">
        <f t="shared" si="30"/>
        <v>Error?</v>
      </c>
    </row>
    <row r="2012" spans="1:4" x14ac:dyDescent="0.2">
      <c r="A2012" s="5">
        <v>1951</v>
      </c>
      <c r="B2012" s="138">
        <f>'Cap Outlay Deprec 26'!C13</f>
        <v>820731</v>
      </c>
      <c r="D2012" s="2" t="str">
        <f t="shared" si="30"/>
        <v>Error?</v>
      </c>
    </row>
    <row r="2013" spans="1:4" x14ac:dyDescent="0.2">
      <c r="A2013" s="5">
        <v>1952</v>
      </c>
      <c r="B2013" s="138">
        <f>'Cap Outlay Deprec 26'!C16</f>
        <v>11898428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1872335</v>
      </c>
      <c r="D2015" s="2" t="str">
        <f t="shared" si="30"/>
        <v>Error?</v>
      </c>
    </row>
    <row r="2016" spans="1:4" x14ac:dyDescent="0.2">
      <c r="A2016" s="5">
        <v>1955</v>
      </c>
      <c r="B2016" s="138">
        <f>'Cap Outlay Deprec 26'!D10</f>
        <v>324071</v>
      </c>
      <c r="D2016" s="2" t="str">
        <f t="shared" si="30"/>
        <v>Error?</v>
      </c>
    </row>
    <row r="2017" spans="1:4" x14ac:dyDescent="0.2">
      <c r="A2017" s="5">
        <v>1956</v>
      </c>
      <c r="B2017" s="138">
        <f>'Cap Outlay Deprec 26'!D12</f>
        <v>121967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2375442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165043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883107</v>
      </c>
      <c r="C2025" s="2" t="s">
        <v>594</v>
      </c>
      <c r="D2025" s="2" t="str">
        <f t="shared" si="30"/>
        <v>Error?</v>
      </c>
    </row>
    <row r="2026" spans="1:4" x14ac:dyDescent="0.2">
      <c r="A2026" s="5">
        <v>1965</v>
      </c>
      <c r="B2026" s="138">
        <f>'Cap Outlay Deprec 26'!F5</f>
        <v>27238</v>
      </c>
      <c r="C2026" s="2" t="s">
        <v>594</v>
      </c>
      <c r="D2026" s="2" t="str">
        <f t="shared" si="30"/>
        <v>Error?</v>
      </c>
    </row>
    <row r="2027" spans="1:4" x14ac:dyDescent="0.2">
      <c r="A2027" s="5">
        <v>1966</v>
      </c>
      <c r="B2027" s="138">
        <f>'Cap Outlay Deprec 26'!F8</f>
        <v>10575288</v>
      </c>
      <c r="C2027" s="2" t="s">
        <v>594</v>
      </c>
      <c r="D2027" s="2" t="str">
        <f t="shared" si="30"/>
        <v>Error?</v>
      </c>
    </row>
    <row r="2028" spans="1:4" x14ac:dyDescent="0.2">
      <c r="A2028" s="5">
        <v>1967</v>
      </c>
      <c r="B2028" s="138">
        <f>'Cap Outlay Deprec 26'!F10</f>
        <v>1097857</v>
      </c>
      <c r="C2028" s="2" t="s">
        <v>594</v>
      </c>
      <c r="D2028" s="2" t="str">
        <f t="shared" si="30"/>
        <v>Error?</v>
      </c>
    </row>
    <row r="2029" spans="1:4" x14ac:dyDescent="0.2">
      <c r="A2029" s="5">
        <v>1968</v>
      </c>
      <c r="B2029" s="138">
        <f>'Cap Outlay Deprec 26'!F12</f>
        <v>812580</v>
      </c>
      <c r="C2029" s="2" t="s">
        <v>594</v>
      </c>
      <c r="D2029" s="2" t="str">
        <f t="shared" si="30"/>
        <v>Error?</v>
      </c>
    </row>
    <row r="2030" spans="1:4" x14ac:dyDescent="0.2">
      <c r="A2030" s="5">
        <v>1969</v>
      </c>
      <c r="B2030" s="138">
        <f>'Cap Outlay Deprec 26'!F13</f>
        <v>820731</v>
      </c>
      <c r="C2030" s="2" t="s">
        <v>594</v>
      </c>
      <c r="D2030" s="2" t="str">
        <f t="shared" si="30"/>
        <v>Error?</v>
      </c>
    </row>
    <row r="2031" spans="1:4" x14ac:dyDescent="0.2">
      <c r="A2031" s="5">
        <v>1970</v>
      </c>
      <c r="B2031" s="138">
        <f>'Cap Outlay Deprec 26'!F16</f>
        <v>13390763</v>
      </c>
      <c r="C2031" s="2" t="s">
        <v>594</v>
      </c>
      <c r="D2031" s="2" t="str">
        <f t="shared" si="30"/>
        <v>Error?</v>
      </c>
    </row>
    <row r="2032" spans="1:4" x14ac:dyDescent="0.2">
      <c r="A2032" s="10">
        <v>1971</v>
      </c>
      <c r="D2032" s="2" t="str">
        <f t="shared" si="30"/>
        <v>OK</v>
      </c>
    </row>
    <row r="2033" spans="1:4" x14ac:dyDescent="0.2">
      <c r="A2033" s="5">
        <v>1972</v>
      </c>
      <c r="B2033" s="138">
        <f>'Cap Outlay Deprec 26'!H8</f>
        <v>4090954</v>
      </c>
      <c r="D2033" s="2" t="str">
        <f t="shared" si="30"/>
        <v>Error?</v>
      </c>
    </row>
    <row r="2034" spans="1:4" x14ac:dyDescent="0.2">
      <c r="A2034" s="5">
        <v>1973</v>
      </c>
      <c r="B2034" s="138">
        <f>'Cap Outlay Deprec 26'!H10</f>
        <v>199306</v>
      </c>
      <c r="D2034" s="2" t="str">
        <f t="shared" si="30"/>
        <v>Error?</v>
      </c>
    </row>
    <row r="2035" spans="1:4" x14ac:dyDescent="0.2">
      <c r="A2035" s="5">
        <v>1974</v>
      </c>
      <c r="B2035" s="138">
        <f>'Cap Outlay Deprec 26'!H12</f>
        <v>442855</v>
      </c>
      <c r="D2035" s="2" t="str">
        <f t="shared" si="30"/>
        <v>Error?</v>
      </c>
    </row>
    <row r="2036" spans="1:4" x14ac:dyDescent="0.2">
      <c r="A2036" s="5">
        <v>1975</v>
      </c>
      <c r="B2036" s="138">
        <f>'Cap Outlay Deprec 26'!H13</f>
        <v>793138</v>
      </c>
      <c r="D2036" s="2" t="str">
        <f t="shared" si="30"/>
        <v>Error?</v>
      </c>
    </row>
    <row r="2037" spans="1:4" x14ac:dyDescent="0.2">
      <c r="A2037" s="5">
        <v>1976</v>
      </c>
      <c r="B2037" s="138">
        <f>'Cap Outlay Deprec 26'!H16</f>
        <v>5526253</v>
      </c>
      <c r="C2037" s="2" t="s">
        <v>594</v>
      </c>
      <c r="D2037" s="2" t="str">
        <f t="shared" si="30"/>
        <v>Error?</v>
      </c>
    </row>
    <row r="2038" spans="1:4" x14ac:dyDescent="0.2">
      <c r="A2038" s="10">
        <v>1977</v>
      </c>
      <c r="D2038" s="2" t="str">
        <f t="shared" si="30"/>
        <v>OK</v>
      </c>
    </row>
    <row r="2039" spans="1:4" x14ac:dyDescent="0.2">
      <c r="A2039" s="5">
        <v>1978</v>
      </c>
      <c r="B2039" s="138">
        <f>'Cap Outlay Deprec 26'!I8</f>
        <v>191857</v>
      </c>
      <c r="D2039" s="2" t="str">
        <f t="shared" si="30"/>
        <v>Error?</v>
      </c>
    </row>
    <row r="2040" spans="1:4" x14ac:dyDescent="0.2">
      <c r="A2040" s="5">
        <v>1979</v>
      </c>
      <c r="B2040" s="138">
        <f>'Cap Outlay Deprec 26'!I10</f>
        <v>54894</v>
      </c>
      <c r="D2040" s="2" t="str">
        <f t="shared" si="30"/>
        <v>Error?</v>
      </c>
    </row>
    <row r="2041" spans="1:4" x14ac:dyDescent="0.2">
      <c r="A2041" s="5">
        <v>1980</v>
      </c>
      <c r="B2041" s="138">
        <f>'Cap Outlay Deprec 26'!I12</f>
        <v>81260</v>
      </c>
      <c r="D2041" s="2" t="str">
        <f t="shared" si="30"/>
        <v>Error?</v>
      </c>
    </row>
    <row r="2042" spans="1:4" x14ac:dyDescent="0.2">
      <c r="A2042" s="5">
        <v>1981</v>
      </c>
      <c r="B2042" s="138">
        <f>'Cap Outlay Deprec 26'!I13</f>
        <v>13796</v>
      </c>
      <c r="D2042" s="2" t="str">
        <f t="shared" si="30"/>
        <v>Error?</v>
      </c>
    </row>
    <row r="2043" spans="1:4" x14ac:dyDescent="0.2">
      <c r="A2043" s="5">
        <v>1982</v>
      </c>
      <c r="B2043" s="138">
        <f>'Cap Outlay Deprec 26'!I16</f>
        <v>341807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165043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165043</v>
      </c>
      <c r="C2049" s="2" t="s">
        <v>594</v>
      </c>
      <c r="D2049" s="2" t="str">
        <f t="shared" si="31"/>
        <v>Error?</v>
      </c>
    </row>
    <row r="2050" spans="1:4" x14ac:dyDescent="0.2">
      <c r="A2050" s="10">
        <v>1989</v>
      </c>
      <c r="D2050" s="2" t="str">
        <f t="shared" si="31"/>
        <v>OK</v>
      </c>
    </row>
    <row r="2051" spans="1:4" x14ac:dyDescent="0.2">
      <c r="A2051" s="5">
        <v>1990</v>
      </c>
      <c r="B2051" s="138">
        <f>'Cap Outlay Deprec 26'!K8</f>
        <v>4282811</v>
      </c>
      <c r="C2051" s="2" t="s">
        <v>594</v>
      </c>
      <c r="D2051" s="2" t="str">
        <f t="shared" si="31"/>
        <v>Error?</v>
      </c>
    </row>
    <row r="2052" spans="1:4" x14ac:dyDescent="0.2">
      <c r="A2052" s="5">
        <v>1991</v>
      </c>
      <c r="B2052" s="138">
        <f>'Cap Outlay Deprec 26'!K10</f>
        <v>254200</v>
      </c>
      <c r="C2052" s="2" t="s">
        <v>594</v>
      </c>
      <c r="D2052" s="2" t="str">
        <f t="shared" si="31"/>
        <v>Error?</v>
      </c>
    </row>
    <row r="2053" spans="1:4" x14ac:dyDescent="0.2">
      <c r="A2053" s="5">
        <v>1992</v>
      </c>
      <c r="B2053" s="138">
        <f>'Cap Outlay Deprec 26'!K12</f>
        <v>359072</v>
      </c>
      <c r="C2053" s="2" t="s">
        <v>594</v>
      </c>
      <c r="D2053" s="2" t="str">
        <f t="shared" si="31"/>
        <v>Error?</v>
      </c>
    </row>
    <row r="2054" spans="1:4" x14ac:dyDescent="0.2">
      <c r="A2054" s="5">
        <v>1993</v>
      </c>
      <c r="B2054" s="138">
        <f>'Cap Outlay Deprec 26'!K13</f>
        <v>806934</v>
      </c>
      <c r="C2054" s="2" t="s">
        <v>594</v>
      </c>
      <c r="D2054" s="2" t="str">
        <f t="shared" si="31"/>
        <v>Error?</v>
      </c>
    </row>
    <row r="2055" spans="1:4" x14ac:dyDescent="0.2">
      <c r="A2055" s="5">
        <v>1994</v>
      </c>
      <c r="B2055" s="138">
        <f>'Cap Outlay Deprec 26'!K16</f>
        <v>5703017</v>
      </c>
      <c r="C2055" s="2" t="s">
        <v>594</v>
      </c>
      <c r="D2055" s="2" t="str">
        <f t="shared" si="31"/>
        <v>Error?</v>
      </c>
    </row>
    <row r="2056" spans="1:4" x14ac:dyDescent="0.2">
      <c r="A2056" s="5">
        <v>1995</v>
      </c>
      <c r="B2056" s="138">
        <f>'Cap Outlay Deprec 26'!L5</f>
        <v>27238</v>
      </c>
      <c r="C2056" s="2" t="s">
        <v>594</v>
      </c>
      <c r="D2056" s="2" t="str">
        <f t="shared" si="31"/>
        <v>Error?</v>
      </c>
    </row>
    <row r="2057" spans="1:4" x14ac:dyDescent="0.2">
      <c r="A2057" s="5">
        <v>1996</v>
      </c>
      <c r="B2057" s="138">
        <f>'Cap Outlay Deprec 26'!L8</f>
        <v>6292477</v>
      </c>
      <c r="C2057" s="2" t="s">
        <v>594</v>
      </c>
      <c r="D2057" s="2" t="str">
        <f t="shared" si="31"/>
        <v>Error?</v>
      </c>
    </row>
    <row r="2058" spans="1:4" x14ac:dyDescent="0.2">
      <c r="A2058" s="5">
        <v>1997</v>
      </c>
      <c r="B2058" s="138">
        <f>'Cap Outlay Deprec 26'!L10</f>
        <v>843657</v>
      </c>
      <c r="C2058" s="2" t="s">
        <v>594</v>
      </c>
      <c r="D2058" s="2" t="str">
        <f t="shared" si="31"/>
        <v>Error?</v>
      </c>
    </row>
    <row r="2059" spans="1:4" x14ac:dyDescent="0.2">
      <c r="A2059" s="5">
        <v>1998</v>
      </c>
      <c r="B2059" s="138">
        <f>'Cap Outlay Deprec 26'!L12</f>
        <v>453508</v>
      </c>
      <c r="C2059" s="2" t="s">
        <v>594</v>
      </c>
      <c r="D2059" s="2" t="str">
        <f t="shared" si="31"/>
        <v>Error?</v>
      </c>
    </row>
    <row r="2060" spans="1:4" x14ac:dyDescent="0.2">
      <c r="A2060" s="5">
        <v>1999</v>
      </c>
      <c r="B2060" s="138">
        <f>'Cap Outlay Deprec 26'!L13</f>
        <v>13797</v>
      </c>
      <c r="C2060" s="2" t="s">
        <v>594</v>
      </c>
      <c r="D2060" s="2" t="str">
        <f t="shared" si="31"/>
        <v>Error?</v>
      </c>
    </row>
    <row r="2061" spans="1:4" x14ac:dyDescent="0.2">
      <c r="A2061" s="5">
        <v>2000</v>
      </c>
      <c r="B2061" s="138">
        <f>'Cap Outlay Deprec 26'!L16</f>
        <v>7687746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179279</v>
      </c>
      <c r="C2088" s="2" t="s">
        <v>594</v>
      </c>
      <c r="D2088" s="2" t="str">
        <f t="shared" si="31"/>
        <v>Error?</v>
      </c>
    </row>
    <row r="2089" spans="1:4" x14ac:dyDescent="0.2">
      <c r="A2089" s="5">
        <v>2028</v>
      </c>
      <c r="B2089" s="138">
        <f>'Expenditures 15-22'!K92</f>
        <v>92328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26259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2333058</v>
      </c>
      <c r="C2551" s="2" t="s">
        <v>594</v>
      </c>
      <c r="D2551" s="2" t="str">
        <f t="shared" si="38"/>
        <v>Error?</v>
      </c>
    </row>
    <row r="2552" spans="1:4" x14ac:dyDescent="0.2">
      <c r="A2552" s="10">
        <v>2491</v>
      </c>
      <c r="D2552" s="2" t="str">
        <f t="shared" si="38"/>
        <v>OK</v>
      </c>
    </row>
    <row r="2553" spans="1:4" x14ac:dyDescent="0.2">
      <c r="A2553" s="5">
        <v>2492</v>
      </c>
      <c r="B2553" s="138">
        <f>'Acct Summary 7-8'!C6</f>
        <v>3801197</v>
      </c>
      <c r="C2553" s="2" t="s">
        <v>594</v>
      </c>
      <c r="D2553" s="2" t="str">
        <f t="shared" si="38"/>
        <v>Error?</v>
      </c>
    </row>
    <row r="2554" spans="1:4" x14ac:dyDescent="0.2">
      <c r="A2554" s="5">
        <v>2493</v>
      </c>
      <c r="B2554" s="138">
        <f>'Acct Summary 7-8'!C7</f>
        <v>557792</v>
      </c>
      <c r="C2554" s="2" t="s">
        <v>594</v>
      </c>
      <c r="D2554" s="2" t="str">
        <f t="shared" si="38"/>
        <v>Error?</v>
      </c>
    </row>
    <row r="2555" spans="1:4" x14ac:dyDescent="0.2">
      <c r="A2555" s="5">
        <v>2494</v>
      </c>
      <c r="B2555" s="138">
        <f>'Acct Summary 7-8'!C8</f>
        <v>6692047</v>
      </c>
      <c r="C2555" s="2" t="s">
        <v>594</v>
      </c>
      <c r="D2555" s="2" t="str">
        <f t="shared" si="38"/>
        <v>Error?</v>
      </c>
    </row>
    <row r="2556" spans="1:4" x14ac:dyDescent="0.2">
      <c r="A2556" s="5">
        <v>2495</v>
      </c>
      <c r="B2556" s="138">
        <f>'Acct Summary 7-8'!C12</f>
        <v>3673461</v>
      </c>
      <c r="C2556" s="2" t="s">
        <v>594</v>
      </c>
      <c r="D2556" s="2" t="str">
        <f t="shared" si="38"/>
        <v>Error?</v>
      </c>
    </row>
    <row r="2557" spans="1:4" x14ac:dyDescent="0.2">
      <c r="A2557" s="5">
        <v>2496</v>
      </c>
      <c r="B2557" s="138">
        <f>'Acct Summary 7-8'!C13</f>
        <v>2141519</v>
      </c>
      <c r="C2557" s="2" t="s">
        <v>594</v>
      </c>
      <c r="D2557" s="2" t="str">
        <f t="shared" si="38"/>
        <v>Error?</v>
      </c>
    </row>
    <row r="2558" spans="1:4" x14ac:dyDescent="0.2">
      <c r="A2558" s="5">
        <v>2497</v>
      </c>
      <c r="B2558" s="138">
        <f>'Acct Summary 7-8'!C14</f>
        <v>55098</v>
      </c>
      <c r="C2558" s="2" t="s">
        <v>594</v>
      </c>
      <c r="D2558" s="2" t="str">
        <f t="shared" si="38"/>
        <v>Error?</v>
      </c>
    </row>
    <row r="2559" spans="1:4" x14ac:dyDescent="0.2">
      <c r="A2559" s="5">
        <v>2498</v>
      </c>
      <c r="B2559" s="138">
        <f>'Acct Summary 7-8'!C15</f>
        <v>271607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6141685</v>
      </c>
      <c r="C2561" s="2" t="s">
        <v>594</v>
      </c>
      <c r="D2561" s="2" t="str">
        <f t="shared" si="39"/>
        <v>Error?</v>
      </c>
    </row>
    <row r="2562" spans="1:4" x14ac:dyDescent="0.2">
      <c r="A2562" s="5">
        <v>2501</v>
      </c>
      <c r="B2562" s="138">
        <f>'Acct Summary 7-8'!C20</f>
        <v>550362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252017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252017</v>
      </c>
      <c r="C2568" s="2" t="s">
        <v>594</v>
      </c>
      <c r="D2568" s="2" t="str">
        <f t="shared" si="39"/>
        <v>Error?</v>
      </c>
    </row>
    <row r="2569" spans="1:4" x14ac:dyDescent="0.2">
      <c r="A2569" s="5">
        <v>2508</v>
      </c>
      <c r="B2569" s="138">
        <f>'Acct Summary 7-8'!D13</f>
        <v>271304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271304</v>
      </c>
      <c r="C2573" s="2" t="s">
        <v>594</v>
      </c>
      <c r="D2573" s="2" t="str">
        <f t="shared" si="39"/>
        <v>Error?</v>
      </c>
    </row>
    <row r="2574" spans="1:4" x14ac:dyDescent="0.2">
      <c r="A2574" s="5">
        <v>2513</v>
      </c>
      <c r="B2574" s="138">
        <f>'Acct Summary 7-8'!D20</f>
        <v>-19287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158141</v>
      </c>
      <c r="C2591" s="2" t="s">
        <v>594</v>
      </c>
      <c r="D2591" s="2" t="str">
        <f t="shared" si="39"/>
        <v>Error?</v>
      </c>
    </row>
    <row r="2592" spans="1:4" x14ac:dyDescent="0.2">
      <c r="A2592" s="10">
        <v>2531</v>
      </c>
      <c r="D2592" s="2" t="str">
        <f t="shared" si="39"/>
        <v>OK</v>
      </c>
    </row>
    <row r="2593" spans="1:4" x14ac:dyDescent="0.2">
      <c r="A2593" s="5">
        <v>2532</v>
      </c>
      <c r="B2593" s="138">
        <f>'Acct Summary 7-8'!F6</f>
        <v>419831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577972</v>
      </c>
      <c r="C2595" s="2" t="s">
        <v>594</v>
      </c>
      <c r="D2595" s="2" t="str">
        <f t="shared" si="39"/>
        <v>Error?</v>
      </c>
    </row>
    <row r="2596" spans="1:4" x14ac:dyDescent="0.2">
      <c r="A2596" s="5">
        <v>2535</v>
      </c>
      <c r="B2596" s="138">
        <f>'Acct Summary 7-8'!F13</f>
        <v>590220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590220</v>
      </c>
      <c r="C2600" s="2" t="s">
        <v>594</v>
      </c>
      <c r="D2600" s="2" t="str">
        <f t="shared" si="39"/>
        <v>Error?</v>
      </c>
    </row>
    <row r="2601" spans="1:4" x14ac:dyDescent="0.2">
      <c r="A2601" s="5">
        <v>2540</v>
      </c>
      <c r="B2601" s="138">
        <f>'Acct Summary 7-8'!F20</f>
        <v>-12248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237040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237040</v>
      </c>
      <c r="C2606" s="2" t="s">
        <v>594</v>
      </c>
      <c r="D2606" s="2" t="str">
        <f t="shared" si="39"/>
        <v>Error?</v>
      </c>
    </row>
    <row r="2607" spans="1:4" x14ac:dyDescent="0.2">
      <c r="A2607" s="5">
        <v>2546</v>
      </c>
      <c r="B2607" s="138">
        <f>'Acct Summary 7-8'!G12</f>
        <v>92685</v>
      </c>
      <c r="C2607" s="2" t="s">
        <v>594</v>
      </c>
      <c r="D2607" s="2" t="str">
        <f t="shared" si="39"/>
        <v>Error?</v>
      </c>
    </row>
    <row r="2608" spans="1:4" x14ac:dyDescent="0.2">
      <c r="A2608" s="5">
        <v>2547</v>
      </c>
      <c r="B2608" s="138">
        <f>'Acct Summary 7-8'!G13</f>
        <v>139362</v>
      </c>
      <c r="C2608" s="2" t="s">
        <v>594</v>
      </c>
      <c r="D2608" s="2" t="str">
        <f t="shared" si="39"/>
        <v>Error?</v>
      </c>
    </row>
    <row r="2609" spans="1:4" x14ac:dyDescent="0.2">
      <c r="A2609" s="5">
        <v>2548</v>
      </c>
      <c r="B2609" s="138">
        <f>'Acct Summary 7-8'!G14</f>
        <v>8737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240784</v>
      </c>
      <c r="C2612" s="2" t="s">
        <v>594</v>
      </c>
      <c r="D2612" s="2" t="str">
        <f t="shared" si="39"/>
        <v>Error?</v>
      </c>
    </row>
    <row r="2613" spans="1:4" x14ac:dyDescent="0.2">
      <c r="A2613" s="5">
        <v>2552</v>
      </c>
      <c r="B2613" s="138">
        <f>'Acct Summary 7-8'!G20</f>
        <v>-3744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376882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376882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491238</v>
      </c>
      <c r="C2634" s="2" t="s">
        <v>594</v>
      </c>
      <c r="D2634" s="2" t="str">
        <f t="shared" si="40"/>
        <v>Error?</v>
      </c>
    </row>
    <row r="2635" spans="1:4" x14ac:dyDescent="0.2">
      <c r="A2635" s="5">
        <v>2574</v>
      </c>
      <c r="B2635" s="138">
        <f>'Acct Summary 7-8'!E17</f>
        <v>491238</v>
      </c>
      <c r="C2635" s="2" t="s">
        <v>594</v>
      </c>
      <c r="D2635" s="2" t="str">
        <f t="shared" si="40"/>
        <v>Error?</v>
      </c>
    </row>
    <row r="2636" spans="1:4" x14ac:dyDescent="0.2">
      <c r="A2636" s="5">
        <v>2575</v>
      </c>
      <c r="B2636" s="138">
        <f>'Acct Summary 7-8'!E20</f>
        <v>-114356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24260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24260</v>
      </c>
      <c r="C2658" s="2" t="s">
        <v>594</v>
      </c>
      <c r="D2658" s="2" t="str">
        <f t="shared" si="40"/>
        <v>Error?</v>
      </c>
    </row>
    <row r="2659" spans="1:4" x14ac:dyDescent="0.2">
      <c r="A2659" s="5">
        <v>2598</v>
      </c>
      <c r="B2659" s="138">
        <f>'Acct Summary 7-8'!H13</f>
        <v>1640867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1640867</v>
      </c>
      <c r="C2661" s="2" t="s">
        <v>594</v>
      </c>
      <c r="D2661" s="2" t="str">
        <f t="shared" si="40"/>
        <v>Error?</v>
      </c>
    </row>
    <row r="2662" spans="1:4" x14ac:dyDescent="0.2">
      <c r="A2662" s="5">
        <v>2601</v>
      </c>
      <c r="B2662" s="138">
        <f>'Acct Summary 7-8'!H20</f>
        <v>-1616607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179279</v>
      </c>
      <c r="C2789" s="2" t="s">
        <v>594</v>
      </c>
      <c r="D2789" s="2" t="str">
        <f t="shared" si="42"/>
        <v>Error?</v>
      </c>
    </row>
    <row r="2790" spans="1:4" x14ac:dyDescent="0.2">
      <c r="A2790" s="5">
        <v>2729</v>
      </c>
      <c r="B2790" s="138">
        <f>'Expenditures 15-22'!E102</f>
        <v>179279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57069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1092350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1096244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22402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1096244</v>
      </c>
      <c r="D2912" s="2" t="str">
        <f t="shared" si="44"/>
        <v>Error?</v>
      </c>
    </row>
    <row r="2913" spans="1:4" x14ac:dyDescent="0.2">
      <c r="A2913" s="5">
        <v>2852</v>
      </c>
      <c r="B2913" s="138">
        <f>'Assets-Liab 5-6'!I41</f>
        <v>1096244</v>
      </c>
      <c r="C2913" s="2" t="s">
        <v>594</v>
      </c>
      <c r="D2913" s="2" t="str">
        <f t="shared" si="44"/>
        <v>Error?</v>
      </c>
    </row>
    <row r="2914" spans="1:4" x14ac:dyDescent="0.2">
      <c r="A2914" s="5">
        <v>2853</v>
      </c>
      <c r="B2914" s="138">
        <f>'Assets-Liab 5-6'!L33</f>
        <v>22402</v>
      </c>
      <c r="D2914" s="2" t="str">
        <f t="shared" si="44"/>
        <v>Error?</v>
      </c>
    </row>
    <row r="2915" spans="1:4" x14ac:dyDescent="0.2">
      <c r="A2915" s="10">
        <v>2854</v>
      </c>
      <c r="D2915" s="2" t="str">
        <f t="shared" si="44"/>
        <v>OK</v>
      </c>
    </row>
    <row r="2916" spans="1:4" x14ac:dyDescent="0.2">
      <c r="A2916" s="5">
        <v>2855</v>
      </c>
      <c r="B2916" s="138">
        <f>'Assets-Liab 5-6'!L34</f>
        <v>22402</v>
      </c>
      <c r="C2916" s="2" t="s">
        <v>594</v>
      </c>
      <c r="D2916" s="2" t="str">
        <f t="shared" si="44"/>
        <v>Error?</v>
      </c>
    </row>
    <row r="2917" spans="1:4" x14ac:dyDescent="0.2">
      <c r="A2917" s="5">
        <v>2856</v>
      </c>
      <c r="B2917" s="138">
        <f>'Assets-Liab 5-6'!L41</f>
        <v>22402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179279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179279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121695</v>
      </c>
      <c r="D3055" s="2" t="str">
        <f t="shared" si="46"/>
        <v>Error?</v>
      </c>
    </row>
    <row r="3056" spans="1:4" x14ac:dyDescent="0.2">
      <c r="A3056" s="5">
        <v>2995</v>
      </c>
      <c r="B3056" s="138">
        <f>'Expenditures 15-22'!D10</f>
        <v>38905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4162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164762</v>
      </c>
      <c r="C3062" s="2" t="s">
        <v>594</v>
      </c>
      <c r="D3062" s="2" t="str">
        <f t="shared" si="46"/>
        <v>Error?</v>
      </c>
    </row>
    <row r="3063" spans="1:4" x14ac:dyDescent="0.2">
      <c r="A3063" s="10">
        <v>3002</v>
      </c>
      <c r="D3063" s="2" t="str">
        <f t="shared" si="46"/>
        <v>OK</v>
      </c>
    </row>
    <row r="3064" spans="1:4" x14ac:dyDescent="0.2">
      <c r="A3064" s="5">
        <v>3003</v>
      </c>
      <c r="B3064" s="138">
        <f>'Expenditures 15-22'!D219</f>
        <v>4988</v>
      </c>
      <c r="D3064" s="2" t="str">
        <f t="shared" si="46"/>
        <v>Error?</v>
      </c>
    </row>
    <row r="3065" spans="1:4" x14ac:dyDescent="0.2">
      <c r="A3065" s="5">
        <v>3004</v>
      </c>
      <c r="B3065" s="138">
        <f>'Expenditures 15-22'!K219</f>
        <v>4988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22992</v>
      </c>
      <c r="C3225" s="2" t="s">
        <v>594</v>
      </c>
      <c r="D3225" s="2" t="str">
        <f t="shared" si="49"/>
        <v>Error?</v>
      </c>
    </row>
    <row r="3226" spans="1:4" x14ac:dyDescent="0.2">
      <c r="A3226" s="5">
        <v>3165</v>
      </c>
      <c r="B3226" s="138">
        <f>'Acct Summary 7-8'!I8</f>
        <v>22992</v>
      </c>
      <c r="C3226" s="2" t="s">
        <v>594</v>
      </c>
      <c r="D3226" s="2" t="str">
        <f t="shared" si="49"/>
        <v>Error?</v>
      </c>
    </row>
    <row r="3227" spans="1:4" x14ac:dyDescent="0.2">
      <c r="A3227" s="5">
        <v>3166</v>
      </c>
      <c r="B3227" s="138">
        <f>'Acct Summary 7-8'!I20</f>
        <v>22992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15409</v>
      </c>
      <c r="C3231" s="2" t="s">
        <v>594</v>
      </c>
      <c r="D3231" s="2" t="str">
        <f t="shared" si="49"/>
        <v>Error?</v>
      </c>
    </row>
    <row r="3232" spans="1:4" x14ac:dyDescent="0.2">
      <c r="A3232" s="5">
        <v>3171</v>
      </c>
      <c r="B3232" s="138">
        <f>'Acct Summary 7-8'!C77</f>
        <v>-15409</v>
      </c>
      <c r="C3232" s="2" t="s">
        <v>594</v>
      </c>
      <c r="D3232" s="2" t="str">
        <f t="shared" si="49"/>
        <v>Error?</v>
      </c>
    </row>
    <row r="3233" spans="1:4" x14ac:dyDescent="0.2">
      <c r="A3233" s="5">
        <v>3172</v>
      </c>
      <c r="B3233" s="138">
        <f>'Acct Summary 7-8'!C78</f>
        <v>534953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-19287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-12248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-3744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15409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15409</v>
      </c>
      <c r="C3277" s="2" t="s">
        <v>594</v>
      </c>
      <c r="D3277" s="2" t="str">
        <f t="shared" si="50"/>
        <v>Error?</v>
      </c>
    </row>
    <row r="3278" spans="1:4" x14ac:dyDescent="0.2">
      <c r="A3278" s="5">
        <v>3217</v>
      </c>
      <c r="B3278" s="138">
        <f>'Acct Summary 7-8'!E78</f>
        <v>-98947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-1616607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22992</v>
      </c>
      <c r="C3320" s="2" t="s">
        <v>594</v>
      </c>
      <c r="D3320" s="2" t="str">
        <f t="shared" si="50"/>
        <v>Error?</v>
      </c>
    </row>
    <row r="3321" spans="1:4" x14ac:dyDescent="0.2">
      <c r="A3321" s="5">
        <v>3260</v>
      </c>
      <c r="B3321" s="138">
        <f>'Acct Summary 7-8'!I79</f>
        <v>1073252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1096244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486875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124308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621533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30384</v>
      </c>
      <c r="D3387" s="2" t="str">
        <f t="shared" si="51"/>
        <v>Error?</v>
      </c>
    </row>
    <row r="3388" spans="1:4" x14ac:dyDescent="0.2">
      <c r="A3388" s="5">
        <v>3327</v>
      </c>
      <c r="B3388" s="138">
        <f>'Expenditures 15-22'!D217</f>
        <v>44550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30384</v>
      </c>
      <c r="C3390" s="2" t="s">
        <v>594</v>
      </c>
      <c r="D3390" s="2" t="str">
        <f t="shared" si="51"/>
        <v>Error?</v>
      </c>
    </row>
    <row r="3391" spans="1:4" x14ac:dyDescent="0.2">
      <c r="A3391" s="5">
        <v>3330</v>
      </c>
      <c r="B3391" s="138">
        <f>'Expenditures 15-22'!K217</f>
        <v>44550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144498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27276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16556</v>
      </c>
      <c r="D3417" s="2" t="str">
        <f t="shared" si="52"/>
        <v>Error?</v>
      </c>
    </row>
    <row r="3418" spans="1:4" x14ac:dyDescent="0.2">
      <c r="A3418" s="10">
        <v>3357</v>
      </c>
      <c r="D3418" s="2" t="str">
        <f t="shared" si="52"/>
        <v>OK</v>
      </c>
    </row>
    <row r="3419" spans="1:4" x14ac:dyDescent="0.2">
      <c r="A3419" s="5">
        <v>3358</v>
      </c>
      <c r="B3419" s="138">
        <f>'Assets-Liab 5-6'!F4</f>
        <v>111097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55549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101822</v>
      </c>
      <c r="D3425" s="2" t="str">
        <f t="shared" si="52"/>
        <v>Error?</v>
      </c>
    </row>
    <row r="3426" spans="1:4" x14ac:dyDescent="0.2">
      <c r="A3426" s="10">
        <v>3365</v>
      </c>
      <c r="D3426" s="2" t="str">
        <f t="shared" si="52"/>
        <v>OK</v>
      </c>
    </row>
    <row r="3427" spans="1:4" x14ac:dyDescent="0.2">
      <c r="A3427" s="5">
        <v>3366</v>
      </c>
      <c r="B3427" s="138">
        <f>'Assets-Liab 5-6'!I4</f>
        <v>3894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22402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106682</v>
      </c>
      <c r="C3446" s="2" t="s">
        <v>594</v>
      </c>
      <c r="D3446" s="2" t="str">
        <f t="shared" si="52"/>
        <v>Error?</v>
      </c>
    </row>
    <row r="3447" spans="1:4" x14ac:dyDescent="0.2">
      <c r="A3447" s="5">
        <v>3386</v>
      </c>
      <c r="B3447" s="138">
        <f>'Tax Sched 23'!D16</f>
        <v>106682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110028</v>
      </c>
      <c r="C3449" s="2" t="s">
        <v>594</v>
      </c>
      <c r="D3449" s="2" t="str">
        <f t="shared" si="52"/>
        <v>Error?</v>
      </c>
    </row>
    <row r="3450" spans="1:4" x14ac:dyDescent="0.2">
      <c r="A3450" s="5">
        <v>3389</v>
      </c>
      <c r="B3450" s="138">
        <f>'Tax Sched 23'!E16</f>
        <v>110028</v>
      </c>
      <c r="D3450" s="2" t="str">
        <f t="shared" si="52"/>
        <v>Error?</v>
      </c>
    </row>
    <row r="3451" spans="1:4" x14ac:dyDescent="0.2">
      <c r="A3451" s="5">
        <v>3390</v>
      </c>
      <c r="B3451" s="138">
        <f>'Cap Outlay Deprec 26'!C15</f>
        <v>718064</v>
      </c>
      <c r="D3451" s="2" t="str">
        <f t="shared" si="52"/>
        <v>Error?</v>
      </c>
    </row>
    <row r="3452" spans="1:4" x14ac:dyDescent="0.2">
      <c r="A3452" s="5">
        <v>3391</v>
      </c>
      <c r="B3452" s="138">
        <f>'Cap Outlay Deprec 26'!D15</f>
        <v>57069</v>
      </c>
      <c r="D3452" s="2" t="str">
        <f t="shared" si="52"/>
        <v>Error?</v>
      </c>
    </row>
    <row r="3453" spans="1:4" x14ac:dyDescent="0.2">
      <c r="A3453" s="5">
        <v>3392</v>
      </c>
      <c r="B3453" s="138">
        <f>'Cap Outlay Deprec 26'!E15</f>
        <v>718064</v>
      </c>
      <c r="D3453" s="2" t="str">
        <f t="shared" si="52"/>
        <v>Error?</v>
      </c>
    </row>
    <row r="3454" spans="1:4" x14ac:dyDescent="0.2">
      <c r="A3454" s="5">
        <v>3393</v>
      </c>
      <c r="B3454" s="138">
        <f>'Cap Outlay Deprec 26'!F15</f>
        <v>57069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57069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41336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42769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42769</v>
      </c>
      <c r="D3567" s="2" t="str">
        <f t="shared" si="54"/>
        <v>Error?</v>
      </c>
    </row>
    <row r="3568" spans="1:4" x14ac:dyDescent="0.2">
      <c r="A3568" s="5">
        <v>3507</v>
      </c>
      <c r="B3568" s="138">
        <f>'Assets-Liab 5-6'!K41</f>
        <v>42769</v>
      </c>
      <c r="C3568" s="2" t="s">
        <v>594</v>
      </c>
      <c r="D3568" s="2" t="str">
        <f t="shared" si="54"/>
        <v>Error?</v>
      </c>
    </row>
    <row r="3569" spans="1:4" x14ac:dyDescent="0.2">
      <c r="A3569" s="5">
        <v>3508</v>
      </c>
      <c r="B3569" s="138">
        <f>'Acct Summary 7-8'!K4</f>
        <v>1946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1946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1946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1946</v>
      </c>
      <c r="C3588" s="2" t="s">
        <v>594</v>
      </c>
      <c r="D3588" s="2" t="str">
        <f t="shared" si="55"/>
        <v>Error?</v>
      </c>
    </row>
    <row r="3589" spans="1:4" x14ac:dyDescent="0.2">
      <c r="A3589" s="5">
        <v>3528</v>
      </c>
      <c r="B3589" s="138">
        <f>'Acct Summary 7-8'!K79</f>
        <v>40823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42769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1946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112296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2198517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8890564</v>
      </c>
      <c r="C4122" s="2" t="s">
        <v>594</v>
      </c>
      <c r="D4122" s="2" t="str">
        <f t="shared" si="63"/>
        <v>Error?</v>
      </c>
    </row>
    <row r="4123" spans="1:4" x14ac:dyDescent="0.2">
      <c r="A4123" s="5">
        <v>4062</v>
      </c>
      <c r="B4123" s="138">
        <f>'Acct Summary 7-8'!D10</f>
        <v>252017</v>
      </c>
      <c r="C4123" s="2" t="s">
        <v>594</v>
      </c>
      <c r="D4123" s="2" t="str">
        <f t="shared" si="63"/>
        <v>Error?</v>
      </c>
    </row>
    <row r="4124" spans="1:4" x14ac:dyDescent="0.2">
      <c r="A4124" s="5">
        <v>4063</v>
      </c>
      <c r="B4124" s="138">
        <f>'Acct Summary 7-8'!E10</f>
        <v>376882</v>
      </c>
      <c r="C4124" s="2" t="s">
        <v>594</v>
      </c>
      <c r="D4124" s="2" t="str">
        <f t="shared" si="63"/>
        <v>Error?</v>
      </c>
    </row>
    <row r="4125" spans="1:4" x14ac:dyDescent="0.2">
      <c r="A4125" s="5">
        <v>4064</v>
      </c>
      <c r="B4125" s="138">
        <f>'Acct Summary 7-8'!F10</f>
        <v>577972</v>
      </c>
      <c r="C4125" s="2" t="s">
        <v>594</v>
      </c>
      <c r="D4125" s="2" t="str">
        <f t="shared" si="63"/>
        <v>Error?</v>
      </c>
    </row>
    <row r="4126" spans="1:4" x14ac:dyDescent="0.2">
      <c r="A4126" s="5">
        <v>4065</v>
      </c>
      <c r="B4126" s="138">
        <f>'Acct Summary 7-8'!G10</f>
        <v>237040</v>
      </c>
      <c r="C4126" s="2" t="s">
        <v>594</v>
      </c>
      <c r="D4126" s="2" t="str">
        <f t="shared" si="63"/>
        <v>Error?</v>
      </c>
    </row>
    <row r="4127" spans="1:4" x14ac:dyDescent="0.2">
      <c r="A4127" s="5">
        <v>4066</v>
      </c>
      <c r="B4127" s="138">
        <f>'Acct Summary 7-8'!H10</f>
        <v>24260</v>
      </c>
      <c r="C4127" s="2" t="s">
        <v>594</v>
      </c>
      <c r="D4127" s="2" t="str">
        <f t="shared" si="63"/>
        <v>Error?</v>
      </c>
    </row>
    <row r="4128" spans="1:4" x14ac:dyDescent="0.2">
      <c r="A4128" s="5">
        <v>4067</v>
      </c>
      <c r="B4128" s="138">
        <f>'Acct Summary 7-8'!I10</f>
        <v>22992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1946</v>
      </c>
      <c r="C4130" s="2" t="s">
        <v>594</v>
      </c>
      <c r="D4130" s="2" t="str">
        <f t="shared" si="63"/>
        <v>Error?</v>
      </c>
    </row>
    <row r="4131" spans="1:4" x14ac:dyDescent="0.2">
      <c r="A4131" s="5">
        <v>4070</v>
      </c>
      <c r="B4131" s="138">
        <f>'Acct Summary 7-8'!C18</f>
        <v>2198517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8340202</v>
      </c>
      <c r="C4136" s="2" t="s">
        <v>594</v>
      </c>
      <c r="D4136" s="2" t="str">
        <f t="shared" si="63"/>
        <v>Error?</v>
      </c>
    </row>
    <row r="4137" spans="1:4" x14ac:dyDescent="0.2">
      <c r="A4137" s="5">
        <v>4076</v>
      </c>
      <c r="B4137" s="138">
        <f>'Acct Summary 7-8'!D19</f>
        <v>271304</v>
      </c>
      <c r="C4137" s="2" t="s">
        <v>594</v>
      </c>
      <c r="D4137" s="2" t="str">
        <f t="shared" si="63"/>
        <v>Error?</v>
      </c>
    </row>
    <row r="4138" spans="1:4" x14ac:dyDescent="0.2">
      <c r="A4138" s="5">
        <v>4077</v>
      </c>
      <c r="B4138" s="138">
        <f>'Acct Summary 7-8'!E19</f>
        <v>491238</v>
      </c>
      <c r="C4138" s="2" t="s">
        <v>594</v>
      </c>
      <c r="D4138" s="2" t="str">
        <f t="shared" si="63"/>
        <v>Error?</v>
      </c>
    </row>
    <row r="4139" spans="1:4" x14ac:dyDescent="0.2">
      <c r="A4139" s="5">
        <v>4078</v>
      </c>
      <c r="B4139" s="138">
        <f>'Acct Summary 7-8'!F19</f>
        <v>590220</v>
      </c>
      <c r="C4139" s="2" t="s">
        <v>594</v>
      </c>
      <c r="D4139" s="2" t="str">
        <f t="shared" si="63"/>
        <v>Error?</v>
      </c>
    </row>
    <row r="4140" spans="1:4" x14ac:dyDescent="0.2">
      <c r="A4140" s="5">
        <v>4079</v>
      </c>
      <c r="B4140" s="138">
        <f>'Acct Summary 7-8'!G19</f>
        <v>240784</v>
      </c>
      <c r="C4140" s="2" t="s">
        <v>594</v>
      </c>
      <c r="D4140" s="2" t="str">
        <f t="shared" si="63"/>
        <v>Error?</v>
      </c>
    </row>
    <row r="4141" spans="1:4" x14ac:dyDescent="0.2">
      <c r="A4141" s="5">
        <v>4080</v>
      </c>
      <c r="B4141" s="138">
        <f>'Acct Summary 7-8'!H19</f>
        <v>1640867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4726227</v>
      </c>
      <c r="C4171" s="2" t="s">
        <v>594</v>
      </c>
      <c r="D4171" s="2" t="str">
        <f t="shared" si="64"/>
        <v>Error?</v>
      </c>
    </row>
    <row r="4172" spans="1:4" x14ac:dyDescent="0.2">
      <c r="A4172" s="5">
        <v>4111</v>
      </c>
      <c r="B4172" s="138">
        <f>'Short-Term Long-Term Debt 24'!J49</f>
        <v>4709671</v>
      </c>
      <c r="C4172" s="2" t="s">
        <v>594</v>
      </c>
      <c r="D4172" s="2" t="str">
        <f t="shared" si="64"/>
        <v>Error?</v>
      </c>
    </row>
    <row r="4173" spans="1:4" x14ac:dyDescent="0.2">
      <c r="A4173" s="5">
        <v>4112</v>
      </c>
      <c r="B4173" s="138">
        <f>'Short-Term Long-Term Debt 24'!H49</f>
        <v>270409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2311.4</v>
      </c>
      <c r="C4265" s="2" t="s">
        <v>594</v>
      </c>
      <c r="D4265" s="2" t="str">
        <f t="shared" si="65"/>
        <v>Error?</v>
      </c>
      <c r="E4265" s="128"/>
    </row>
    <row r="4266" spans="1:5" x14ac:dyDescent="0.2">
      <c r="A4266" s="12">
        <v>4205</v>
      </c>
      <c r="B4266" s="138">
        <f>('FP Info 3'!F10)*100000</f>
        <v>290.56</v>
      </c>
      <c r="C4266" s="2" t="s">
        <v>594</v>
      </c>
      <c r="D4266" s="2" t="str">
        <f t="shared" si="65"/>
        <v>Error?</v>
      </c>
      <c r="E4266" s="128"/>
    </row>
    <row r="4267" spans="1:5" x14ac:dyDescent="0.2">
      <c r="A4267" s="12">
        <v>4206</v>
      </c>
      <c r="B4267" s="138">
        <f>('FP Info 3'!H10)*100000</f>
        <v>143.44999999999999</v>
      </c>
      <c r="C4267" s="2" t="s">
        <v>594</v>
      </c>
      <c r="D4267" s="2" t="str">
        <f t="shared" si="65"/>
        <v>Error?</v>
      </c>
      <c r="E4267" s="128"/>
    </row>
    <row r="4268" spans="1:5" x14ac:dyDescent="0.2">
      <c r="A4268" s="12">
        <v>4207</v>
      </c>
      <c r="B4268" s="138">
        <f>('FP Info 3'!J10)*100000</f>
        <v>2745</v>
      </c>
      <c r="C4268" s="2" t="s">
        <v>594</v>
      </c>
      <c r="D4268" s="2" t="str">
        <f t="shared" si="65"/>
        <v>Error?</v>
      </c>
    </row>
    <row r="4269" spans="1:5" x14ac:dyDescent="0.2">
      <c r="A4269" s="12">
        <v>4208</v>
      </c>
      <c r="B4269" s="138">
        <f>'FP Info 3'!J16</f>
        <v>5189554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18955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12968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20010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88220247</v>
      </c>
      <c r="D4995" s="2" t="str">
        <f t="shared" si="77"/>
        <v>Error?</v>
      </c>
    </row>
    <row r="4996" spans="1:4" x14ac:dyDescent="0.2">
      <c r="A4996" s="12">
        <v>4935</v>
      </c>
      <c r="B4996" s="138">
        <f>'FP Info 3'!H31</f>
        <v>6087197.0430000005</v>
      </c>
      <c r="D4996" s="2" t="str">
        <f t="shared" si="77"/>
        <v>Error?</v>
      </c>
    </row>
    <row r="4997" spans="1:4" x14ac:dyDescent="0.2">
      <c r="A4997" s="12">
        <v>4936</v>
      </c>
      <c r="B4997" s="138">
        <f>'FP Info 3'!H37</f>
        <v>4726227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1977300</v>
      </c>
      <c r="D5061" s="2" t="str">
        <f t="shared" si="78"/>
        <v>Error?</v>
      </c>
    </row>
    <row r="5062" spans="1:4" x14ac:dyDescent="0.2">
      <c r="A5062" s="10">
        <v>5001</v>
      </c>
      <c r="D5062" s="2" t="str">
        <f t="shared" si="78"/>
        <v>OK</v>
      </c>
    </row>
    <row r="5063" spans="1:4" x14ac:dyDescent="0.2">
      <c r="A5063" s="5">
        <v>5002</v>
      </c>
      <c r="B5063" s="138">
        <f>'Revenues 9-14'!C7</f>
        <v>19354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1996654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37861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37861</v>
      </c>
      <c r="C5090" s="2" t="s">
        <v>594</v>
      </c>
      <c r="D5090" s="2" t="str">
        <f t="shared" si="78"/>
        <v>Error?</v>
      </c>
    </row>
    <row r="5091" spans="1:4" x14ac:dyDescent="0.2">
      <c r="A5091" s="5">
        <v>5030</v>
      </c>
      <c r="B5091" s="138">
        <f>'Revenues 9-14'!C70</f>
        <v>9967</v>
      </c>
      <c r="D5091" s="2" t="str">
        <f t="shared" si="78"/>
        <v>Error?</v>
      </c>
    </row>
    <row r="5092" spans="1:4" x14ac:dyDescent="0.2">
      <c r="A5092" s="5">
        <v>5031</v>
      </c>
      <c r="B5092" s="138">
        <f>'Revenues 9-14'!C71</f>
        <v>4835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3488</v>
      </c>
      <c r="D5094" s="2" t="str">
        <f t="shared" si="78"/>
        <v>Error?</v>
      </c>
    </row>
    <row r="5095" spans="1:4" x14ac:dyDescent="0.2">
      <c r="A5095" s="5">
        <v>5034</v>
      </c>
      <c r="B5095" s="138">
        <f>'Revenues 9-14'!C74</f>
        <v>18081</v>
      </c>
      <c r="D5095" s="2" t="str">
        <f t="shared" si="78"/>
        <v>Error?</v>
      </c>
    </row>
    <row r="5096" spans="1:4" x14ac:dyDescent="0.2">
      <c r="A5096" s="5">
        <v>5035</v>
      </c>
      <c r="B5096" s="138">
        <f>'Revenues 9-14'!C75</f>
        <v>85336</v>
      </c>
      <c r="C5096" s="2" t="s">
        <v>594</v>
      </c>
      <c r="D5096" s="2" t="str">
        <f t="shared" si="78"/>
        <v>Error?</v>
      </c>
    </row>
    <row r="5097" spans="1:4" x14ac:dyDescent="0.2">
      <c r="A5097" s="5">
        <v>5036</v>
      </c>
      <c r="B5097" s="138">
        <f>'Revenues 9-14'!C77</f>
        <v>7333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7333</v>
      </c>
      <c r="C5102" s="2" t="s">
        <v>594</v>
      </c>
      <c r="D5102" s="2" t="str">
        <f t="shared" si="78"/>
        <v>Error?</v>
      </c>
    </row>
    <row r="5103" spans="1:4" x14ac:dyDescent="0.2">
      <c r="A5103" s="5">
        <v>5042</v>
      </c>
      <c r="B5103" s="138">
        <f>'Revenues 9-14'!C84</f>
        <v>18750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18750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25179</v>
      </c>
      <c r="D5114" s="2" t="str">
        <f t="shared" si="78"/>
        <v>Error?</v>
      </c>
    </row>
    <row r="5115" spans="1:4" x14ac:dyDescent="0.2">
      <c r="A5115" s="5">
        <v>5054</v>
      </c>
      <c r="B5115" s="138">
        <f>'Revenues 9-14'!C98</f>
        <v>2676</v>
      </c>
      <c r="D5115" s="2" t="str">
        <f t="shared" si="78"/>
        <v>Error?</v>
      </c>
    </row>
    <row r="5116" spans="1:4" x14ac:dyDescent="0.2">
      <c r="A5116" s="5">
        <v>5055</v>
      </c>
      <c r="B5116" s="138">
        <f>'Revenues 9-14'!C99</f>
        <v>90965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68304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187124</v>
      </c>
      <c r="C5120" s="2" t="s">
        <v>594</v>
      </c>
      <c r="D5120" s="2" t="str">
        <f t="shared" si="79"/>
        <v>Error?</v>
      </c>
    </row>
    <row r="5121" spans="1:4" x14ac:dyDescent="0.2">
      <c r="A5121" s="5">
        <v>5060</v>
      </c>
      <c r="B5121" s="138">
        <f>'Revenues 9-14'!C109</f>
        <v>2333058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3457786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3457786</v>
      </c>
      <c r="C5132" s="2" t="s">
        <v>594</v>
      </c>
      <c r="D5132" s="2" t="str">
        <f t="shared" si="79"/>
        <v>Error?</v>
      </c>
    </row>
    <row r="5133" spans="1:4" x14ac:dyDescent="0.2">
      <c r="A5133" s="5">
        <v>5072</v>
      </c>
      <c r="B5133" s="138">
        <f>'Revenues 9-14'!C124</f>
        <v>149607</v>
      </c>
      <c r="D5133" s="2" t="str">
        <f t="shared" si="79"/>
        <v>Error?</v>
      </c>
    </row>
    <row r="5134" spans="1:4" x14ac:dyDescent="0.2">
      <c r="A5134" s="5">
        <v>5073</v>
      </c>
      <c r="B5134" s="138">
        <f>'Revenues 9-14'!C125</f>
        <v>53987</v>
      </c>
      <c r="D5134" s="2" t="str">
        <f t="shared" si="79"/>
        <v>Error?</v>
      </c>
    </row>
    <row r="5135" spans="1:4" x14ac:dyDescent="0.2">
      <c r="A5135" s="5">
        <v>5074</v>
      </c>
      <c r="B5135" s="138">
        <f>'Revenues 9-14'!C126</f>
        <v>76266</v>
      </c>
      <c r="D5135" s="2" t="str">
        <f t="shared" si="79"/>
        <v>Error?</v>
      </c>
    </row>
    <row r="5136" spans="1:4" x14ac:dyDescent="0.2">
      <c r="A5136" s="10">
        <v>5075</v>
      </c>
      <c r="D5136" s="2" t="str">
        <f t="shared" si="79"/>
        <v>OK</v>
      </c>
    </row>
    <row r="5137" spans="1:4" x14ac:dyDescent="0.2">
      <c r="A5137" s="5">
        <v>5076</v>
      </c>
      <c r="B5137" s="138">
        <f>'Revenues 9-14'!C127</f>
        <v>51200</v>
      </c>
      <c r="D5137" s="2" t="str">
        <f t="shared" si="79"/>
        <v>Error?</v>
      </c>
    </row>
    <row r="5138" spans="1:4" x14ac:dyDescent="0.2">
      <c r="A5138" s="10">
        <v>5077</v>
      </c>
      <c r="D5138" s="2" t="str">
        <f t="shared" si="79"/>
        <v>OK</v>
      </c>
    </row>
    <row r="5139" spans="1:4" x14ac:dyDescent="0.2">
      <c r="A5139" s="5">
        <v>5078</v>
      </c>
      <c r="B5139" s="138">
        <f>'Revenues 9-14'!C128</f>
        <v>7318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1881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340259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3152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343411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3801197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180846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46648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227494</v>
      </c>
      <c r="C5246" s="2" t="s">
        <v>594</v>
      </c>
      <c r="D5246" s="2" t="str">
        <f t="shared" si="80"/>
        <v>Error?</v>
      </c>
    </row>
    <row r="5247" spans="1:4" x14ac:dyDescent="0.2">
      <c r="A5247" s="5">
        <v>5186</v>
      </c>
      <c r="B5247" s="138">
        <f>'Revenues 9-14'!C203</f>
        <v>158917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158917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17500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101948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119448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557792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557792</v>
      </c>
      <c r="C5326" s="2" t="s">
        <v>594</v>
      </c>
      <c r="D5326" s="2" t="str">
        <f t="shared" si="82"/>
        <v>Error?</v>
      </c>
    </row>
    <row r="5327" spans="1:4" x14ac:dyDescent="0.2">
      <c r="A5327" s="5">
        <v>5266</v>
      </c>
      <c r="B5327" s="138">
        <f>'Revenues 9-14'!C275</f>
        <v>6692047</v>
      </c>
      <c r="C5327" s="2" t="s">
        <v>594</v>
      </c>
      <c r="D5327" s="2" t="str">
        <f t="shared" si="82"/>
        <v>Error?</v>
      </c>
    </row>
    <row r="5328" spans="1:4" x14ac:dyDescent="0.2">
      <c r="A5328" s="5">
        <v>5267</v>
      </c>
      <c r="B5328" s="138">
        <f>'Revenues 9-14'!D5</f>
        <v>248546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248546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3471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252017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252017</v>
      </c>
      <c r="C5508" s="2" t="s">
        <v>594</v>
      </c>
      <c r="D5508" s="2" t="str">
        <f t="shared" si="85"/>
        <v>Error?</v>
      </c>
    </row>
    <row r="5509" spans="1:4" x14ac:dyDescent="0.2">
      <c r="A5509" s="5">
        <v>5448</v>
      </c>
      <c r="B5509" s="138">
        <f>'Revenues 9-14'!E5</f>
        <v>376611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376611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376882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376882</v>
      </c>
      <c r="C5552" s="2" t="s">
        <v>594</v>
      </c>
      <c r="D5552" s="2" t="str">
        <f t="shared" si="85"/>
        <v>Error?</v>
      </c>
    </row>
    <row r="5553" spans="1:4" x14ac:dyDescent="0.2">
      <c r="A5553" s="5">
        <v>5492</v>
      </c>
      <c r="B5553" s="138">
        <f>'Revenues 9-14'!F5</f>
        <v>113528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113528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44513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44513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158141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54074</v>
      </c>
      <c r="D5615" s="2" t="str">
        <f t="shared" si="86"/>
        <v>Error?</v>
      </c>
    </row>
    <row r="5616" spans="1:4" x14ac:dyDescent="0.2">
      <c r="A5616" s="10">
        <v>5555</v>
      </c>
      <c r="D5616" s="2" t="str">
        <f t="shared" si="86"/>
        <v>OK</v>
      </c>
    </row>
    <row r="5617" spans="1:4" x14ac:dyDescent="0.2">
      <c r="A5617" s="5">
        <v>5556</v>
      </c>
      <c r="B5617" s="138">
        <f>'Revenues 9-14'!F152</f>
        <v>365757</v>
      </c>
      <c r="D5617" s="2" t="str">
        <f t="shared" si="86"/>
        <v>Error?</v>
      </c>
    </row>
    <row r="5618" spans="1:4" x14ac:dyDescent="0.2">
      <c r="A5618" s="5">
        <v>5557</v>
      </c>
      <c r="B5618" s="138">
        <f>'Revenues 9-14'!F154</f>
        <v>419831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419831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419831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577972</v>
      </c>
      <c r="C5720" s="2" t="s">
        <v>594</v>
      </c>
      <c r="D5720" s="2" t="str">
        <f t="shared" si="88"/>
        <v>Error?</v>
      </c>
    </row>
    <row r="5721" spans="1:4" x14ac:dyDescent="0.2">
      <c r="A5721" s="5">
        <v>5660</v>
      </c>
      <c r="B5721" s="138">
        <f>'Revenues 9-14'!G5</f>
        <v>122704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106682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229386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6071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6071</v>
      </c>
      <c r="C5730" s="2" t="s">
        <v>594</v>
      </c>
      <c r="D5730" s="2" t="str">
        <f t="shared" si="88"/>
        <v>Error?</v>
      </c>
    </row>
    <row r="5731" spans="1:4" x14ac:dyDescent="0.2">
      <c r="A5731" s="5">
        <v>5670</v>
      </c>
      <c r="B5731" s="138">
        <f>'Revenues 9-14'!G65</f>
        <v>1583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237040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24260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24260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24260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22992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22992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22992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1433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1946</v>
      </c>
      <c r="C6023" s="2" t="s">
        <v>594</v>
      </c>
      <c r="D6023" s="2" t="str">
        <f t="shared" si="93"/>
        <v>Error?</v>
      </c>
    </row>
    <row r="6024" spans="1:5" x14ac:dyDescent="0.2">
      <c r="A6024" s="5">
        <v>5963</v>
      </c>
      <c r="B6024" s="138">
        <f>'Revenues 9-14'!G109</f>
        <v>237040</v>
      </c>
      <c r="C6024" s="2" t="s">
        <v>594</v>
      </c>
      <c r="D6024" s="2" t="str">
        <f t="shared" si="93"/>
        <v>Error?</v>
      </c>
    </row>
    <row r="6025" spans="1:5" x14ac:dyDescent="0.2">
      <c r="A6025" s="5">
        <v>5964</v>
      </c>
      <c r="B6025" s="138">
        <f>'Revenues 9-14'!H109</f>
        <v>24260</v>
      </c>
      <c r="C6025" s="2" t="s">
        <v>594</v>
      </c>
      <c r="D6025" s="2" t="str">
        <f t="shared" si="93"/>
        <v>Error?</v>
      </c>
    </row>
    <row r="6026" spans="1:5" x14ac:dyDescent="0.2">
      <c r="A6026" s="5">
        <v>5965</v>
      </c>
      <c r="B6026" s="138">
        <f>'Revenues 9-14'!I109</f>
        <v>22992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1946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48965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25684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683.6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29580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29580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29580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29580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29580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534953</v>
      </c>
      <c r="D6267" s="2" t="str">
        <f t="shared" si="96"/>
        <v>Error?</v>
      </c>
      <c r="E6267" s="2" t="s">
        <v>199</v>
      </c>
    </row>
    <row r="6268" spans="1:5" x14ac:dyDescent="0.2">
      <c r="A6268">
        <v>6207</v>
      </c>
      <c r="B6268" s="138">
        <f>'Acct Summary 7-8'!D82</f>
        <v>-19287</v>
      </c>
      <c r="D6268" s="2" t="str">
        <f t="shared" si="96"/>
        <v>Error?</v>
      </c>
      <c r="E6268" s="2" t="s">
        <v>199</v>
      </c>
    </row>
    <row r="6269" spans="1:5" x14ac:dyDescent="0.2">
      <c r="A6269">
        <v>6208</v>
      </c>
      <c r="B6269" s="138">
        <f>'Acct Summary 7-8'!E82</f>
        <v>-98947</v>
      </c>
      <c r="D6269" s="2" t="str">
        <f t="shared" si="96"/>
        <v>Error?</v>
      </c>
      <c r="E6269" s="2" t="s">
        <v>199</v>
      </c>
    </row>
    <row r="6270" spans="1:5" x14ac:dyDescent="0.2">
      <c r="A6270">
        <v>6209</v>
      </c>
      <c r="B6270" s="138">
        <f>'Acct Summary 7-8'!F82</f>
        <v>-12248</v>
      </c>
      <c r="D6270" s="2" t="str">
        <f t="shared" si="96"/>
        <v>Error?</v>
      </c>
      <c r="E6270" s="2" t="s">
        <v>199</v>
      </c>
    </row>
    <row r="6271" spans="1:5" x14ac:dyDescent="0.2">
      <c r="A6271">
        <v>6210</v>
      </c>
      <c r="B6271" s="138">
        <f>'Acct Summary 7-8'!G82</f>
        <v>-3744</v>
      </c>
      <c r="D6271" s="2" t="str">
        <f t="shared" ref="D6271:D6334" si="97">IF(ISBLANK(B6271),"OK",IF(A6271-B6271=0,"OK","Error?"))</f>
        <v>Error?</v>
      </c>
      <c r="E6271" s="2" t="s">
        <v>199</v>
      </c>
    </row>
    <row r="6272" spans="1:5" x14ac:dyDescent="0.2">
      <c r="A6272">
        <v>6211</v>
      </c>
      <c r="B6272" s="138">
        <f>'Acct Summary 7-8'!H82</f>
        <v>-1616607</v>
      </c>
      <c r="D6272" s="2" t="str">
        <f t="shared" si="97"/>
        <v>Error?</v>
      </c>
      <c r="E6272" s="2" t="s">
        <v>199</v>
      </c>
    </row>
    <row r="6273" spans="1:5" x14ac:dyDescent="0.2">
      <c r="A6273">
        <v>6212</v>
      </c>
      <c r="B6273" s="138">
        <f>'Acct Summary 7-8'!I82</f>
        <v>22992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1946</v>
      </c>
      <c r="D6275" s="2" t="str">
        <f t="shared" si="97"/>
        <v>Error?</v>
      </c>
      <c r="E6275" s="2" t="s">
        <v>199</v>
      </c>
    </row>
    <row r="6276" spans="1:5" x14ac:dyDescent="0.2">
      <c r="A6276">
        <v>6215</v>
      </c>
      <c r="B6276" s="138">
        <f>'Acct Summary 7-8'!C83</f>
        <v>0.1464472739387731</v>
      </c>
      <c r="D6276" s="2" t="str">
        <f t="shared" si="97"/>
        <v>Error?</v>
      </c>
      <c r="E6276" s="2" t="s">
        <v>199</v>
      </c>
    </row>
    <row r="6277" spans="1:5" x14ac:dyDescent="0.2">
      <c r="A6277">
        <v>6216</v>
      </c>
      <c r="B6277" s="138">
        <f>'Acct Summary 7-8'!D83</f>
        <v>-5.8877041098232191E-2</v>
      </c>
      <c r="D6277" s="2" t="str">
        <f t="shared" si="97"/>
        <v>Error?</v>
      </c>
      <c r="E6277" s="2" t="s">
        <v>199</v>
      </c>
    </row>
    <row r="6278" spans="1:5" x14ac:dyDescent="0.2">
      <c r="A6278">
        <v>6217</v>
      </c>
      <c r="B6278" s="138">
        <f>'Acct Summary 7-8'!E83</f>
        <v>-5.9765039864701617</v>
      </c>
      <c r="D6278" s="2" t="str">
        <f t="shared" si="97"/>
        <v>Error?</v>
      </c>
      <c r="E6278" s="2" t="s">
        <v>199</v>
      </c>
    </row>
    <row r="6279" spans="1:5" x14ac:dyDescent="0.2">
      <c r="A6279">
        <v>6218</v>
      </c>
      <c r="B6279" s="138">
        <f>'Acct Summary 7-8'!F83</f>
        <v>-0.10852575803221748</v>
      </c>
      <c r="D6279" s="2" t="str">
        <f t="shared" si="97"/>
        <v>Error?</v>
      </c>
      <c r="E6279" s="2" t="s">
        <v>199</v>
      </c>
    </row>
    <row r="6280" spans="1:5" x14ac:dyDescent="0.2">
      <c r="A6280">
        <v>6219</v>
      </c>
      <c r="B6280" s="138">
        <f>'Acct Summary 7-8'!G83</f>
        <v>-2.2994435641375245E-2</v>
      </c>
      <c r="D6280" s="2" t="str">
        <f t="shared" si="97"/>
        <v>Error?</v>
      </c>
      <c r="E6280" s="2" t="s">
        <v>199</v>
      </c>
    </row>
    <row r="6281" spans="1:5" x14ac:dyDescent="0.2">
      <c r="A6281">
        <v>6220</v>
      </c>
      <c r="B6281" s="138">
        <f>'Acct Summary 7-8'!H83</f>
        <v>-0.72935550716065556</v>
      </c>
      <c r="D6281" s="2" t="str">
        <f t="shared" si="97"/>
        <v>Error?</v>
      </c>
      <c r="E6281" s="2" t="s">
        <v>199</v>
      </c>
    </row>
    <row r="6282" spans="1:5" x14ac:dyDescent="0.2">
      <c r="A6282">
        <v>6221</v>
      </c>
      <c r="B6282" s="138">
        <f>'Acct Summary 7-8'!I83</f>
        <v>2.0973432921867759E-2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4.5500245504921787E-2</v>
      </c>
      <c r="D6284" s="2" t="str">
        <f t="shared" si="97"/>
        <v>Error?</v>
      </c>
      <c r="E6284" s="2" t="s">
        <v>199</v>
      </c>
    </row>
    <row r="6285" spans="1:5" x14ac:dyDescent="0.2">
      <c r="A6285">
        <v>6224</v>
      </c>
      <c r="B6285" s="138">
        <f>'Acct Summary 7-8'!E37</f>
        <v>15409</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29558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29558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29580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65352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83411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108269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239092</v>
      </c>
      <c r="D6880" s="2" t="str">
        <f t="shared" si="106"/>
        <v>Error?</v>
      </c>
    </row>
    <row r="6881" spans="1:4" x14ac:dyDescent="0.2">
      <c r="A6881">
        <v>6820</v>
      </c>
      <c r="B6881" s="138">
        <f>'Expenditures 15-22'!K22</f>
        <v>239092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92328</v>
      </c>
      <c r="D6983" s="2" t="str">
        <f t="shared" si="108"/>
        <v>Error?</v>
      </c>
    </row>
    <row r="6984" spans="1:4" x14ac:dyDescent="0.2">
      <c r="A6984">
        <v>6923</v>
      </c>
      <c r="B6984" s="138">
        <f>'Expenditures 15-22'!K86</f>
        <v>92328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92328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29580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29580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3600</v>
      </c>
      <c r="D7073" s="2" t="str">
        <f t="shared" si="109"/>
        <v>Error?</v>
      </c>
    </row>
    <row r="7074" spans="1:4" x14ac:dyDescent="0.2">
      <c r="A7074">
        <v>7013</v>
      </c>
      <c r="B7074" s="138">
        <f>'Expenditures 15-22'!K216</f>
        <v>3600</v>
      </c>
      <c r="D7074" s="2" t="str">
        <f t="shared" si="109"/>
        <v>Error?</v>
      </c>
    </row>
    <row r="7075" spans="1:4" x14ac:dyDescent="0.2">
      <c r="A7075">
        <v>7014</v>
      </c>
      <c r="B7075" s="138">
        <f>'Expenditures 15-22'!D218</f>
        <v>5015</v>
      </c>
      <c r="D7075" s="2" t="str">
        <f t="shared" si="109"/>
        <v>Error?</v>
      </c>
    </row>
    <row r="7076" spans="1:4" x14ac:dyDescent="0.2">
      <c r="A7076">
        <v>7015</v>
      </c>
      <c r="B7076" s="138">
        <f>'Expenditures 15-22'!K218</f>
        <v>5015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29580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29580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29580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29580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29580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29580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18059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75498</v>
      </c>
      <c r="D7251" s="2" t="str">
        <f t="shared" si="112"/>
        <v>Error?</v>
      </c>
    </row>
    <row r="7252" spans="1:4" x14ac:dyDescent="0.2">
      <c r="A7252">
        <f t="shared" si="113"/>
        <v>7191</v>
      </c>
      <c r="B7252" s="138">
        <f>'Expenditures 15-22'!D9</f>
        <v>31778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993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341807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15409</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19368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448842</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423842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2" t="str">
        <f>COVER!A17</f>
        <v>District 50 Schools</v>
      </c>
      <c r="B7" s="2403"/>
      <c r="C7" s="2403"/>
      <c r="D7" s="2440"/>
      <c r="E7" s="2441">
        <f>COVER!A13</f>
        <v>53090050002</v>
      </c>
      <c r="F7" s="2442"/>
      <c r="G7" s="2409" t="str">
        <f>COVER!T23</f>
        <v>066-005027</v>
      </c>
      <c r="H7" s="2410"/>
      <c r="I7" s="2410"/>
      <c r="J7" s="2410"/>
      <c r="K7" s="2410"/>
      <c r="L7" s="241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Dr. Chad Allaman</v>
      </c>
      <c r="B10" s="2400"/>
      <c r="C10" s="2400"/>
      <c r="D10" s="2400"/>
      <c r="E10" s="2400"/>
      <c r="F10" s="2401"/>
      <c r="G10" s="2415" t="str">
        <f>COVER!T17</f>
        <v>4200 N Knoxville Ave</v>
      </c>
      <c r="H10" s="2428"/>
      <c r="I10" s="2428"/>
      <c r="J10" s="2428"/>
      <c r="K10" s="2428"/>
      <c r="L10" s="2429"/>
    </row>
    <row r="11" spans="1:29" ht="13.5" customHeight="1" x14ac:dyDescent="0.2">
      <c r="A11" s="1183" t="s">
        <v>1599</v>
      </c>
      <c r="B11" s="1184"/>
      <c r="C11" s="1185"/>
      <c r="D11" s="1190"/>
      <c r="E11" s="1185"/>
      <c r="F11" s="1189"/>
      <c r="G11" s="2415" t="str">
        <f>COVER!T19</f>
        <v>Peoria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jhohulin@gorenzcpa.com</v>
      </c>
      <c r="J13" s="2437"/>
      <c r="K13" s="2437"/>
      <c r="L13" s="2438"/>
    </row>
    <row r="14" spans="1:29" ht="13.5" customHeight="1" x14ac:dyDescent="0.2">
      <c r="A14" s="2415" t="str">
        <f>COVER!A19</f>
        <v>304 East Almond</v>
      </c>
      <c r="B14" s="2428"/>
      <c r="C14" s="2428"/>
      <c r="D14" s="2428"/>
      <c r="E14" s="2428"/>
      <c r="F14" s="2429"/>
      <c r="G14" s="1194" t="s">
        <v>1247</v>
      </c>
      <c r="H14" s="1192"/>
      <c r="I14" s="1192"/>
      <c r="J14" s="1192"/>
      <c r="K14" s="1192"/>
      <c r="L14" s="1193"/>
    </row>
    <row r="15" spans="1:29" ht="13.5" customHeight="1" x14ac:dyDescent="0.2">
      <c r="A15" s="2415" t="str">
        <f>COVER!A21</f>
        <v>Washington</v>
      </c>
      <c r="B15" s="2428"/>
      <c r="C15" s="2428"/>
      <c r="D15" s="2428"/>
      <c r="E15" s="2428"/>
      <c r="F15" s="2429"/>
      <c r="G15" s="2425" t="str">
        <f>COVER!T15</f>
        <v>Jason A. Hohulin, CPA</v>
      </c>
      <c r="H15" s="2426"/>
      <c r="I15" s="2426"/>
      <c r="J15" s="2426"/>
      <c r="K15" s="2426"/>
      <c r="L15" s="2427"/>
    </row>
    <row r="16" spans="1:29" ht="12.2" customHeight="1" x14ac:dyDescent="0.2">
      <c r="A16" s="2405">
        <f>COVER!A25</f>
        <v>61571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4" t="s">
        <v>1246</v>
      </c>
      <c r="H17" s="1192"/>
      <c r="I17" s="1192"/>
      <c r="J17" s="1192"/>
      <c r="K17" s="1196" t="s">
        <v>1245</v>
      </c>
      <c r="L17" s="1189"/>
      <c r="M17" s="1182"/>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District 50 Schools</v>
      </c>
      <c r="B1" s="2439"/>
      <c r="C1" s="2439"/>
      <c r="D1" s="2439"/>
    </row>
    <row r="2" spans="1:11" s="1213" customFormat="1" ht="12.75" x14ac:dyDescent="0.2">
      <c r="A2" s="2444">
        <f>'Single Audit Cover'!E7</f>
        <v>53090050002</v>
      </c>
      <c r="B2" s="2445"/>
      <c r="C2" s="2445"/>
      <c r="D2" s="2445"/>
    </row>
    <row r="3" spans="1:11" s="1213" customFormat="1" ht="12.75" x14ac:dyDescent="0.2">
      <c r="A3" s="2443" t="s">
        <v>1593</v>
      </c>
      <c r="B3" s="2439"/>
      <c r="C3" s="2439"/>
      <c r="D3" s="243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District 50 Schools</v>
      </c>
      <c r="B1" s="2447"/>
      <c r="C1" s="2447"/>
      <c r="D1" s="2447"/>
      <c r="E1" s="2447"/>
    </row>
    <row r="2" spans="1:5" x14ac:dyDescent="0.2">
      <c r="A2" s="2448">
        <f>'Single Audit Cover'!E7</f>
        <v>53090050002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557792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25684</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-12968</v>
      </c>
    </row>
    <row r="19" spans="1:4" ht="13.5" thickBot="1" x14ac:dyDescent="0.25">
      <c r="A19" s="1263" t="s">
        <v>1297</v>
      </c>
      <c r="D19" s="1264">
        <f>SUM(D10:D17)</f>
        <v>570508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570508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570508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District 50 Schools</v>
      </c>
      <c r="B1" s="2452"/>
      <c r="C1" s="2452"/>
      <c r="D1" s="2452"/>
      <c r="E1" s="2452"/>
      <c r="F1" s="2452"/>
    </row>
    <row r="2" spans="1:7" ht="13.5" customHeight="1" x14ac:dyDescent="0.2">
      <c r="A2" s="2453">
        <f>'Single Audit Cover'!E7</f>
        <v>53090050002</v>
      </c>
      <c r="B2" s="2453"/>
      <c r="C2" s="2453"/>
      <c r="D2" s="2453"/>
      <c r="E2" s="2453"/>
      <c r="F2" s="2453"/>
      <c r="G2" s="1273"/>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4" t="s">
        <v>1831</v>
      </c>
      <c r="C6" s="317"/>
      <c r="D6" s="317"/>
    </row>
    <row r="7" spans="1:7" ht="60.95" customHeight="1" x14ac:dyDescent="0.2">
      <c r="A7" s="2451" t="s">
        <v>1832</v>
      </c>
      <c r="B7" s="2451"/>
      <c r="C7" s="2451"/>
      <c r="D7" s="2451"/>
      <c r="E7" s="2451"/>
      <c r="F7" s="2451"/>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1" t="s">
        <v>1834</v>
      </c>
      <c r="B13" s="2451"/>
      <c r="C13" s="2451"/>
      <c r="D13" s="2451"/>
      <c r="E13" s="2451"/>
      <c r="F13" s="2451"/>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6"/>
      <c r="E17" s="2456"/>
      <c r="F17" s="2456"/>
    </row>
    <row r="18" spans="1:6" ht="20.65" customHeight="1" x14ac:dyDescent="0.2">
      <c r="A18" s="1281"/>
      <c r="B18" s="1282"/>
      <c r="C18" s="1283"/>
      <c r="D18" s="2456"/>
      <c r="E18" s="2456"/>
      <c r="F18" s="2456"/>
    </row>
    <row r="19" spans="1:6" ht="20.65" customHeight="1" x14ac:dyDescent="0.2">
      <c r="A19" s="1281"/>
      <c r="B19" s="1282"/>
      <c r="C19" s="1283"/>
      <c r="D19" s="2456"/>
      <c r="E19" s="2456"/>
      <c r="F19" s="2456"/>
    </row>
    <row r="20" spans="1:6" ht="20.65" customHeight="1" x14ac:dyDescent="0.2">
      <c r="A20" s="1281"/>
      <c r="B20" s="1282"/>
      <c r="C20" s="1283"/>
      <c r="D20" s="2456"/>
      <c r="E20" s="2456"/>
      <c r="F20" s="2456"/>
    </row>
    <row r="21" spans="1:6" ht="20.65" customHeight="1" x14ac:dyDescent="0.2">
      <c r="A21" s="1281"/>
      <c r="B21" s="1282"/>
      <c r="C21" s="1283"/>
      <c r="D21" s="2456"/>
      <c r="E21" s="2456"/>
      <c r="F21" s="2456"/>
    </row>
    <row r="22" spans="1:6" ht="20.65" customHeight="1" x14ac:dyDescent="0.2">
      <c r="A22" s="1281"/>
      <c r="B22" s="1282"/>
      <c r="C22" s="1283"/>
      <c r="D22" s="2456"/>
      <c r="E22" s="2456"/>
      <c r="F22" s="2456"/>
    </row>
    <row r="23" spans="1:6" ht="20.65" customHeight="1" x14ac:dyDescent="0.2">
      <c r="A23" s="1281"/>
      <c r="B23" s="1282"/>
      <c r="C23" s="1283"/>
      <c r="D23" s="2456"/>
      <c r="E23" s="2456"/>
      <c r="F23" s="2456"/>
    </row>
    <row r="24" spans="1:6" ht="20.65" customHeight="1" x14ac:dyDescent="0.2">
      <c r="A24" s="1281"/>
      <c r="B24" s="1282"/>
      <c r="C24" s="1283"/>
      <c r="D24" s="2456"/>
      <c r="E24" s="2456"/>
      <c r="F24" s="2456"/>
    </row>
    <row r="25" spans="1:6" ht="20.65" customHeight="1" x14ac:dyDescent="0.2">
      <c r="A25" s="1281"/>
      <c r="B25" s="1282"/>
      <c r="C25" s="1283"/>
      <c r="D25" s="2456"/>
      <c r="E25" s="2456"/>
      <c r="F25" s="2456"/>
    </row>
    <row r="26" spans="1:6" ht="20.65" customHeight="1" x14ac:dyDescent="0.2">
      <c r="A26" s="1281"/>
      <c r="B26" s="1282"/>
      <c r="C26" s="1283"/>
      <c r="D26" s="2456"/>
      <c r="E26" s="2456"/>
      <c r="F26" s="2456"/>
    </row>
    <row r="27" spans="1:6" ht="20.65" customHeight="1" x14ac:dyDescent="0.2">
      <c r="A27" s="1281"/>
      <c r="B27" s="1282"/>
      <c r="C27" s="1283"/>
      <c r="D27" s="2456"/>
      <c r="E27" s="2456"/>
      <c r="F27" s="2456"/>
    </row>
    <row r="28" spans="1:6" ht="20.65" customHeight="1" x14ac:dyDescent="0.2">
      <c r="A28" s="1281"/>
      <c r="B28" s="1282"/>
      <c r="C28" s="1283"/>
      <c r="D28" s="2456"/>
      <c r="E28" s="2456"/>
      <c r="F28" s="2456"/>
    </row>
    <row r="29" spans="1:6" ht="20.65" customHeight="1" x14ac:dyDescent="0.2">
      <c r="A29" s="1281"/>
      <c r="B29" s="1282"/>
      <c r="C29" s="1283"/>
      <c r="D29" s="2456"/>
      <c r="E29" s="2456"/>
      <c r="F29" s="2456"/>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0" t="s">
        <v>1835</v>
      </c>
      <c r="B32" s="2460"/>
      <c r="C32" s="2460"/>
      <c r="D32" s="2460"/>
      <c r="E32" s="2460"/>
      <c r="F32" s="2460"/>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61">
        <f>+C33+C34</f>
        <v>0</v>
      </c>
      <c r="F34" s="2462"/>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3" t="s">
        <v>1672</v>
      </c>
      <c r="C49" s="2463"/>
      <c r="D49" s="2463"/>
      <c r="E49" s="1397"/>
    </row>
    <row r="50" spans="1:5" s="1298" customFormat="1" ht="3.75" customHeight="1" x14ac:dyDescent="0.2">
      <c r="A50" s="1297"/>
      <c r="B50" s="1868"/>
      <c r="C50" s="1868"/>
      <c r="D50" s="1868"/>
      <c r="E50" s="1397"/>
    </row>
    <row r="51" spans="1:5" s="1298" customFormat="1" ht="20.25" customHeight="1" x14ac:dyDescent="0.2">
      <c r="A51" s="1299">
        <v>6</v>
      </c>
      <c r="B51" s="2459" t="s">
        <v>1632</v>
      </c>
      <c r="C51" s="2459"/>
      <c r="D51" s="2459"/>
    </row>
    <row r="52" spans="1:5" ht="14.25" customHeight="1" x14ac:dyDescent="0.2">
      <c r="A52" s="1299"/>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8" t="str">
        <f>'Single Audit Cover'!A7</f>
        <v>District 50 Schools</v>
      </c>
      <c r="C1" s="2464"/>
      <c r="D1" s="2464"/>
      <c r="E1" s="2464"/>
      <c r="F1" s="2464"/>
      <c r="G1" s="2464"/>
      <c r="H1" s="2464"/>
      <c r="I1" s="2464"/>
      <c r="J1" s="2464"/>
      <c r="K1" s="2464"/>
      <c r="L1" s="2464"/>
      <c r="M1" s="2464"/>
    </row>
    <row r="2" spans="2:14" ht="15" x14ac:dyDescent="0.2">
      <c r="B2" s="2453">
        <f>'Single Audit Cover'!E7</f>
        <v>53090050002</v>
      </c>
      <c r="C2" s="2453"/>
      <c r="D2" s="2453"/>
      <c r="E2" s="2453"/>
      <c r="F2" s="2453"/>
      <c r="G2" s="2453"/>
      <c r="H2" s="2453"/>
      <c r="I2" s="2453"/>
      <c r="J2" s="2453"/>
      <c r="K2" s="2453"/>
      <c r="L2" s="2453"/>
      <c r="M2" s="2453"/>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36161</v>
      </c>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2120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2121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2131</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District 50 Schools</v>
      </c>
      <c r="C1" s="2472"/>
      <c r="D1" s="2472"/>
      <c r="E1" s="2472"/>
      <c r="F1" s="2472"/>
      <c r="G1" s="2472"/>
      <c r="H1" s="2472"/>
      <c r="I1" s="2472"/>
      <c r="J1" s="1420"/>
    </row>
    <row r="2" spans="2:10" s="317" customFormat="1" ht="12.75" customHeight="1" x14ac:dyDescent="0.2">
      <c r="B2" s="2473">
        <f>'Single Audit Cover'!E7</f>
        <v>53090050002</v>
      </c>
      <c r="C2" s="2474"/>
      <c r="D2" s="2474"/>
      <c r="E2" s="2474"/>
      <c r="F2" s="2474"/>
      <c r="G2" s="2474"/>
      <c r="H2" s="2474"/>
      <c r="I2" s="2474"/>
      <c r="J2" s="1420"/>
    </row>
    <row r="3" spans="2:10" s="317" customFormat="1" ht="12.75" customHeight="1" x14ac:dyDescent="0.2">
      <c r="B3" s="2475" t="s">
        <v>1347</v>
      </c>
      <c r="C3" s="2476"/>
      <c r="D3" s="2476"/>
      <c r="E3" s="2476"/>
      <c r="F3" s="2476"/>
      <c r="G3" s="2476"/>
      <c r="H3" s="2476"/>
      <c r="I3" s="2476"/>
      <c r="J3" s="1421"/>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5" t="s">
        <v>1346</v>
      </c>
      <c r="C7" s="2476"/>
      <c r="D7" s="2476"/>
      <c r="E7" s="2476"/>
      <c r="F7" s="2476"/>
      <c r="G7" s="2476"/>
      <c r="H7" s="2476"/>
      <c r="I7" s="2476"/>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7"/>
      <c r="D11" s="2477"/>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8"/>
      <c r="E29" s="2478"/>
      <c r="F29" s="2478"/>
      <c r="G29" s="2478"/>
      <c r="H29" s="2478"/>
      <c r="I29" s="2478"/>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9" t="s">
        <v>1854</v>
      </c>
      <c r="D37" s="2480"/>
      <c r="E37" s="2480"/>
      <c r="F37" s="2481"/>
      <c r="G37" s="2479" t="s">
        <v>1674</v>
      </c>
      <c r="H37" s="2480"/>
      <c r="I37" s="2481"/>
    </row>
    <row r="38" spans="2:9" ht="16.5" customHeight="1" x14ac:dyDescent="0.2">
      <c r="B38" s="1442"/>
      <c r="C38" s="2467"/>
      <c r="D38" s="2468"/>
      <c r="E38" s="2468"/>
      <c r="F38" s="2469"/>
      <c r="G38" s="2482"/>
      <c r="H38" s="2483"/>
      <c r="I38" s="2484"/>
    </row>
    <row r="39" spans="2:9" ht="16.5" customHeight="1" x14ac:dyDescent="0.2">
      <c r="B39" s="1442"/>
      <c r="C39" s="2467"/>
      <c r="D39" s="2468"/>
      <c r="E39" s="2468"/>
      <c r="F39" s="2469"/>
      <c r="G39" s="2470"/>
      <c r="H39" s="2470"/>
      <c r="I39" s="2470"/>
    </row>
    <row r="40" spans="2:9" ht="16.5" customHeight="1" x14ac:dyDescent="0.2">
      <c r="B40" s="1442"/>
      <c r="C40" s="2467"/>
      <c r="D40" s="2468"/>
      <c r="E40" s="2468"/>
      <c r="F40" s="2469"/>
      <c r="G40" s="2470"/>
      <c r="H40" s="2470"/>
      <c r="I40" s="2470"/>
    </row>
    <row r="41" spans="2:9" ht="16.5" customHeight="1" x14ac:dyDescent="0.2">
      <c r="B41" s="1442"/>
      <c r="C41" s="2467"/>
      <c r="D41" s="2468"/>
      <c r="E41" s="2468"/>
      <c r="F41" s="2469"/>
      <c r="G41" s="2470"/>
      <c r="H41" s="2470"/>
      <c r="I41" s="2470"/>
    </row>
    <row r="42" spans="2:9" ht="16.5" customHeight="1" x14ac:dyDescent="0.2">
      <c r="B42" s="1442"/>
      <c r="C42" s="2467"/>
      <c r="D42" s="2468"/>
      <c r="E42" s="2468"/>
      <c r="F42" s="2469"/>
      <c r="G42" s="2470"/>
      <c r="H42" s="2470"/>
      <c r="I42" s="2470"/>
    </row>
    <row r="43" spans="2:9" ht="16.5" customHeight="1" x14ac:dyDescent="0.2">
      <c r="B43" s="1442"/>
      <c r="C43" s="2485" t="s">
        <v>1675</v>
      </c>
      <c r="D43" s="2486"/>
      <c r="E43" s="2486"/>
      <c r="F43" s="2487"/>
      <c r="G43" s="2488">
        <f>SUM(G38:I42)</f>
        <v>0</v>
      </c>
      <c r="H43" s="2488"/>
      <c r="I43" s="2488"/>
    </row>
    <row r="44" spans="2:9" ht="12.75" customHeight="1" x14ac:dyDescent="0.2"/>
    <row r="45" spans="2:9" ht="12.75" customHeight="1" x14ac:dyDescent="0.2">
      <c r="B45" s="1433" t="s">
        <v>1951</v>
      </c>
      <c r="D45" s="2489">
        <v>0</v>
      </c>
      <c r="E45" s="249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1"/>
      <c r="F49" s="2491"/>
      <c r="G49" s="2491"/>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District 50 Schools</v>
      </c>
      <c r="C1" s="2471"/>
      <c r="D1" s="2471"/>
      <c r="E1" s="2471"/>
      <c r="F1" s="2471"/>
      <c r="G1" s="2471"/>
      <c r="H1" s="2471"/>
      <c r="I1" s="2471"/>
      <c r="J1" s="2471"/>
      <c r="K1" s="2471"/>
      <c r="L1" s="1372"/>
      <c r="M1" s="1372"/>
    </row>
    <row r="2" spans="1:13" ht="12" customHeight="1" x14ac:dyDescent="0.2">
      <c r="B2" s="2473">
        <f>'Single Audit Cover'!E7</f>
        <v>53090050002</v>
      </c>
      <c r="C2" s="2473"/>
      <c r="D2" s="2473"/>
      <c r="E2" s="2473"/>
      <c r="F2" s="2473"/>
      <c r="G2" s="2473"/>
      <c r="H2" s="2473"/>
      <c r="I2" s="2473"/>
      <c r="J2" s="2473"/>
      <c r="K2" s="2473"/>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2130</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2114</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2115</v>
      </c>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2116</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2117</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t="s">
        <v>2118</v>
      </c>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t="s">
        <v>2119</v>
      </c>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District 50 Schools</v>
      </c>
      <c r="C1" s="2498"/>
      <c r="D1" s="2498"/>
      <c r="E1" s="2498"/>
      <c r="F1" s="2498"/>
      <c r="G1" s="2498"/>
      <c r="H1" s="2498"/>
      <c r="I1" s="2498"/>
      <c r="J1" s="2498"/>
      <c r="K1" s="2498"/>
      <c r="L1" s="1463"/>
    </row>
    <row r="2" spans="1:12" ht="12.75" customHeight="1" x14ac:dyDescent="0.2">
      <c r="B2" s="2499">
        <f>'Single Audit Cover'!E7</f>
        <v>53090050002</v>
      </c>
      <c r="C2" s="2499"/>
      <c r="D2" s="2499"/>
      <c r="E2" s="2499"/>
      <c r="F2" s="2499"/>
      <c r="G2" s="2499"/>
      <c r="H2" s="2499"/>
      <c r="I2" s="2499"/>
      <c r="J2" s="2499"/>
      <c r="K2" s="2499"/>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8"/>
      <c r="G12" s="2478"/>
      <c r="H12" s="2478"/>
      <c r="I12" s="2478"/>
      <c r="J12" s="2478"/>
      <c r="K12" s="247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1"/>
      <c r="E14" s="2501"/>
      <c r="F14" s="2501"/>
      <c r="H14" s="1473" t="s">
        <v>1370</v>
      </c>
      <c r="I14" s="2502"/>
      <c r="J14" s="2502"/>
      <c r="K14" s="250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2"/>
      <c r="E16" s="2502"/>
      <c r="F16" s="2502"/>
      <c r="G16" s="2502"/>
      <c r="H16" s="2502"/>
      <c r="I16" s="2502"/>
      <c r="J16" s="2502"/>
      <c r="K16" s="2502"/>
      <c r="L16" s="322"/>
    </row>
    <row r="17" spans="2:12" ht="13.5" customHeight="1" x14ac:dyDescent="0.2">
      <c r="B17" s="1385" t="s">
        <v>1368</v>
      </c>
      <c r="C17" s="1385"/>
      <c r="D17" s="2503"/>
      <c r="E17" s="2503"/>
      <c r="F17" s="2503"/>
      <c r="G17" s="2503"/>
      <c r="H17" s="2503"/>
      <c r="I17" s="2503"/>
      <c r="J17" s="2503"/>
      <c r="K17" s="250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1" t="str">
        <f>'Single Audit Cover'!A7</f>
        <v>District 50 Schools</v>
      </c>
      <c r="C1" s="2471"/>
      <c r="D1" s="2471"/>
      <c r="E1" s="1489"/>
    </row>
    <row r="2" spans="2:5" s="1280" customFormat="1" ht="12.75" customHeight="1" x14ac:dyDescent="0.2">
      <c r="B2" s="2473">
        <f>'Single Audit Cover'!E7</f>
        <v>53090050002</v>
      </c>
      <c r="C2" s="2473"/>
      <c r="D2" s="2473"/>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954" t="s">
        <v>2107</v>
      </c>
      <c r="C8" s="1955" t="s">
        <v>2108</v>
      </c>
      <c r="D8" s="1955" t="s">
        <v>2109</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88220247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2.3113999999999999E-2</v>
      </c>
      <c r="E10" s="356" t="s">
        <v>1062</v>
      </c>
      <c r="F10" s="355">
        <v>2.9055999999999999E-3</v>
      </c>
      <c r="G10" s="356" t="s">
        <v>1062</v>
      </c>
      <c r="H10" s="355">
        <v>1.4345E-3</v>
      </c>
      <c r="I10" s="356" t="s">
        <v>1063</v>
      </c>
      <c r="J10" s="1752">
        <f>ROUND(D10+F10+H10,5)</f>
        <v>2.7449999999999999E-2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7545028</v>
      </c>
      <c r="E16" s="356"/>
      <c r="F16" s="1753">
        <f>SUM('Acct Summary 7-8'!C17,'Acct Summary 7-8'!D17,'Acct Summary 7-8'!F17)</f>
        <v>7003209</v>
      </c>
      <c r="G16" s="356"/>
      <c r="H16" s="1753">
        <f>SUM(D16-F16)</f>
        <v>541819</v>
      </c>
      <c r="I16" s="222"/>
      <c r="J16" s="1753">
        <f>SUM('Acct Summary 7-8'!C81,'Acct Summary 7-8'!D81,'Acct Summary 7-8'!F81,'Acct Summary 7-8'!I81)</f>
        <v>5189554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5">
        <f>IF(B31="X",(J7*0.069),IF(B32="X",(J7*0.138),"Enter x in a.or b."))</f>
        <v>6087197.0430000005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4726227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District 50 Schools</v>
      </c>
      <c r="E7" s="391"/>
      <c r="G7" s="252"/>
      <c r="H7" s="387"/>
      <c r="I7" s="387"/>
      <c r="J7" s="387"/>
      <c r="K7" s="387"/>
      <c r="L7" s="329"/>
      <c r="M7" s="329"/>
      <c r="N7" s="329"/>
      <c r="O7" s="329"/>
      <c r="P7" s="329"/>
    </row>
    <row r="8" spans="1:18" ht="12.75" x14ac:dyDescent="0.2">
      <c r="A8" s="329"/>
      <c r="B8" s="329"/>
      <c r="C8" s="389" t="s">
        <v>1187</v>
      </c>
      <c r="D8" s="392">
        <f>COVER!A13</f>
        <v>53090050002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5189554</v>
      </c>
      <c r="I12" s="404"/>
      <c r="J12" s="404"/>
      <c r="K12" s="405">
        <f>TRUNC((H12/H13*100000),5)/100000</f>
        <v>0.68781109890000003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7545028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7003209</v>
      </c>
      <c r="I17" s="404"/>
      <c r="J17" s="416"/>
      <c r="K17" s="405">
        <f>TRUNC((H17/H18*100000),5)/100000</f>
        <v>0.92818860310000006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7545028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5189554</v>
      </c>
      <c r="I24" s="422"/>
      <c r="J24" s="422"/>
      <c r="K24" s="423">
        <f>TRUNC(((H24/H25*100000)/100000),2)</f>
        <v>266.76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19453.358329999999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2058398.91313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4726227</v>
      </c>
      <c r="I32" s="420"/>
      <c r="J32" s="420"/>
      <c r="K32" s="423">
        <f>TRUNC(100-((((H32/H33*100))*100)/100),2)</f>
        <v>22.35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6087197.0430000005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144498</v>
      </c>
      <c r="D4" s="465">
        <v>27276</v>
      </c>
      <c r="E4" s="466">
        <v>16556</v>
      </c>
      <c r="F4" s="466">
        <v>111097</v>
      </c>
      <c r="G4" s="466">
        <v>55549</v>
      </c>
      <c r="H4" s="466">
        <v>101822</v>
      </c>
      <c r="I4" s="466">
        <v>3894</v>
      </c>
      <c r="J4" s="467">
        <v>0</v>
      </c>
      <c r="K4" s="466">
        <v>1433</v>
      </c>
      <c r="L4" s="466">
        <v>22402</v>
      </c>
      <c r="M4" s="468"/>
      <c r="N4" s="469"/>
    </row>
    <row r="5" spans="1:14" x14ac:dyDescent="0.2">
      <c r="A5" s="463" t="s">
        <v>1049</v>
      </c>
      <c r="B5" s="470">
        <v>120</v>
      </c>
      <c r="C5" s="465">
        <v>3508373</v>
      </c>
      <c r="D5" s="466">
        <v>300305</v>
      </c>
      <c r="E5" s="466">
        <v>0</v>
      </c>
      <c r="F5" s="466">
        <v>1761</v>
      </c>
      <c r="G5" s="466">
        <v>107273</v>
      </c>
      <c r="H5" s="466">
        <v>2114665</v>
      </c>
      <c r="I5" s="466">
        <v>1092350</v>
      </c>
      <c r="J5" s="467">
        <v>0</v>
      </c>
      <c r="K5" s="471">
        <v>41336</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3652871</v>
      </c>
      <c r="D13" s="1757">
        <f t="shared" ref="D13:L13" si="0">SUM(D4:D12)</f>
        <v>327581</v>
      </c>
      <c r="E13" s="1757">
        <f t="shared" si="0"/>
        <v>16556</v>
      </c>
      <c r="F13" s="1757">
        <f t="shared" si="0"/>
        <v>112858</v>
      </c>
      <c r="G13" s="1757">
        <f t="shared" si="0"/>
        <v>162822</v>
      </c>
      <c r="H13" s="1757">
        <f t="shared" si="0"/>
        <v>2216487</v>
      </c>
      <c r="I13" s="1757">
        <f t="shared" si="0"/>
        <v>1096244</v>
      </c>
      <c r="J13" s="1757">
        <f t="shared" si="0"/>
        <v>0</v>
      </c>
      <c r="K13" s="1757">
        <f t="shared" si="0"/>
        <v>42769</v>
      </c>
      <c r="L13" s="1757">
        <f t="shared" si="0"/>
        <v>22402</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27328</v>
      </c>
      <c r="N16" s="483"/>
    </row>
    <row r="17" spans="1:14" s="484" customFormat="1" ht="12.75" customHeight="1" x14ac:dyDescent="0.2">
      <c r="A17" s="481" t="s">
        <v>1470</v>
      </c>
      <c r="B17" s="482">
        <v>230</v>
      </c>
      <c r="C17" s="476"/>
      <c r="D17" s="476"/>
      <c r="E17" s="476"/>
      <c r="F17" s="476"/>
      <c r="G17" s="476"/>
      <c r="H17" s="476"/>
      <c r="I17" s="476"/>
      <c r="J17" s="476"/>
      <c r="K17" s="476"/>
      <c r="L17" s="476"/>
      <c r="M17" s="467">
        <v>10575288</v>
      </c>
      <c r="N17" s="483"/>
    </row>
    <row r="18" spans="1:14" s="484" customFormat="1" ht="12.75" customHeight="1" x14ac:dyDescent="0.2">
      <c r="A18" s="481" t="s">
        <v>1471</v>
      </c>
      <c r="B18" s="482">
        <v>240</v>
      </c>
      <c r="C18" s="476"/>
      <c r="D18" s="476"/>
      <c r="E18" s="476"/>
      <c r="F18" s="476"/>
      <c r="G18" s="476"/>
      <c r="H18" s="476"/>
      <c r="I18" s="476"/>
      <c r="J18" s="476"/>
      <c r="K18" s="476"/>
      <c r="L18" s="476"/>
      <c r="M18" s="467">
        <v>1097857</v>
      </c>
      <c r="N18" s="483"/>
    </row>
    <row r="19" spans="1:14" s="484" customFormat="1" ht="12.75" customHeight="1" x14ac:dyDescent="0.2">
      <c r="A19" s="481" t="s">
        <v>1472</v>
      </c>
      <c r="B19" s="482">
        <v>250</v>
      </c>
      <c r="C19" s="476"/>
      <c r="D19" s="476"/>
      <c r="E19" s="476"/>
      <c r="F19" s="476"/>
      <c r="G19" s="476"/>
      <c r="H19" s="476"/>
      <c r="I19" s="476"/>
      <c r="J19" s="476"/>
      <c r="K19" s="476"/>
      <c r="L19" s="476"/>
      <c r="M19" s="467">
        <v>1633311</v>
      </c>
      <c r="N19" s="483"/>
    </row>
    <row r="20" spans="1:14" s="484" customFormat="1" ht="12.75" customHeight="1" x14ac:dyDescent="0.2">
      <c r="A20" s="481" t="s">
        <v>1473</v>
      </c>
      <c r="B20" s="482">
        <v>260</v>
      </c>
      <c r="C20" s="476"/>
      <c r="D20" s="476"/>
      <c r="E20" s="476"/>
      <c r="F20" s="476"/>
      <c r="G20" s="476"/>
      <c r="H20" s="476"/>
      <c r="I20" s="476"/>
      <c r="J20" s="476"/>
      <c r="K20" s="476"/>
      <c r="L20" s="476"/>
      <c r="M20" s="467">
        <v>57069</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16556</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4709671</v>
      </c>
    </row>
    <row r="23" spans="1:14" ht="13.5" customHeight="1" thickBot="1" x14ac:dyDescent="0.25">
      <c r="A23" s="1756" t="s">
        <v>664</v>
      </c>
      <c r="B23" s="1761"/>
      <c r="C23" s="468"/>
      <c r="D23" s="468"/>
      <c r="E23" s="468"/>
      <c r="F23" s="468"/>
      <c r="G23" s="468"/>
      <c r="H23" s="468"/>
      <c r="I23" s="468"/>
      <c r="J23" s="468"/>
      <c r="K23" s="468"/>
      <c r="L23" s="468"/>
      <c r="M23" s="1708">
        <f>SUM(M15:M22)</f>
        <v>13390853</v>
      </c>
      <c r="N23" s="1708">
        <f>SUM(N21:N22)</f>
        <v>4726227</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22402</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22402</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4726227</v>
      </c>
    </row>
    <row r="37" spans="1:14" ht="13.5" thickBot="1" x14ac:dyDescent="0.25">
      <c r="A37" s="1756" t="s">
        <v>674</v>
      </c>
      <c r="B37" s="1761"/>
      <c r="C37" s="476"/>
      <c r="D37" s="476"/>
      <c r="E37" s="476"/>
      <c r="F37" s="476"/>
      <c r="G37" s="476"/>
      <c r="H37" s="476"/>
      <c r="I37" s="476"/>
      <c r="J37" s="476"/>
      <c r="K37" s="476"/>
      <c r="L37" s="479"/>
      <c r="M37" s="468"/>
      <c r="N37" s="1708">
        <f>SUM(N36:N36)</f>
        <v>4726227</v>
      </c>
    </row>
    <row r="38" spans="1:14" s="329" customFormat="1" ht="13.5" customHeight="1" thickTop="1" x14ac:dyDescent="0.2">
      <c r="A38" s="494" t="s">
        <v>440</v>
      </c>
      <c r="B38" s="482">
        <v>714</v>
      </c>
      <c r="C38" s="465">
        <v>0</v>
      </c>
      <c r="D38" s="465">
        <v>0</v>
      </c>
      <c r="E38" s="465">
        <v>0</v>
      </c>
      <c r="F38" s="465">
        <v>0</v>
      </c>
      <c r="G38" s="465">
        <v>26259</v>
      </c>
      <c r="H38" s="465">
        <v>0</v>
      </c>
      <c r="I38" s="465">
        <v>0</v>
      </c>
      <c r="J38" s="465">
        <v>0</v>
      </c>
      <c r="K38" s="465">
        <v>0</v>
      </c>
      <c r="L38" s="465">
        <v>0</v>
      </c>
      <c r="M38" s="495"/>
      <c r="N38" s="495"/>
    </row>
    <row r="39" spans="1:14" s="329" customFormat="1" ht="13.5" customHeight="1" x14ac:dyDescent="0.2">
      <c r="A39" s="494" t="s">
        <v>360</v>
      </c>
      <c r="B39" s="482">
        <v>730</v>
      </c>
      <c r="C39" s="465">
        <v>3652871</v>
      </c>
      <c r="D39" s="465">
        <v>327581</v>
      </c>
      <c r="E39" s="465">
        <v>16556</v>
      </c>
      <c r="F39" s="465">
        <v>112858</v>
      </c>
      <c r="G39" s="465">
        <v>136563</v>
      </c>
      <c r="H39" s="465">
        <v>2216487</v>
      </c>
      <c r="I39" s="465">
        <v>1096244</v>
      </c>
      <c r="J39" s="465">
        <v>0</v>
      </c>
      <c r="K39" s="465">
        <v>42769</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13390853</v>
      </c>
      <c r="N40" s="495"/>
    </row>
    <row r="41" spans="1:14" ht="13.5" customHeight="1" thickBot="1" x14ac:dyDescent="0.25">
      <c r="A41" s="1756" t="s">
        <v>676</v>
      </c>
      <c r="B41" s="1726"/>
      <c r="C41" s="1708">
        <f>(SUM(C34,C37,C38,C39))</f>
        <v>3652871</v>
      </c>
      <c r="D41" s="1708">
        <f t="shared" ref="D41:L41" si="2">SUM(D34,D37,D38:D39)</f>
        <v>327581</v>
      </c>
      <c r="E41" s="1708">
        <f t="shared" si="2"/>
        <v>16556</v>
      </c>
      <c r="F41" s="1708">
        <f t="shared" si="2"/>
        <v>112858</v>
      </c>
      <c r="G41" s="1708">
        <f t="shared" si="2"/>
        <v>162822</v>
      </c>
      <c r="H41" s="1708">
        <f t="shared" si="2"/>
        <v>2216487</v>
      </c>
      <c r="I41" s="1708">
        <f t="shared" si="2"/>
        <v>1096244</v>
      </c>
      <c r="J41" s="1708">
        <f t="shared" si="2"/>
        <v>0</v>
      </c>
      <c r="K41" s="1708">
        <f t="shared" si="2"/>
        <v>42769</v>
      </c>
      <c r="L41" s="1708">
        <f t="shared" si="2"/>
        <v>22402</v>
      </c>
      <c r="M41" s="1708">
        <f>SUM(M40)</f>
        <v>13390853</v>
      </c>
      <c r="N41" s="1708">
        <f>SUM(N37)</f>
        <v>4726227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G29" sqref="G29"/>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75" customHeight="1" x14ac:dyDescent="0.2">
      <c r="A4" s="1952" t="s">
        <v>1579</v>
      </c>
      <c r="B4" s="1953">
        <v>1000</v>
      </c>
      <c r="C4" s="1762">
        <f>'Revenues 9-14'!C109</f>
        <v>2333058</v>
      </c>
      <c r="D4" s="1762">
        <f>'Revenues 9-14'!D109</f>
        <v>252017</v>
      </c>
      <c r="E4" s="1762">
        <f>'Revenues 9-14'!E109</f>
        <v>376882</v>
      </c>
      <c r="F4" s="1762">
        <f>'Revenues 9-14'!F109</f>
        <v>158141</v>
      </c>
      <c r="G4" s="1762">
        <f>'Revenues 9-14'!G109</f>
        <v>237040</v>
      </c>
      <c r="H4" s="1762">
        <f>'Revenues 9-14'!H109</f>
        <v>24260</v>
      </c>
      <c r="I4" s="1762">
        <f>'Revenues 9-14'!I109</f>
        <v>22992</v>
      </c>
      <c r="J4" s="1762">
        <f>'Revenues 9-14'!J109</f>
        <v>29580</v>
      </c>
      <c r="K4" s="1762">
        <f>'Revenues 9-14'!K109</f>
        <v>1946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3801197</v>
      </c>
      <c r="D6" s="1763">
        <f>'Revenues 9-14'!D173</f>
        <v>0</v>
      </c>
      <c r="E6" s="1763">
        <f>'Revenues 9-14'!E173</f>
        <v>0</v>
      </c>
      <c r="F6" s="1763">
        <f>'Revenues 9-14'!F173</f>
        <v>419831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557792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6692047</v>
      </c>
      <c r="D8" s="1708">
        <f t="shared" ref="D8:K8" si="0">SUM(D4:D7)</f>
        <v>252017</v>
      </c>
      <c r="E8" s="1708">
        <f t="shared" si="0"/>
        <v>376882</v>
      </c>
      <c r="F8" s="1708">
        <f t="shared" si="0"/>
        <v>577972</v>
      </c>
      <c r="G8" s="1708">
        <f t="shared" si="0"/>
        <v>237040</v>
      </c>
      <c r="H8" s="1708">
        <f t="shared" si="0"/>
        <v>24260</v>
      </c>
      <c r="I8" s="1708">
        <f t="shared" si="0"/>
        <v>22992</v>
      </c>
      <c r="J8" s="1708">
        <f t="shared" si="0"/>
        <v>29580</v>
      </c>
      <c r="K8" s="1708">
        <f t="shared" si="0"/>
        <v>1946</v>
      </c>
      <c r="L8" s="347"/>
    </row>
    <row r="9" spans="1:13" ht="15.75" thickTop="1" x14ac:dyDescent="0.2">
      <c r="A9" s="512" t="s">
        <v>1752</v>
      </c>
      <c r="B9" s="513">
        <v>3998</v>
      </c>
      <c r="C9" s="465">
        <v>2198517</v>
      </c>
      <c r="D9" s="514"/>
      <c r="E9" s="480"/>
      <c r="F9" s="480"/>
      <c r="G9" s="515"/>
      <c r="H9" s="480"/>
      <c r="I9" s="507" t="s">
        <v>1231</v>
      </c>
      <c r="J9" s="477"/>
      <c r="K9" s="480"/>
      <c r="L9" s="347"/>
    </row>
    <row r="10" spans="1:13" s="517" customFormat="1" ht="13.5" thickBot="1" x14ac:dyDescent="0.25">
      <c r="A10" s="1756" t="s">
        <v>1235</v>
      </c>
      <c r="B10" s="1729"/>
      <c r="C10" s="1708">
        <f>SUM(C8:C9)</f>
        <v>8890564</v>
      </c>
      <c r="D10" s="1708">
        <f t="shared" ref="D10:K10" si="1">SUM(D8:D9)</f>
        <v>252017</v>
      </c>
      <c r="E10" s="1708">
        <f t="shared" si="1"/>
        <v>376882</v>
      </c>
      <c r="F10" s="1708">
        <f t="shared" si="1"/>
        <v>577972</v>
      </c>
      <c r="G10" s="1708">
        <f t="shared" si="1"/>
        <v>237040</v>
      </c>
      <c r="H10" s="1708">
        <f t="shared" si="1"/>
        <v>24260</v>
      </c>
      <c r="I10" s="1708">
        <f t="shared" si="1"/>
        <v>22992</v>
      </c>
      <c r="J10" s="1708">
        <f t="shared" si="1"/>
        <v>29580</v>
      </c>
      <c r="K10" s="1708">
        <f t="shared" si="1"/>
        <v>1946</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75" customHeight="1" x14ac:dyDescent="0.2">
      <c r="A12" s="1596" t="s">
        <v>476</v>
      </c>
      <c r="B12" s="1598">
        <v>1000</v>
      </c>
      <c r="C12" s="1762">
        <f>'Expenditures 15-22'!K33</f>
        <v>3673461</v>
      </c>
      <c r="D12" s="518" t="s">
        <v>1231</v>
      </c>
      <c r="E12" s="468" t="s">
        <v>1231</v>
      </c>
      <c r="F12" s="468" t="s">
        <v>1231</v>
      </c>
      <c r="G12" s="1762">
        <f>'Expenditures 15-22'!K229</f>
        <v>92685</v>
      </c>
      <c r="H12" s="519"/>
      <c r="I12" s="468" t="s">
        <v>1231</v>
      </c>
      <c r="J12" s="468" t="s">
        <v>1231</v>
      </c>
      <c r="K12" s="519" t="s">
        <v>1231</v>
      </c>
      <c r="L12" s="347"/>
    </row>
    <row r="13" spans="1:13" ht="15.75" customHeight="1" x14ac:dyDescent="0.2">
      <c r="A13" s="1596" t="s">
        <v>477</v>
      </c>
      <c r="B13" s="1598">
        <v>2000</v>
      </c>
      <c r="C13" s="1763">
        <f>'Expenditures 15-22'!K74</f>
        <v>2141519</v>
      </c>
      <c r="D13" s="1763">
        <f>'Expenditures 15-22'!K129</f>
        <v>271304</v>
      </c>
      <c r="E13" s="469" t="s">
        <v>1231</v>
      </c>
      <c r="F13" s="1763">
        <f>'Expenditures 15-22'!K184</f>
        <v>590220</v>
      </c>
      <c r="G13" s="1763">
        <f>'Expenditures 15-22'!K279</f>
        <v>139362</v>
      </c>
      <c r="H13" s="1763">
        <f>'Expenditures 15-22'!K303</f>
        <v>1640867</v>
      </c>
      <c r="I13" s="468" t="s">
        <v>1231</v>
      </c>
      <c r="J13" s="1763">
        <f>'Expenditures 15-22'!K330</f>
        <v>29580</v>
      </c>
      <c r="K13" s="1767">
        <f>'Expenditures 15-22'!K352</f>
        <v>0</v>
      </c>
      <c r="L13" s="347"/>
    </row>
    <row r="14" spans="1:13" ht="15.75" customHeight="1" x14ac:dyDescent="0.2">
      <c r="A14" s="1596" t="s">
        <v>469</v>
      </c>
      <c r="B14" s="1598">
        <v>3000</v>
      </c>
      <c r="C14" s="1763">
        <f>'Expenditures 15-22'!K75</f>
        <v>55098</v>
      </c>
      <c r="D14" s="1763">
        <f>'Expenditures 15-22'!K130</f>
        <v>0</v>
      </c>
      <c r="E14" s="518" t="s">
        <v>1231</v>
      </c>
      <c r="F14" s="1763">
        <f>'Expenditures 15-22'!K185</f>
        <v>0</v>
      </c>
      <c r="G14" s="1763">
        <f>'Expenditures 15-22'!K280</f>
        <v>8737</v>
      </c>
      <c r="H14" s="510"/>
      <c r="I14" s="468" t="s">
        <v>1231</v>
      </c>
      <c r="J14" s="468" t="s">
        <v>1231</v>
      </c>
      <c r="K14" s="510" t="s">
        <v>1231</v>
      </c>
      <c r="L14" s="347"/>
    </row>
    <row r="15" spans="1:13" ht="15.75" customHeight="1" x14ac:dyDescent="0.2">
      <c r="A15" s="1596" t="s">
        <v>109</v>
      </c>
      <c r="B15" s="1598">
        <v>4000</v>
      </c>
      <c r="C15" s="1763">
        <f>'Expenditures 15-22'!K102</f>
        <v>271607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491238</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6141685</v>
      </c>
      <c r="D17" s="1708">
        <f t="shared" si="2"/>
        <v>271304</v>
      </c>
      <c r="E17" s="1708">
        <f t="shared" si="2"/>
        <v>491238</v>
      </c>
      <c r="F17" s="1708">
        <f t="shared" si="2"/>
        <v>590220</v>
      </c>
      <c r="G17" s="1708">
        <f t="shared" si="2"/>
        <v>240784</v>
      </c>
      <c r="H17" s="1708">
        <f t="shared" si="2"/>
        <v>1640867</v>
      </c>
      <c r="I17" s="468"/>
      <c r="J17" s="1708">
        <f>SUM(J12:J16)</f>
        <v>29580</v>
      </c>
      <c r="K17" s="1708">
        <f>SUM(K12:K16)</f>
        <v>0</v>
      </c>
      <c r="L17" s="347"/>
    </row>
    <row r="18" spans="1:12" ht="15" customHeight="1" thickTop="1" x14ac:dyDescent="0.2">
      <c r="A18" s="1764" t="s">
        <v>1753</v>
      </c>
      <c r="B18" s="1765">
        <v>4180</v>
      </c>
      <c r="C18" s="1762">
        <f t="shared" ref="C18:H18" si="3">C9</f>
        <v>2198517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8340202</v>
      </c>
      <c r="D19" s="1708">
        <f t="shared" si="4"/>
        <v>271304</v>
      </c>
      <c r="E19" s="1708">
        <f t="shared" si="4"/>
        <v>491238</v>
      </c>
      <c r="F19" s="1708">
        <f t="shared" si="4"/>
        <v>590220</v>
      </c>
      <c r="G19" s="1708">
        <f t="shared" si="4"/>
        <v>240784</v>
      </c>
      <c r="H19" s="1708">
        <f t="shared" si="4"/>
        <v>1640867</v>
      </c>
      <c r="I19" s="468"/>
      <c r="J19" s="1708">
        <f>SUM(J17:J18)</f>
        <v>29580</v>
      </c>
      <c r="K19" s="1708">
        <f>SUM(K17:K18)</f>
        <v>0</v>
      </c>
      <c r="L19" s="347"/>
    </row>
    <row r="20" spans="1:12" ht="16.5" thickTop="1" thickBot="1" x14ac:dyDescent="0.25">
      <c r="A20" s="2144" t="s">
        <v>1754</v>
      </c>
      <c r="B20" s="2145"/>
      <c r="C20" s="1766">
        <f>C8-C17</f>
        <v>550362</v>
      </c>
      <c r="D20" s="1766">
        <f t="shared" ref="D20:K20" si="5">D8-D17</f>
        <v>-19287</v>
      </c>
      <c r="E20" s="1766">
        <f t="shared" si="5"/>
        <v>-114356</v>
      </c>
      <c r="F20" s="1766">
        <f t="shared" si="5"/>
        <v>-12248</v>
      </c>
      <c r="G20" s="1766">
        <f t="shared" si="5"/>
        <v>-3744</v>
      </c>
      <c r="H20" s="1766">
        <f t="shared" si="5"/>
        <v>-1616607</v>
      </c>
      <c r="I20" s="1766">
        <f t="shared" si="5"/>
        <v>22992</v>
      </c>
      <c r="J20" s="1766">
        <f t="shared" si="5"/>
        <v>0</v>
      </c>
      <c r="K20" s="1766">
        <f t="shared" si="5"/>
        <v>1946</v>
      </c>
      <c r="L20" s="347"/>
    </row>
    <row r="21" spans="1:12" ht="16.7" customHeight="1" thickTop="1" x14ac:dyDescent="0.2">
      <c r="A21" s="2156" t="s">
        <v>616</v>
      </c>
      <c r="B21" s="2157"/>
      <c r="C21" s="1590"/>
      <c r="D21" s="1591"/>
      <c r="E21" s="1591"/>
      <c r="F21" s="1591"/>
      <c r="G21" s="1591"/>
      <c r="H21" s="1591"/>
      <c r="I21" s="1591"/>
      <c r="J21" s="1591"/>
      <c r="K21" s="1592"/>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15409</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3">
        <f>SUM(C24:C43)</f>
        <v>0</v>
      </c>
      <c r="D44" s="1723">
        <f t="shared" ref="D44:K44" si="6">SUM(D24:D43)</f>
        <v>0</v>
      </c>
      <c r="E44" s="1723">
        <f t="shared" si="6"/>
        <v>15409</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15409</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15409</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6" t="s">
        <v>1239</v>
      </c>
      <c r="B77" s="2137"/>
      <c r="C77" s="1723">
        <f t="shared" ref="C77:K77" si="8">C44-C76</f>
        <v>-15409</v>
      </c>
      <c r="D77" s="1723">
        <f t="shared" si="8"/>
        <v>0</v>
      </c>
      <c r="E77" s="1723">
        <f t="shared" si="8"/>
        <v>15409</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0" t="s">
        <v>618</v>
      </c>
      <c r="B78" s="2141"/>
      <c r="C78" s="1722">
        <f t="shared" ref="C78:K78" si="9">C20+C77</f>
        <v>534953</v>
      </c>
      <c r="D78" s="1722">
        <f t="shared" si="9"/>
        <v>-19287</v>
      </c>
      <c r="E78" s="1722">
        <f t="shared" si="9"/>
        <v>-98947</v>
      </c>
      <c r="F78" s="1722">
        <f t="shared" si="9"/>
        <v>-12248</v>
      </c>
      <c r="G78" s="1722">
        <f t="shared" si="9"/>
        <v>-3744</v>
      </c>
      <c r="H78" s="1722">
        <f t="shared" si="9"/>
        <v>-1616607</v>
      </c>
      <c r="I78" s="1722">
        <f t="shared" si="9"/>
        <v>22992</v>
      </c>
      <c r="J78" s="1722">
        <f t="shared" si="9"/>
        <v>0</v>
      </c>
      <c r="K78" s="1722">
        <f t="shared" si="9"/>
        <v>1946</v>
      </c>
      <c r="L78" s="531"/>
    </row>
    <row r="79" spans="1:12" ht="13.5" thickTop="1" x14ac:dyDescent="0.2">
      <c r="A79" s="1514" t="s">
        <v>2072</v>
      </c>
      <c r="B79" s="532"/>
      <c r="C79" s="467">
        <v>3117918</v>
      </c>
      <c r="D79" s="467">
        <v>346868</v>
      </c>
      <c r="E79" s="467">
        <v>115503</v>
      </c>
      <c r="F79" s="467">
        <v>125106</v>
      </c>
      <c r="G79" s="467">
        <v>166566</v>
      </c>
      <c r="H79" s="467">
        <v>3833094</v>
      </c>
      <c r="I79" s="467">
        <v>1073252</v>
      </c>
      <c r="J79" s="467">
        <v>0</v>
      </c>
      <c r="K79" s="467">
        <v>40823</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8">
        <f>(SUM(C78:C80))</f>
        <v>3652871</v>
      </c>
      <c r="D81" s="1708">
        <f>SUM(D78:D80)</f>
        <v>327581</v>
      </c>
      <c r="E81" s="1708">
        <f t="shared" ref="E81:K81" si="10">SUM(E78:E80)</f>
        <v>16556</v>
      </c>
      <c r="F81" s="1708">
        <f t="shared" si="10"/>
        <v>112858</v>
      </c>
      <c r="G81" s="1708">
        <f t="shared" si="10"/>
        <v>162822</v>
      </c>
      <c r="H81" s="1708">
        <f t="shared" si="10"/>
        <v>2216487</v>
      </c>
      <c r="I81" s="1708">
        <f t="shared" si="10"/>
        <v>1096244</v>
      </c>
      <c r="J81" s="1708">
        <f t="shared" si="10"/>
        <v>0</v>
      </c>
      <c r="K81" s="1708">
        <f t="shared" si="10"/>
        <v>42769</v>
      </c>
      <c r="L81" s="347"/>
    </row>
    <row r="82" spans="1:12" ht="0.75" customHeight="1" thickTop="1" thickBot="1" x14ac:dyDescent="0.25">
      <c r="A82" s="534" t="s">
        <v>361</v>
      </c>
      <c r="B82" s="535"/>
      <c r="C82" s="536">
        <f>(C81-C79)</f>
        <v>534953</v>
      </c>
      <c r="D82" s="536">
        <f t="shared" ref="D82:K82" si="11">(D81-D79)</f>
        <v>-19287</v>
      </c>
      <c r="E82" s="536">
        <f t="shared" si="11"/>
        <v>-98947</v>
      </c>
      <c r="F82" s="536">
        <f t="shared" si="11"/>
        <v>-12248</v>
      </c>
      <c r="G82" s="536">
        <f t="shared" si="11"/>
        <v>-3744</v>
      </c>
      <c r="H82" s="536">
        <f t="shared" si="11"/>
        <v>-1616607</v>
      </c>
      <c r="I82" s="536">
        <f t="shared" si="11"/>
        <v>22992</v>
      </c>
      <c r="J82" s="536">
        <f t="shared" si="11"/>
        <v>0</v>
      </c>
      <c r="K82" s="536">
        <f t="shared" si="11"/>
        <v>1946</v>
      </c>
    </row>
    <row r="83" spans="1:12" ht="14.25" hidden="1" thickTop="1" thickBot="1" x14ac:dyDescent="0.25">
      <c r="A83" s="537" t="s">
        <v>362</v>
      </c>
      <c r="B83" s="464"/>
      <c r="C83" s="538">
        <f>C82/C81</f>
        <v>0.1464472739387731</v>
      </c>
      <c r="D83" s="538">
        <f t="shared" ref="D83:K83" si="12">D82/D81</f>
        <v>-5.8877041098232191E-2</v>
      </c>
      <c r="E83" s="538">
        <f t="shared" si="12"/>
        <v>-5.9765039864701617</v>
      </c>
      <c r="F83" s="538">
        <f t="shared" si="12"/>
        <v>-0.10852575803221748</v>
      </c>
      <c r="G83" s="538">
        <f t="shared" si="12"/>
        <v>-2.2994435641375245E-2</v>
      </c>
      <c r="H83" s="538">
        <f t="shared" si="12"/>
        <v>-0.72935550716065556</v>
      </c>
      <c r="I83" s="538">
        <f t="shared" si="12"/>
        <v>2.0973432921867759E-2</v>
      </c>
      <c r="J83" s="538" t="e">
        <f t="shared" si="12"/>
        <v>#DIV/0!</v>
      </c>
      <c r="K83" s="538">
        <f t="shared" si="12"/>
        <v>4.5500245504921787E-2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29" sqref="G29"/>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1977300</v>
      </c>
      <c r="D5" s="480">
        <v>248546</v>
      </c>
      <c r="E5" s="480">
        <v>376611</v>
      </c>
      <c r="F5" s="546">
        <v>113528</v>
      </c>
      <c r="G5" s="466">
        <v>122704</v>
      </c>
      <c r="H5" s="466">
        <v>0</v>
      </c>
      <c r="I5" s="466">
        <v>0</v>
      </c>
      <c r="J5" s="466">
        <v>29558</v>
      </c>
      <c r="K5" s="466">
        <v>1433</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19354</v>
      </c>
      <c r="D7" s="466">
        <v>0</v>
      </c>
      <c r="E7" s="468"/>
      <c r="F7" s="467">
        <v>0</v>
      </c>
      <c r="G7" s="467">
        <v>0</v>
      </c>
      <c r="H7" s="467">
        <v>0</v>
      </c>
      <c r="I7" s="468"/>
      <c r="J7" s="468"/>
      <c r="K7" s="468"/>
    </row>
    <row r="8" spans="1:12" x14ac:dyDescent="0.2">
      <c r="A8" s="463" t="s">
        <v>433</v>
      </c>
      <c r="B8" s="470">
        <v>1150</v>
      </c>
      <c r="C8" s="475"/>
      <c r="D8" s="475"/>
      <c r="E8" s="476"/>
      <c r="F8" s="476"/>
      <c r="G8" s="480">
        <v>106682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1996654</v>
      </c>
      <c r="D12" s="1727">
        <f t="shared" si="0"/>
        <v>248546</v>
      </c>
      <c r="E12" s="1727">
        <f t="shared" si="0"/>
        <v>376611</v>
      </c>
      <c r="F12" s="1727">
        <f t="shared" si="0"/>
        <v>113528</v>
      </c>
      <c r="G12" s="1727">
        <f t="shared" si="0"/>
        <v>229386</v>
      </c>
      <c r="H12" s="1727">
        <f t="shared" si="0"/>
        <v>0</v>
      </c>
      <c r="I12" s="1727">
        <f t="shared" si="0"/>
        <v>0</v>
      </c>
      <c r="J12" s="1727">
        <f t="shared" si="0"/>
        <v>29558</v>
      </c>
      <c r="K12" s="1708">
        <f t="shared" si="0"/>
        <v>1433</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44513</v>
      </c>
      <c r="G16" s="466">
        <v>6071</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44513</v>
      </c>
      <c r="G18" s="1730">
        <f t="shared" si="1"/>
        <v>6071</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37861</v>
      </c>
      <c r="D65" s="466">
        <v>3471</v>
      </c>
      <c r="E65" s="466">
        <v>271</v>
      </c>
      <c r="F65" s="467">
        <v>100</v>
      </c>
      <c r="G65" s="466">
        <v>1583</v>
      </c>
      <c r="H65" s="466">
        <v>24260</v>
      </c>
      <c r="I65" s="466">
        <v>22992</v>
      </c>
      <c r="J65" s="467">
        <v>22</v>
      </c>
      <c r="K65" s="466">
        <v>513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37861</v>
      </c>
      <c r="D67" s="1708">
        <f t="shared" ref="D67:K67" si="2">SUM(D65:D66)</f>
        <v>3471</v>
      </c>
      <c r="E67" s="1708">
        <f t="shared" si="2"/>
        <v>271</v>
      </c>
      <c r="F67" s="1708">
        <f t="shared" si="2"/>
        <v>100</v>
      </c>
      <c r="G67" s="1708">
        <f t="shared" si="2"/>
        <v>1583</v>
      </c>
      <c r="H67" s="1708">
        <f t="shared" si="2"/>
        <v>24260</v>
      </c>
      <c r="I67" s="1708">
        <f t="shared" si="2"/>
        <v>22992</v>
      </c>
      <c r="J67" s="1708">
        <f t="shared" si="2"/>
        <v>22</v>
      </c>
      <c r="K67" s="1708">
        <f t="shared" si="2"/>
        <v>513</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48965</v>
      </c>
      <c r="D69" s="468"/>
      <c r="E69" s="468"/>
      <c r="F69" s="468"/>
      <c r="G69" s="468"/>
      <c r="H69" s="468"/>
      <c r="I69" s="468"/>
      <c r="J69" s="468"/>
      <c r="K69" s="468"/>
    </row>
    <row r="70" spans="1:11" ht="12.75" customHeight="1" x14ac:dyDescent="0.2">
      <c r="A70" s="463" t="s">
        <v>1054</v>
      </c>
      <c r="B70" s="470">
        <v>1612</v>
      </c>
      <c r="C70" s="549">
        <v>9967</v>
      </c>
      <c r="D70" s="468"/>
      <c r="E70" s="468"/>
      <c r="F70" s="468"/>
      <c r="G70" s="468"/>
      <c r="H70" s="468"/>
      <c r="I70" s="468"/>
      <c r="J70" s="468"/>
      <c r="K70" s="468"/>
    </row>
    <row r="71" spans="1:11" ht="12.75" customHeight="1" x14ac:dyDescent="0.2">
      <c r="A71" s="463" t="s">
        <v>291</v>
      </c>
      <c r="B71" s="470">
        <v>1613</v>
      </c>
      <c r="C71" s="549">
        <v>4835</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3488</v>
      </c>
      <c r="D73" s="468"/>
      <c r="E73" s="468"/>
      <c r="F73" s="468"/>
      <c r="G73" s="468"/>
      <c r="H73" s="468"/>
      <c r="I73" s="468"/>
      <c r="J73" s="468"/>
      <c r="K73" s="468"/>
    </row>
    <row r="74" spans="1:11" ht="12.75" customHeight="1" x14ac:dyDescent="0.2">
      <c r="A74" s="463" t="s">
        <v>25</v>
      </c>
      <c r="B74" s="470">
        <v>1690</v>
      </c>
      <c r="C74" s="549">
        <v>18081</v>
      </c>
      <c r="D74" s="468"/>
      <c r="E74" s="468"/>
      <c r="F74" s="468"/>
      <c r="G74" s="468"/>
      <c r="H74" s="468"/>
      <c r="I74" s="468"/>
      <c r="J74" s="468"/>
      <c r="K74" s="468"/>
    </row>
    <row r="75" spans="1:11" ht="12.75" customHeight="1" thickBot="1" x14ac:dyDescent="0.25">
      <c r="A75" s="1728" t="s">
        <v>569</v>
      </c>
      <c r="B75" s="1729"/>
      <c r="C75" s="1708">
        <f>SUM(C69:C74)</f>
        <v>85336</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7333</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7333</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18750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18750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25179</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2676</v>
      </c>
      <c r="D98" s="466">
        <v>0</v>
      </c>
      <c r="E98" s="510"/>
      <c r="F98" s="466">
        <v>0</v>
      </c>
      <c r="G98" s="510"/>
      <c r="H98" s="510"/>
      <c r="I98" s="508"/>
      <c r="J98" s="510"/>
      <c r="K98" s="510"/>
    </row>
    <row r="99" spans="1:12" ht="12.75" customHeight="1" x14ac:dyDescent="0.2">
      <c r="A99" s="463" t="s">
        <v>875</v>
      </c>
      <c r="B99" s="470">
        <v>1950</v>
      </c>
      <c r="C99" s="487">
        <v>90965</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68304</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187124</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2333058</v>
      </c>
      <c r="D109" s="1735">
        <f t="shared" si="4"/>
        <v>252017</v>
      </c>
      <c r="E109" s="1735">
        <f t="shared" si="4"/>
        <v>376882</v>
      </c>
      <c r="F109" s="1735">
        <f t="shared" si="4"/>
        <v>158141</v>
      </c>
      <c r="G109" s="1735">
        <f t="shared" si="4"/>
        <v>237040</v>
      </c>
      <c r="H109" s="1735">
        <f t="shared" si="4"/>
        <v>24260</v>
      </c>
      <c r="I109" s="1735">
        <f t="shared" si="4"/>
        <v>22992</v>
      </c>
      <c r="J109" s="1735">
        <f t="shared" si="4"/>
        <v>29580</v>
      </c>
      <c r="K109" s="1722">
        <f t="shared" si="4"/>
        <v>1946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3457786</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3457786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149607</v>
      </c>
      <c r="D124" s="559"/>
      <c r="E124" s="468"/>
      <c r="F124" s="546">
        <v>0</v>
      </c>
      <c r="G124" s="468"/>
      <c r="H124" s="468"/>
      <c r="I124" s="468"/>
      <c r="J124" s="468"/>
      <c r="K124" s="468"/>
    </row>
    <row r="125" spans="1:11" ht="12.75" customHeight="1" x14ac:dyDescent="0.2">
      <c r="A125" s="463" t="s">
        <v>1521</v>
      </c>
      <c r="B125" s="560">
        <v>3105</v>
      </c>
      <c r="C125" s="466">
        <v>53987</v>
      </c>
      <c r="D125" s="559"/>
      <c r="E125" s="468"/>
      <c r="F125" s="466">
        <v>0</v>
      </c>
      <c r="G125" s="468"/>
      <c r="H125" s="468"/>
      <c r="I125" s="468"/>
      <c r="J125" s="468"/>
      <c r="K125" s="468"/>
    </row>
    <row r="126" spans="1:11" ht="12.75" customHeight="1" x14ac:dyDescent="0.2">
      <c r="A126" s="463" t="s">
        <v>922</v>
      </c>
      <c r="B126" s="560">
        <v>3110</v>
      </c>
      <c r="C126" s="549">
        <v>76266</v>
      </c>
      <c r="D126" s="466">
        <v>0</v>
      </c>
      <c r="E126" s="468"/>
      <c r="F126" s="466">
        <v>0</v>
      </c>
      <c r="G126" s="468"/>
      <c r="H126" s="468"/>
      <c r="I126" s="468"/>
      <c r="J126" s="468"/>
      <c r="K126" s="468"/>
    </row>
    <row r="127" spans="1:11" ht="12.75" customHeight="1" x14ac:dyDescent="0.2">
      <c r="A127" s="463" t="s">
        <v>107</v>
      </c>
      <c r="B127" s="560">
        <v>3120</v>
      </c>
      <c r="C127" s="466">
        <v>51200</v>
      </c>
      <c r="D127" s="559"/>
      <c r="E127" s="468"/>
      <c r="F127" s="466">
        <v>0</v>
      </c>
      <c r="G127" s="468"/>
      <c r="H127" s="468"/>
      <c r="I127" s="468"/>
      <c r="J127" s="468"/>
      <c r="K127" s="468"/>
    </row>
    <row r="128" spans="1:11" ht="12.75" customHeight="1" x14ac:dyDescent="0.2">
      <c r="A128" s="463" t="s">
        <v>1522</v>
      </c>
      <c r="B128" s="560">
        <v>3130</v>
      </c>
      <c r="C128" s="466">
        <v>7318</v>
      </c>
      <c r="D128" s="559"/>
      <c r="E128" s="468"/>
      <c r="F128" s="466">
        <v>0</v>
      </c>
      <c r="G128" s="468"/>
      <c r="H128" s="468"/>
      <c r="I128" s="468"/>
      <c r="J128" s="468"/>
      <c r="K128" s="468"/>
    </row>
    <row r="129" spans="1:11" ht="12.75" customHeight="1" x14ac:dyDescent="0.2">
      <c r="A129" s="463" t="s">
        <v>139</v>
      </c>
      <c r="B129" s="560">
        <v>3145</v>
      </c>
      <c r="C129" s="466">
        <v>1881</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340259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3152</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54074</v>
      </c>
      <c r="G151" s="467">
        <v>0</v>
      </c>
      <c r="H151" s="468"/>
      <c r="I151" s="468"/>
      <c r="J151" s="468"/>
      <c r="K151" s="468"/>
    </row>
    <row r="152" spans="1:11" ht="12.75" customHeight="1" x14ac:dyDescent="0.2">
      <c r="A152" s="463" t="s">
        <v>1117</v>
      </c>
      <c r="B152" s="560">
        <v>3510</v>
      </c>
      <c r="C152" s="549">
        <v>0</v>
      </c>
      <c r="D152" s="466">
        <v>0</v>
      </c>
      <c r="E152" s="559"/>
      <c r="F152" s="466">
        <v>365757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419831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343411</v>
      </c>
      <c r="D172" s="1742">
        <f t="shared" si="6"/>
        <v>0</v>
      </c>
      <c r="E172" s="1742">
        <f t="shared" si="6"/>
        <v>0</v>
      </c>
      <c r="F172" s="1742">
        <f t="shared" si="6"/>
        <v>419831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3801197</v>
      </c>
      <c r="D173" s="1735">
        <f>SUM(D121,D172)</f>
        <v>0</v>
      </c>
      <c r="E173" s="1735">
        <f>SUM(E121,E172)</f>
        <v>0</v>
      </c>
      <c r="F173" s="1735">
        <f t="shared" ref="F173:K173" si="7">SUM(F121,F172)</f>
        <v>419831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1905</v>
      </c>
      <c r="B185" s="2167"/>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180846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46648</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227494</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158917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158917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17500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101948</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119448</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20010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18955</v>
      </c>
      <c r="D270" s="574">
        <v>0</v>
      </c>
      <c r="E270" s="468"/>
      <c r="F270" s="574">
        <v>0</v>
      </c>
      <c r="G270" s="574">
        <v>0</v>
      </c>
      <c r="H270" s="468"/>
      <c r="I270" s="468"/>
      <c r="J270" s="468"/>
      <c r="K270" s="468"/>
    </row>
    <row r="271" spans="1:11" ht="12.75" customHeight="1" thickTop="1" thickBot="1" x14ac:dyDescent="0.25">
      <c r="A271" s="463" t="s">
        <v>395</v>
      </c>
      <c r="B271" s="470">
        <v>4992</v>
      </c>
      <c r="C271" s="573">
        <v>12968</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557792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557792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6692047</v>
      </c>
      <c r="D275" s="1735">
        <f t="shared" si="12"/>
        <v>252017</v>
      </c>
      <c r="E275" s="1735">
        <f t="shared" si="12"/>
        <v>376882</v>
      </c>
      <c r="F275" s="1735">
        <f t="shared" si="12"/>
        <v>577972</v>
      </c>
      <c r="G275" s="1735">
        <f t="shared" si="12"/>
        <v>237040</v>
      </c>
      <c r="H275" s="1735">
        <f t="shared" si="12"/>
        <v>24260</v>
      </c>
      <c r="I275" s="1735">
        <f t="shared" si="12"/>
        <v>22992</v>
      </c>
      <c r="J275" s="1735">
        <f t="shared" si="12"/>
        <v>29580</v>
      </c>
      <c r="K275" s="1722">
        <f t="shared" si="12"/>
        <v>1946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G29" sqref="G29"/>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6"/>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2" t="s">
        <v>315</v>
      </c>
      <c r="B3" s="2183"/>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1719148</v>
      </c>
      <c r="D5" s="466">
        <v>610480</v>
      </c>
      <c r="E5" s="466">
        <v>4677</v>
      </c>
      <c r="F5" s="466">
        <v>45804</v>
      </c>
      <c r="G5" s="466">
        <v>0</v>
      </c>
      <c r="H5" s="466">
        <v>0</v>
      </c>
      <c r="I5" s="467">
        <v>0</v>
      </c>
      <c r="J5" s="467">
        <v>0</v>
      </c>
      <c r="K5" s="1691">
        <f>SUM(C5:J5)</f>
        <v>2380109</v>
      </c>
      <c r="L5" s="466">
        <v>2430275</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65352</v>
      </c>
      <c r="D7" s="467">
        <v>18059</v>
      </c>
      <c r="E7" s="467">
        <v>0</v>
      </c>
      <c r="F7" s="467">
        <v>0</v>
      </c>
      <c r="G7" s="467">
        <v>0</v>
      </c>
      <c r="H7" s="467">
        <v>0</v>
      </c>
      <c r="I7" s="467">
        <v>0</v>
      </c>
      <c r="J7" s="467">
        <v>0</v>
      </c>
      <c r="K7" s="1691">
        <f t="shared" ref="K7:K32" si="0">SUM(C7:J7)</f>
        <v>83411</v>
      </c>
      <c r="L7" s="466">
        <v>79500</v>
      </c>
    </row>
    <row r="8" spans="1:14" x14ac:dyDescent="0.2">
      <c r="A8" s="1524" t="s">
        <v>166</v>
      </c>
      <c r="B8" s="613">
        <v>1200</v>
      </c>
      <c r="C8" s="466">
        <v>486875</v>
      </c>
      <c r="D8" s="466">
        <v>124308</v>
      </c>
      <c r="E8" s="466">
        <v>7000</v>
      </c>
      <c r="F8" s="466">
        <v>3350</v>
      </c>
      <c r="G8" s="466">
        <v>0</v>
      </c>
      <c r="H8" s="466">
        <v>0</v>
      </c>
      <c r="I8" s="467">
        <v>0</v>
      </c>
      <c r="J8" s="467">
        <v>0</v>
      </c>
      <c r="K8" s="1691">
        <f t="shared" si="0"/>
        <v>621533</v>
      </c>
      <c r="L8" s="466">
        <v>685200</v>
      </c>
    </row>
    <row r="9" spans="1:14" x14ac:dyDescent="0.2">
      <c r="A9" s="1524" t="s">
        <v>745</v>
      </c>
      <c r="B9" s="613" t="s">
        <v>1025</v>
      </c>
      <c r="C9" s="467">
        <v>75498</v>
      </c>
      <c r="D9" s="467">
        <v>31778</v>
      </c>
      <c r="E9" s="467">
        <v>0</v>
      </c>
      <c r="F9" s="467">
        <v>993</v>
      </c>
      <c r="G9" s="467">
        <v>0</v>
      </c>
      <c r="H9" s="467">
        <v>0</v>
      </c>
      <c r="I9" s="467">
        <v>0</v>
      </c>
      <c r="J9" s="467">
        <v>0</v>
      </c>
      <c r="K9" s="1691">
        <f t="shared" si="0"/>
        <v>108269</v>
      </c>
      <c r="L9" s="466">
        <v>110200</v>
      </c>
    </row>
    <row r="10" spans="1:14" x14ac:dyDescent="0.2">
      <c r="A10" s="1524" t="s">
        <v>746</v>
      </c>
      <c r="B10" s="613">
        <v>1250</v>
      </c>
      <c r="C10" s="466">
        <v>121695</v>
      </c>
      <c r="D10" s="466">
        <v>38905</v>
      </c>
      <c r="E10" s="466">
        <v>0</v>
      </c>
      <c r="F10" s="466">
        <v>4162</v>
      </c>
      <c r="G10" s="466">
        <v>0</v>
      </c>
      <c r="H10" s="466">
        <v>0</v>
      </c>
      <c r="I10" s="467">
        <v>0</v>
      </c>
      <c r="J10" s="467">
        <v>0</v>
      </c>
      <c r="K10" s="1691">
        <f t="shared" si="0"/>
        <v>164762</v>
      </c>
      <c r="L10" s="466">
        <v>164700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53300</v>
      </c>
      <c r="D14" s="466">
        <v>2886</v>
      </c>
      <c r="E14" s="466">
        <v>14791</v>
      </c>
      <c r="F14" s="466">
        <v>3282</v>
      </c>
      <c r="G14" s="466">
        <v>0</v>
      </c>
      <c r="H14" s="466">
        <v>2026</v>
      </c>
      <c r="I14" s="467">
        <v>0</v>
      </c>
      <c r="J14" s="467">
        <v>0</v>
      </c>
      <c r="K14" s="1691">
        <f t="shared" si="0"/>
        <v>76285</v>
      </c>
      <c r="L14" s="466">
        <v>83375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239092</v>
      </c>
      <c r="I22" s="615"/>
      <c r="J22" s="476"/>
      <c r="K22" s="1691">
        <f t="shared" si="0"/>
        <v>239092</v>
      </c>
      <c r="L22" s="466">
        <v>200000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2521868</v>
      </c>
      <c r="D33" s="1690">
        <f t="shared" ref="D33:L33" si="1">SUM(D5:D32)</f>
        <v>826416</v>
      </c>
      <c r="E33" s="1690">
        <f t="shared" si="1"/>
        <v>26468</v>
      </c>
      <c r="F33" s="1690">
        <f t="shared" si="1"/>
        <v>57591</v>
      </c>
      <c r="G33" s="1690">
        <f t="shared" si="1"/>
        <v>0</v>
      </c>
      <c r="H33" s="1690">
        <f t="shared" si="1"/>
        <v>241118</v>
      </c>
      <c r="I33" s="1690">
        <f t="shared" si="1"/>
        <v>0</v>
      </c>
      <c r="J33" s="1690">
        <f t="shared" si="1"/>
        <v>0</v>
      </c>
      <c r="K33" s="1690">
        <f t="shared" si="1"/>
        <v>3673461</v>
      </c>
      <c r="L33" s="1690">
        <f t="shared" si="1"/>
        <v>3753250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33613</v>
      </c>
      <c r="D36" s="480">
        <v>0</v>
      </c>
      <c r="E36" s="480">
        <v>2449</v>
      </c>
      <c r="F36" s="480">
        <v>1884</v>
      </c>
      <c r="G36" s="480">
        <v>0</v>
      </c>
      <c r="H36" s="480">
        <v>0</v>
      </c>
      <c r="I36" s="467">
        <v>0</v>
      </c>
      <c r="J36" s="467">
        <v>0</v>
      </c>
      <c r="K36" s="1691">
        <f t="shared" ref="K36:K41" si="2">SUM(C36:J36)</f>
        <v>37946</v>
      </c>
      <c r="L36" s="466">
        <v>39250</v>
      </c>
    </row>
    <row r="37" spans="1:14" x14ac:dyDescent="0.2">
      <c r="A37" s="1524" t="s">
        <v>1151</v>
      </c>
      <c r="B37" s="613">
        <v>2120</v>
      </c>
      <c r="C37" s="466">
        <v>37144</v>
      </c>
      <c r="D37" s="466">
        <v>11285</v>
      </c>
      <c r="E37" s="466">
        <v>34521</v>
      </c>
      <c r="F37" s="466">
        <v>1395</v>
      </c>
      <c r="G37" s="466">
        <v>0</v>
      </c>
      <c r="H37" s="466">
        <v>0</v>
      </c>
      <c r="I37" s="467">
        <v>0</v>
      </c>
      <c r="J37" s="467">
        <v>0</v>
      </c>
      <c r="K37" s="1691">
        <f t="shared" si="2"/>
        <v>84345</v>
      </c>
      <c r="L37" s="466">
        <v>80950</v>
      </c>
    </row>
    <row r="38" spans="1:14" x14ac:dyDescent="0.2">
      <c r="A38" s="1524" t="s">
        <v>207</v>
      </c>
      <c r="B38" s="613">
        <v>2130</v>
      </c>
      <c r="C38" s="466">
        <v>47769</v>
      </c>
      <c r="D38" s="466">
        <v>123</v>
      </c>
      <c r="E38" s="466">
        <v>5276</v>
      </c>
      <c r="F38" s="466">
        <v>1962</v>
      </c>
      <c r="G38" s="466">
        <v>0</v>
      </c>
      <c r="H38" s="466">
        <v>0</v>
      </c>
      <c r="I38" s="467">
        <v>0</v>
      </c>
      <c r="J38" s="467">
        <v>0</v>
      </c>
      <c r="K38" s="1691">
        <f t="shared" si="2"/>
        <v>55130</v>
      </c>
      <c r="L38" s="466">
        <v>57025</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135867</v>
      </c>
      <c r="D40" s="466">
        <v>15086</v>
      </c>
      <c r="E40" s="466">
        <v>0</v>
      </c>
      <c r="F40" s="466">
        <v>2421</v>
      </c>
      <c r="G40" s="466">
        <v>0</v>
      </c>
      <c r="H40" s="466">
        <v>0</v>
      </c>
      <c r="I40" s="467">
        <v>0</v>
      </c>
      <c r="J40" s="467">
        <v>0</v>
      </c>
      <c r="K40" s="1691">
        <f t="shared" si="2"/>
        <v>153374</v>
      </c>
      <c r="L40" s="466">
        <v>155600</v>
      </c>
    </row>
    <row r="41" spans="1:14" x14ac:dyDescent="0.2">
      <c r="A41" s="1524" t="s">
        <v>1768</v>
      </c>
      <c r="B41" s="613">
        <v>2190</v>
      </c>
      <c r="C41" s="466">
        <v>17020</v>
      </c>
      <c r="D41" s="466">
        <v>0</v>
      </c>
      <c r="E41" s="466">
        <v>0</v>
      </c>
      <c r="F41" s="466">
        <v>364</v>
      </c>
      <c r="G41" s="466">
        <v>0</v>
      </c>
      <c r="H41" s="466">
        <v>0</v>
      </c>
      <c r="I41" s="467">
        <v>0</v>
      </c>
      <c r="J41" s="467">
        <v>0</v>
      </c>
      <c r="K41" s="1691">
        <f t="shared" si="2"/>
        <v>17384</v>
      </c>
      <c r="L41" s="466">
        <v>20200</v>
      </c>
    </row>
    <row r="42" spans="1:14" ht="12.75" customHeight="1" thickBot="1" x14ac:dyDescent="0.25">
      <c r="A42" s="1688" t="s">
        <v>581</v>
      </c>
      <c r="B42" s="1689" t="s">
        <v>740</v>
      </c>
      <c r="C42" s="1690">
        <f>SUM(C36:C41)</f>
        <v>271413</v>
      </c>
      <c r="D42" s="1690">
        <f t="shared" ref="D42:L42" si="3">SUM(D36:D41)</f>
        <v>26494</v>
      </c>
      <c r="E42" s="1690">
        <f t="shared" si="3"/>
        <v>42246</v>
      </c>
      <c r="F42" s="1690">
        <f t="shared" si="3"/>
        <v>8026</v>
      </c>
      <c r="G42" s="1690">
        <f t="shared" si="3"/>
        <v>0</v>
      </c>
      <c r="H42" s="1690">
        <f t="shared" si="3"/>
        <v>0</v>
      </c>
      <c r="I42" s="1690">
        <f t="shared" si="3"/>
        <v>0</v>
      </c>
      <c r="J42" s="1690">
        <f t="shared" si="3"/>
        <v>0</v>
      </c>
      <c r="K42" s="1690">
        <f t="shared" si="3"/>
        <v>348179</v>
      </c>
      <c r="L42" s="1690">
        <f t="shared" si="3"/>
        <v>353025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53738</v>
      </c>
      <c r="D44" s="480">
        <v>41619</v>
      </c>
      <c r="E44" s="480">
        <v>38563</v>
      </c>
      <c r="F44" s="480">
        <v>5151</v>
      </c>
      <c r="G44" s="480">
        <v>0</v>
      </c>
      <c r="H44" s="480">
        <v>0</v>
      </c>
      <c r="I44" s="467">
        <v>0</v>
      </c>
      <c r="J44" s="467">
        <v>0</v>
      </c>
      <c r="K44" s="1692">
        <f>SUM(C44:J44)</f>
        <v>139071</v>
      </c>
      <c r="L44" s="480">
        <v>104000</v>
      </c>
    </row>
    <row r="45" spans="1:14" x14ac:dyDescent="0.2">
      <c r="A45" s="1524" t="s">
        <v>869</v>
      </c>
      <c r="B45" s="613">
        <v>2220</v>
      </c>
      <c r="C45" s="467">
        <v>137384</v>
      </c>
      <c r="D45" s="466">
        <v>19677</v>
      </c>
      <c r="E45" s="466">
        <v>160183</v>
      </c>
      <c r="F45" s="466">
        <v>14008</v>
      </c>
      <c r="G45" s="466">
        <v>54026</v>
      </c>
      <c r="H45" s="466">
        <v>0</v>
      </c>
      <c r="I45" s="467">
        <v>0</v>
      </c>
      <c r="J45" s="467">
        <v>0</v>
      </c>
      <c r="K45" s="1692">
        <f>SUM(C45:J45)</f>
        <v>385278</v>
      </c>
      <c r="L45" s="466">
        <v>384500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191122</v>
      </c>
      <c r="D47" s="1690">
        <f t="shared" ref="D47:K47" si="4">SUM(D44:D46)</f>
        <v>61296</v>
      </c>
      <c r="E47" s="1690">
        <f t="shared" si="4"/>
        <v>198746</v>
      </c>
      <c r="F47" s="1690">
        <f t="shared" si="4"/>
        <v>19159</v>
      </c>
      <c r="G47" s="1690">
        <f t="shared" si="4"/>
        <v>54026</v>
      </c>
      <c r="H47" s="1690">
        <f t="shared" si="4"/>
        <v>0</v>
      </c>
      <c r="I47" s="1690">
        <f t="shared" si="4"/>
        <v>0</v>
      </c>
      <c r="J47" s="1690">
        <f t="shared" si="4"/>
        <v>0</v>
      </c>
      <c r="K47" s="1690">
        <f t="shared" si="4"/>
        <v>524349</v>
      </c>
      <c r="L47" s="1690">
        <f>SUM(L44:L46)</f>
        <v>488500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102468</v>
      </c>
      <c r="F49" s="480">
        <v>23101</v>
      </c>
      <c r="G49" s="480">
        <v>0</v>
      </c>
      <c r="H49" s="480">
        <v>22255</v>
      </c>
      <c r="I49" s="467">
        <v>0</v>
      </c>
      <c r="J49" s="467">
        <v>0</v>
      </c>
      <c r="K49" s="1692">
        <f>SUM(C49:J49)</f>
        <v>147824</v>
      </c>
      <c r="L49" s="466">
        <v>167000</v>
      </c>
    </row>
    <row r="50" spans="1:14" x14ac:dyDescent="0.2">
      <c r="A50" s="1524" t="s">
        <v>872</v>
      </c>
      <c r="B50" s="613">
        <v>2320</v>
      </c>
      <c r="C50" s="466">
        <v>140080</v>
      </c>
      <c r="D50" s="466">
        <v>37507</v>
      </c>
      <c r="E50" s="466">
        <v>3600</v>
      </c>
      <c r="F50" s="466">
        <v>2979</v>
      </c>
      <c r="G50" s="466">
        <v>0</v>
      </c>
      <c r="H50" s="466">
        <v>2443</v>
      </c>
      <c r="I50" s="467">
        <v>0</v>
      </c>
      <c r="J50" s="467">
        <v>0</v>
      </c>
      <c r="K50" s="1692">
        <f>SUM(C50:J50)</f>
        <v>186609</v>
      </c>
      <c r="L50" s="466">
        <v>188300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140080</v>
      </c>
      <c r="D53" s="1690">
        <f t="shared" ref="D53:L53" si="5">SUM(D49:D52)</f>
        <v>37507</v>
      </c>
      <c r="E53" s="1690">
        <f t="shared" si="5"/>
        <v>106068</v>
      </c>
      <c r="F53" s="1690">
        <f t="shared" si="5"/>
        <v>26080</v>
      </c>
      <c r="G53" s="1690">
        <f t="shared" si="5"/>
        <v>0</v>
      </c>
      <c r="H53" s="1690">
        <f t="shared" si="5"/>
        <v>24698</v>
      </c>
      <c r="I53" s="1690">
        <f t="shared" si="5"/>
        <v>0</v>
      </c>
      <c r="J53" s="1690">
        <f t="shared" si="5"/>
        <v>0</v>
      </c>
      <c r="K53" s="1690">
        <f t="shared" si="5"/>
        <v>334433</v>
      </c>
      <c r="L53" s="1690">
        <f t="shared" si="5"/>
        <v>355300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253350</v>
      </c>
      <c r="D55" s="480">
        <v>66090</v>
      </c>
      <c r="E55" s="480">
        <v>10029</v>
      </c>
      <c r="F55" s="480">
        <v>8205</v>
      </c>
      <c r="G55" s="480">
        <v>0</v>
      </c>
      <c r="H55" s="480">
        <v>1699</v>
      </c>
      <c r="I55" s="467">
        <v>0</v>
      </c>
      <c r="J55" s="467">
        <v>0</v>
      </c>
      <c r="K55" s="1692">
        <f>SUM(C55:J55)</f>
        <v>339373</v>
      </c>
      <c r="L55" s="480">
        <v>351300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253350</v>
      </c>
      <c r="D57" s="1694">
        <f t="shared" ref="D57:K57" si="6">SUM(D55:D56)</f>
        <v>66090</v>
      </c>
      <c r="E57" s="1694">
        <f t="shared" si="6"/>
        <v>10029</v>
      </c>
      <c r="F57" s="1694">
        <f t="shared" si="6"/>
        <v>8205</v>
      </c>
      <c r="G57" s="1694">
        <f t="shared" si="6"/>
        <v>0</v>
      </c>
      <c r="H57" s="1694">
        <f t="shared" si="6"/>
        <v>1699</v>
      </c>
      <c r="I57" s="1694">
        <f t="shared" si="6"/>
        <v>0</v>
      </c>
      <c r="J57" s="1694">
        <f t="shared" si="6"/>
        <v>0</v>
      </c>
      <c r="K57" s="1694">
        <f t="shared" si="6"/>
        <v>339373</v>
      </c>
      <c r="L57" s="1690">
        <f>SUM(L55:L56)</f>
        <v>351300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67746</v>
      </c>
      <c r="D60" s="466">
        <v>13483</v>
      </c>
      <c r="E60" s="466">
        <v>45</v>
      </c>
      <c r="F60" s="466">
        <v>1253</v>
      </c>
      <c r="G60" s="466">
        <v>0</v>
      </c>
      <c r="H60" s="466">
        <v>0</v>
      </c>
      <c r="I60" s="467">
        <v>0</v>
      </c>
      <c r="J60" s="467">
        <v>0</v>
      </c>
      <c r="K60" s="1692">
        <f t="shared" si="7"/>
        <v>82527</v>
      </c>
      <c r="L60" s="466">
        <v>84600</v>
      </c>
      <c r="M60" s="608"/>
      <c r="N60" s="608"/>
    </row>
    <row r="61" spans="1:14" s="343" customFormat="1" x14ac:dyDescent="0.2">
      <c r="A61" s="1524" t="s">
        <v>206</v>
      </c>
      <c r="B61" s="613">
        <v>2540</v>
      </c>
      <c r="C61" s="467">
        <v>140202</v>
      </c>
      <c r="D61" s="466">
        <v>46912</v>
      </c>
      <c r="E61" s="466">
        <v>600</v>
      </c>
      <c r="F61" s="466">
        <v>0</v>
      </c>
      <c r="G61" s="466">
        <v>0</v>
      </c>
      <c r="H61" s="466">
        <v>0</v>
      </c>
      <c r="I61" s="467">
        <v>0</v>
      </c>
      <c r="J61" s="467">
        <v>0</v>
      </c>
      <c r="K61" s="1692">
        <f t="shared" si="7"/>
        <v>187714</v>
      </c>
      <c r="L61" s="466">
        <v>188100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169773</v>
      </c>
      <c r="D63" s="466">
        <v>25046</v>
      </c>
      <c r="E63" s="466">
        <v>12589</v>
      </c>
      <c r="F63" s="466">
        <v>116887</v>
      </c>
      <c r="G63" s="466">
        <v>539</v>
      </c>
      <c r="H63" s="466">
        <v>0</v>
      </c>
      <c r="I63" s="467">
        <v>0</v>
      </c>
      <c r="J63" s="467">
        <v>0</v>
      </c>
      <c r="K63" s="1692">
        <f t="shared" si="7"/>
        <v>324834</v>
      </c>
      <c r="L63" s="466">
        <v>361500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377721</v>
      </c>
      <c r="D65" s="1690">
        <f t="shared" ref="D65:L65" si="8">SUM(D59:D64)</f>
        <v>85441</v>
      </c>
      <c r="E65" s="1690">
        <f t="shared" si="8"/>
        <v>13234</v>
      </c>
      <c r="F65" s="1690">
        <f t="shared" si="8"/>
        <v>118140</v>
      </c>
      <c r="G65" s="1690">
        <f t="shared" si="8"/>
        <v>539</v>
      </c>
      <c r="H65" s="1690">
        <f t="shared" si="8"/>
        <v>0</v>
      </c>
      <c r="I65" s="1690">
        <f t="shared" si="8"/>
        <v>0</v>
      </c>
      <c r="J65" s="1690">
        <f t="shared" si="8"/>
        <v>0</v>
      </c>
      <c r="K65" s="1690">
        <f t="shared" si="8"/>
        <v>595075</v>
      </c>
      <c r="L65" s="1690">
        <f t="shared" si="8"/>
        <v>634200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110</v>
      </c>
      <c r="G73" s="571">
        <v>0</v>
      </c>
      <c r="H73" s="571">
        <v>0</v>
      </c>
      <c r="I73" s="529">
        <v>0</v>
      </c>
      <c r="J73" s="529">
        <v>0</v>
      </c>
      <c r="K73" s="1690">
        <f>SUM(C73:J73)</f>
        <v>110</v>
      </c>
      <c r="L73" s="574">
        <v>100</v>
      </c>
      <c r="M73" s="608"/>
      <c r="N73" s="608"/>
    </row>
    <row r="74" spans="1:14" ht="12.75" customHeight="1" thickTop="1" thickBot="1" x14ac:dyDescent="0.25">
      <c r="A74" s="1688" t="s">
        <v>865</v>
      </c>
      <c r="B74" s="1696">
        <v>2000</v>
      </c>
      <c r="C74" s="1697">
        <f>SUM(C42,C47,C53,C57,C65,C72,C73)</f>
        <v>1233686</v>
      </c>
      <c r="D74" s="1697">
        <f t="shared" ref="D74:K74" si="10">SUM(D42,D47,D53,D57,D65,D72,D73)</f>
        <v>276828</v>
      </c>
      <c r="E74" s="1697">
        <f t="shared" si="10"/>
        <v>370323</v>
      </c>
      <c r="F74" s="1697">
        <f t="shared" si="10"/>
        <v>179720</v>
      </c>
      <c r="G74" s="1697">
        <f t="shared" si="10"/>
        <v>54565</v>
      </c>
      <c r="H74" s="1697">
        <f t="shared" si="10"/>
        <v>26397</v>
      </c>
      <c r="I74" s="1697">
        <f t="shared" si="10"/>
        <v>0</v>
      </c>
      <c r="J74" s="1697">
        <f t="shared" si="10"/>
        <v>0</v>
      </c>
      <c r="K74" s="1697">
        <f t="shared" si="10"/>
        <v>2141519</v>
      </c>
      <c r="L74" s="1697">
        <f>SUM(L42,L47,L53,L57,L65,L72,L73)</f>
        <v>2182425</v>
      </c>
    </row>
    <row r="75" spans="1:14" s="259" customFormat="1" ht="15.75" customHeight="1" thickTop="1" thickBot="1" x14ac:dyDescent="0.25">
      <c r="A75" s="1630" t="s">
        <v>49</v>
      </c>
      <c r="B75" s="1631" t="s">
        <v>596</v>
      </c>
      <c r="C75" s="571">
        <v>51541</v>
      </c>
      <c r="D75" s="571">
        <v>76</v>
      </c>
      <c r="E75" s="571">
        <v>0</v>
      </c>
      <c r="F75" s="571">
        <v>3481</v>
      </c>
      <c r="G75" s="571">
        <v>0</v>
      </c>
      <c r="H75" s="571">
        <v>0</v>
      </c>
      <c r="I75" s="529">
        <v>0</v>
      </c>
      <c r="J75" s="529">
        <v>0</v>
      </c>
      <c r="K75" s="1690">
        <f>SUM(C75:J75)</f>
        <v>55098</v>
      </c>
      <c r="L75" s="574">
        <v>56600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179279</v>
      </c>
      <c r="F79" s="615"/>
      <c r="G79" s="615"/>
      <c r="H79" s="466">
        <v>0</v>
      </c>
      <c r="I79" s="476"/>
      <c r="J79" s="476"/>
      <c r="K79" s="1691">
        <f t="shared" si="11"/>
        <v>179279</v>
      </c>
      <c r="L79" s="466">
        <v>196000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179279</v>
      </c>
      <c r="F84" s="615"/>
      <c r="G84" s="615"/>
      <c r="H84" s="1690">
        <f>SUM(H78:H83)</f>
        <v>0</v>
      </c>
      <c r="I84" s="476"/>
      <c r="J84" s="476"/>
      <c r="K84" s="1690">
        <f>SUM(K78:K83)</f>
        <v>179279</v>
      </c>
      <c r="L84" s="1690">
        <f>SUM(L78:L83)</f>
        <v>196000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92328</v>
      </c>
      <c r="I86" s="476"/>
      <c r="J86" s="476"/>
      <c r="K86" s="1697">
        <f t="shared" ref="K86:K98" si="12">H86</f>
        <v>92328</v>
      </c>
      <c r="L86" s="528">
        <v>50000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92328</v>
      </c>
      <c r="I92" s="476"/>
      <c r="J92" s="476"/>
      <c r="K92" s="1697">
        <f t="shared" si="12"/>
        <v>92328</v>
      </c>
      <c r="L92" s="1690">
        <f>SUM(L85:L91)</f>
        <v>50000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179279</v>
      </c>
      <c r="F102" s="615"/>
      <c r="G102" s="615"/>
      <c r="H102" s="1697">
        <f>SUM(H84,H92,H100,H101)</f>
        <v>92328</v>
      </c>
      <c r="I102" s="476"/>
      <c r="J102" s="476"/>
      <c r="K102" s="1697">
        <f>SUM(K84,K92,K100,K101)</f>
        <v>271607</v>
      </c>
      <c r="L102" s="1697">
        <f>SUM(L84,L92,L100,L101)</f>
        <v>246000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3807095</v>
      </c>
      <c r="D114" s="1690">
        <f t="shared" ref="D114:K114" si="13">SUM(D33,D74,D75,D102,D112,D113)</f>
        <v>1103320</v>
      </c>
      <c r="E114" s="1690">
        <f t="shared" si="13"/>
        <v>576070</v>
      </c>
      <c r="F114" s="1690">
        <f t="shared" si="13"/>
        <v>240792</v>
      </c>
      <c r="G114" s="1690">
        <f t="shared" si="13"/>
        <v>54565</v>
      </c>
      <c r="H114" s="1690">
        <f>SUM(H33,H74,H75,H102,H112,H113)</f>
        <v>359843</v>
      </c>
      <c r="I114" s="1690">
        <f t="shared" si="13"/>
        <v>0</v>
      </c>
      <c r="J114" s="1690">
        <f t="shared" si="13"/>
        <v>0</v>
      </c>
      <c r="K114" s="1690">
        <f t="shared" si="13"/>
        <v>6141685</v>
      </c>
      <c r="L114" s="1690">
        <f>SUM(L33,L74,L75,L102,L112,L113)</f>
        <v>6238275</v>
      </c>
    </row>
    <row r="115" spans="1:14" ht="13.5" thickTop="1" x14ac:dyDescent="0.2">
      <c r="A115" s="2174" t="s">
        <v>1053</v>
      </c>
      <c r="B115" s="2175"/>
      <c r="C115" s="617"/>
      <c r="D115" s="617"/>
      <c r="E115" s="617"/>
      <c r="F115" s="617"/>
      <c r="G115" s="617"/>
      <c r="H115" s="617"/>
      <c r="I115" s="617"/>
      <c r="J115" s="617"/>
      <c r="K115" s="1704">
        <f>'Revenues 9-14'!C275-'Expenditures 15-22'!K114</f>
        <v>550362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9" t="s">
        <v>314</v>
      </c>
      <c r="B117" s="218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38698</v>
      </c>
      <c r="D124" s="466">
        <v>0</v>
      </c>
      <c r="E124" s="466">
        <v>88650</v>
      </c>
      <c r="F124" s="466">
        <v>131474</v>
      </c>
      <c r="G124" s="466">
        <v>12482</v>
      </c>
      <c r="H124" s="466">
        <v>0</v>
      </c>
      <c r="I124" s="467">
        <v>0</v>
      </c>
      <c r="J124" s="467">
        <v>0</v>
      </c>
      <c r="K124" s="1690">
        <f>SUM(C124:J124)</f>
        <v>271304</v>
      </c>
      <c r="L124" s="466">
        <v>381300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38698</v>
      </c>
      <c r="D127" s="1690">
        <f t="shared" ref="D127:L127" si="14">SUM(D122:D126)</f>
        <v>0</v>
      </c>
      <c r="E127" s="1690">
        <f t="shared" si="14"/>
        <v>88650</v>
      </c>
      <c r="F127" s="1690">
        <f t="shared" si="14"/>
        <v>131474</v>
      </c>
      <c r="G127" s="1690">
        <f t="shared" si="14"/>
        <v>12482</v>
      </c>
      <c r="H127" s="1690">
        <f t="shared" si="14"/>
        <v>0</v>
      </c>
      <c r="I127" s="1690">
        <f t="shared" si="14"/>
        <v>0</v>
      </c>
      <c r="J127" s="1690">
        <f t="shared" si="14"/>
        <v>0</v>
      </c>
      <c r="K127" s="1690">
        <f t="shared" si="14"/>
        <v>271304</v>
      </c>
      <c r="L127" s="1690">
        <f t="shared" si="14"/>
        <v>381300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38698</v>
      </c>
      <c r="D129" s="1697">
        <f t="shared" ref="D129:L129" si="15">SUM(D120,D127,D128)</f>
        <v>0</v>
      </c>
      <c r="E129" s="1697">
        <f t="shared" si="15"/>
        <v>88650</v>
      </c>
      <c r="F129" s="1697">
        <f t="shared" si="15"/>
        <v>131474</v>
      </c>
      <c r="G129" s="1697">
        <f t="shared" si="15"/>
        <v>12482</v>
      </c>
      <c r="H129" s="1697">
        <f t="shared" si="15"/>
        <v>0</v>
      </c>
      <c r="I129" s="1697">
        <f t="shared" si="15"/>
        <v>0</v>
      </c>
      <c r="J129" s="1697">
        <f t="shared" si="15"/>
        <v>0</v>
      </c>
      <c r="K129" s="1697">
        <f t="shared" si="15"/>
        <v>271304</v>
      </c>
      <c r="L129" s="1697">
        <f t="shared" si="15"/>
        <v>381300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1" t="s">
        <v>641</v>
      </c>
      <c r="B151" s="2171"/>
      <c r="C151" s="1690">
        <f>SUM(C129,C130,C139,C149,C150)</f>
        <v>38698</v>
      </c>
      <c r="D151" s="1690">
        <f t="shared" ref="D151:K151" si="16">SUM(D129,D130,D139,D149,D150)</f>
        <v>0</v>
      </c>
      <c r="E151" s="1690">
        <f t="shared" si="16"/>
        <v>88650</v>
      </c>
      <c r="F151" s="1690">
        <f t="shared" si="16"/>
        <v>131474</v>
      </c>
      <c r="G151" s="1690">
        <f t="shared" si="16"/>
        <v>12482</v>
      </c>
      <c r="H151" s="1690">
        <f t="shared" si="16"/>
        <v>0</v>
      </c>
      <c r="I151" s="1690">
        <f t="shared" si="16"/>
        <v>0</v>
      </c>
      <c r="J151" s="1690">
        <f t="shared" si="16"/>
        <v>0</v>
      </c>
      <c r="K151" s="1690">
        <f t="shared" si="16"/>
        <v>271304</v>
      </c>
      <c r="L151" s="1690">
        <f>SUM(L129,L130,L139,L149,L150)</f>
        <v>381300</v>
      </c>
    </row>
    <row r="152" spans="1:14" ht="12.75" customHeight="1" thickTop="1" x14ac:dyDescent="0.2">
      <c r="A152" s="2194" t="s">
        <v>1240</v>
      </c>
      <c r="B152" s="2195"/>
      <c r="C152" s="617"/>
      <c r="D152" s="617"/>
      <c r="E152" s="617"/>
      <c r="F152" s="617"/>
      <c r="G152" s="617"/>
      <c r="H152" s="617"/>
      <c r="I152" s="617"/>
      <c r="J152" s="615"/>
      <c r="K152" s="1704">
        <f>'Revenues 9-14'!D275-'Expenditures 15-22'!K151</f>
        <v>-19287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9" t="s">
        <v>642</v>
      </c>
      <c r="B154" s="2181"/>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219429</v>
      </c>
      <c r="I169" s="615"/>
      <c r="J169" s="615"/>
      <c r="K169" s="1691">
        <f>SUM(C169:H169)</f>
        <v>219429</v>
      </c>
      <c r="L169" s="655">
        <v>119075</v>
      </c>
    </row>
    <row r="170" spans="1:14" ht="33.75" customHeight="1" x14ac:dyDescent="0.2">
      <c r="A170" s="668" t="s">
        <v>1769</v>
      </c>
      <c r="B170" s="670" t="s">
        <v>31</v>
      </c>
      <c r="C170" s="615"/>
      <c r="D170" s="615"/>
      <c r="E170" s="615"/>
      <c r="F170" s="615"/>
      <c r="G170" s="615"/>
      <c r="H170" s="567">
        <v>270409</v>
      </c>
      <c r="I170" s="615"/>
      <c r="J170" s="615"/>
      <c r="K170" s="1691">
        <f>SUM(C170:J170)</f>
        <v>270409</v>
      </c>
      <c r="L170" s="567">
        <v>255000</v>
      </c>
    </row>
    <row r="171" spans="1:14" ht="15.75" customHeight="1" x14ac:dyDescent="0.2">
      <c r="A171" s="620" t="s">
        <v>790</v>
      </c>
      <c r="B171" s="671" t="s">
        <v>86</v>
      </c>
      <c r="C171" s="615"/>
      <c r="D171" s="615"/>
      <c r="E171" s="466">
        <v>0</v>
      </c>
      <c r="F171" s="615"/>
      <c r="G171" s="615"/>
      <c r="H171" s="567">
        <v>1400</v>
      </c>
      <c r="I171" s="476"/>
      <c r="J171" s="615"/>
      <c r="K171" s="1691">
        <f>SUM(C171:J171)</f>
        <v>1400</v>
      </c>
      <c r="L171" s="567">
        <v>1500</v>
      </c>
    </row>
    <row r="172" spans="1:14" ht="12.75" customHeight="1" thickBot="1" x14ac:dyDescent="0.25">
      <c r="A172" s="1688" t="s">
        <v>659</v>
      </c>
      <c r="B172" s="1689" t="s">
        <v>513</v>
      </c>
      <c r="C172" s="615"/>
      <c r="D172" s="615"/>
      <c r="E172" s="1697">
        <f>SUM(E168,E169,E170,E171)</f>
        <v>0</v>
      </c>
      <c r="F172" s="615"/>
      <c r="G172" s="615"/>
      <c r="H172" s="1697">
        <f>SUM(H168,H169,H170,H171)</f>
        <v>491238</v>
      </c>
      <c r="I172" s="637"/>
      <c r="J172" s="615"/>
      <c r="K172" s="1697">
        <f>SUM(K168,K169,K170,K171)</f>
        <v>491238</v>
      </c>
      <c r="L172" s="1697">
        <f>SUM(L168,L169,L170,L171)</f>
        <v>375575</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491238</v>
      </c>
      <c r="I174" s="637"/>
      <c r="J174" s="615"/>
      <c r="K174" s="1697">
        <f>SUM(K160,K172,K173)</f>
        <v>491238</v>
      </c>
      <c r="L174" s="1697">
        <f>SUM(L160,L172,L173)</f>
        <v>375575</v>
      </c>
    </row>
    <row r="175" spans="1:14" ht="13.5" thickTop="1" x14ac:dyDescent="0.2">
      <c r="A175" s="2174" t="s">
        <v>1053</v>
      </c>
      <c r="B175" s="2175"/>
      <c r="C175" s="615"/>
      <c r="D175" s="615"/>
      <c r="E175" s="615"/>
      <c r="F175" s="615"/>
      <c r="G175" s="615"/>
      <c r="H175" s="617"/>
      <c r="I175" s="615"/>
      <c r="J175" s="615"/>
      <c r="K175" s="1704">
        <f>'Revenues 9-14'!E275-'Expenditures 15-22'!K174</f>
        <v>-114356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100360</v>
      </c>
      <c r="D182" s="467">
        <v>73</v>
      </c>
      <c r="E182" s="467">
        <v>453655</v>
      </c>
      <c r="F182" s="467">
        <v>36132</v>
      </c>
      <c r="G182" s="467">
        <v>0</v>
      </c>
      <c r="H182" s="466">
        <v>0</v>
      </c>
      <c r="I182" s="467">
        <v>0</v>
      </c>
      <c r="J182" s="467">
        <v>0</v>
      </c>
      <c r="K182" s="1691">
        <f>SUM(C182:J182)</f>
        <v>590220</v>
      </c>
      <c r="L182" s="466">
        <v>577025</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100360</v>
      </c>
      <c r="D184" s="1697">
        <f t="shared" ref="D184:J184" si="17">SUM(D180,D182,D183)</f>
        <v>73</v>
      </c>
      <c r="E184" s="1697">
        <f t="shared" si="17"/>
        <v>453655</v>
      </c>
      <c r="F184" s="1697">
        <f t="shared" si="17"/>
        <v>36132</v>
      </c>
      <c r="G184" s="1697">
        <f t="shared" si="17"/>
        <v>0</v>
      </c>
      <c r="H184" s="1697">
        <f t="shared" si="17"/>
        <v>0</v>
      </c>
      <c r="I184" s="1697">
        <f t="shared" si="17"/>
        <v>0</v>
      </c>
      <c r="J184" s="1697">
        <f t="shared" si="17"/>
        <v>0</v>
      </c>
      <c r="K184" s="1697">
        <f>SUM(K180,K182,K183)</f>
        <v>590220</v>
      </c>
      <c r="L184" s="1697">
        <f>SUM(L180, L182:L183)</f>
        <v>577025</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100360</v>
      </c>
      <c r="D210" s="1690">
        <f>SUM(D184,D185)</f>
        <v>73</v>
      </c>
      <c r="E210" s="1690">
        <f>SUM(E184,E185,E196)</f>
        <v>453655</v>
      </c>
      <c r="F210" s="1690">
        <f>SUM(F184,F185)</f>
        <v>36132</v>
      </c>
      <c r="G210" s="1690">
        <f>SUM(G184,G185)</f>
        <v>0</v>
      </c>
      <c r="H210" s="1690">
        <f>SUM(H184,H185,H196,H208,H209)</f>
        <v>0</v>
      </c>
      <c r="I210" s="1690">
        <f>SUM(I184,I185)</f>
        <v>0</v>
      </c>
      <c r="J210" s="1690">
        <f>SUM(J184,J185)</f>
        <v>0</v>
      </c>
      <c r="K210" s="1691">
        <f>SUM(K184,K185,K196,K208,K209)</f>
        <v>590220</v>
      </c>
      <c r="L210" s="1690">
        <f>SUM(L184,L185,L196,L208,L209)</f>
        <v>577025</v>
      </c>
    </row>
    <row r="211" spans="1:14" ht="13.5" thickTop="1" x14ac:dyDescent="0.2">
      <c r="A211" s="2174" t="s">
        <v>1053</v>
      </c>
      <c r="B211" s="2175"/>
      <c r="C211" s="617"/>
      <c r="D211" s="617"/>
      <c r="E211" s="617"/>
      <c r="F211" s="617"/>
      <c r="G211" s="617"/>
      <c r="H211" s="617"/>
      <c r="I211" s="615"/>
      <c r="J211" s="615"/>
      <c r="K211" s="1704">
        <f>'Revenues 9-14'!F275-'Expenditures 15-22'!K210</f>
        <v>-12248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6" t="s">
        <v>1022</v>
      </c>
      <c r="B213" s="2197"/>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30384</v>
      </c>
      <c r="E215" s="615"/>
      <c r="F215" s="615"/>
      <c r="G215" s="615"/>
      <c r="H215" s="615"/>
      <c r="I215" s="615"/>
      <c r="J215" s="615"/>
      <c r="K215" s="1691">
        <f>D215</f>
        <v>30384</v>
      </c>
      <c r="L215" s="466">
        <v>34050</v>
      </c>
    </row>
    <row r="216" spans="1:14" x14ac:dyDescent="0.2">
      <c r="A216" s="1524" t="s">
        <v>165</v>
      </c>
      <c r="B216" s="613" t="s">
        <v>1024</v>
      </c>
      <c r="C216" s="615"/>
      <c r="D216" s="467">
        <v>3600</v>
      </c>
      <c r="E216" s="615"/>
      <c r="F216" s="615"/>
      <c r="G216" s="615"/>
      <c r="H216" s="615"/>
      <c r="I216" s="615"/>
      <c r="J216" s="615"/>
      <c r="K216" s="1691">
        <f t="shared" ref="K216:K228" si="19">D216</f>
        <v>3600</v>
      </c>
      <c r="L216" s="466">
        <v>3750</v>
      </c>
    </row>
    <row r="217" spans="1:14" x14ac:dyDescent="0.2">
      <c r="A217" s="1524" t="s">
        <v>166</v>
      </c>
      <c r="B217" s="613">
        <v>1200</v>
      </c>
      <c r="C217" s="615"/>
      <c r="D217" s="466">
        <v>44550</v>
      </c>
      <c r="E217" s="615"/>
      <c r="F217" s="615"/>
      <c r="G217" s="615"/>
      <c r="H217" s="615"/>
      <c r="I217" s="615"/>
      <c r="J217" s="615"/>
      <c r="K217" s="1691">
        <f t="shared" si="19"/>
        <v>44550</v>
      </c>
      <c r="L217" s="466">
        <v>42025</v>
      </c>
    </row>
    <row r="218" spans="1:14" x14ac:dyDescent="0.2">
      <c r="A218" s="1524" t="s">
        <v>296</v>
      </c>
      <c r="B218" s="613" t="s">
        <v>1025</v>
      </c>
      <c r="C218" s="615"/>
      <c r="D218" s="467">
        <v>5015</v>
      </c>
      <c r="E218" s="615"/>
      <c r="F218" s="615"/>
      <c r="G218" s="615"/>
      <c r="H218" s="615"/>
      <c r="I218" s="615"/>
      <c r="J218" s="615"/>
      <c r="K218" s="1691">
        <f t="shared" si="19"/>
        <v>5015</v>
      </c>
      <c r="L218" s="466">
        <v>5700</v>
      </c>
    </row>
    <row r="219" spans="1:14" x14ac:dyDescent="0.2">
      <c r="A219" s="1524" t="s">
        <v>297</v>
      </c>
      <c r="B219" s="613">
        <v>1250</v>
      </c>
      <c r="C219" s="615"/>
      <c r="D219" s="466">
        <v>4988</v>
      </c>
      <c r="E219" s="615"/>
      <c r="F219" s="615"/>
      <c r="G219" s="615"/>
      <c r="H219" s="615"/>
      <c r="I219" s="615"/>
      <c r="J219" s="615"/>
      <c r="K219" s="1691">
        <f t="shared" si="19"/>
        <v>4988</v>
      </c>
      <c r="L219" s="466">
        <v>7900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4148</v>
      </c>
      <c r="E223" s="615"/>
      <c r="F223" s="615"/>
      <c r="G223" s="615"/>
      <c r="H223" s="615"/>
      <c r="I223" s="615"/>
      <c r="J223" s="615"/>
      <c r="K223" s="1691">
        <f t="shared" si="19"/>
        <v>4148</v>
      </c>
      <c r="L223" s="466">
        <v>3300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92685</v>
      </c>
      <c r="E229" s="615"/>
      <c r="F229" s="615"/>
      <c r="G229" s="615"/>
      <c r="H229" s="615"/>
      <c r="I229" s="615"/>
      <c r="J229" s="615"/>
      <c r="K229" s="1690">
        <f>SUM(K215:K228)</f>
        <v>92685</v>
      </c>
      <c r="L229" s="1690">
        <f>SUM(L215:L228)</f>
        <v>96725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5570</v>
      </c>
      <c r="E232" s="615"/>
      <c r="F232" s="615"/>
      <c r="G232" s="615"/>
      <c r="H232" s="615"/>
      <c r="I232" s="615"/>
      <c r="J232" s="615"/>
      <c r="K232" s="1691">
        <f t="shared" ref="K232:K237" si="20">D232</f>
        <v>5570</v>
      </c>
      <c r="L232" s="466">
        <v>5800</v>
      </c>
    </row>
    <row r="233" spans="1:12" x14ac:dyDescent="0.2">
      <c r="A233" s="1524" t="s">
        <v>1151</v>
      </c>
      <c r="B233" s="613">
        <v>2120</v>
      </c>
      <c r="C233" s="615"/>
      <c r="D233" s="466">
        <v>485</v>
      </c>
      <c r="E233" s="615"/>
      <c r="F233" s="615"/>
      <c r="G233" s="615"/>
      <c r="H233" s="615"/>
      <c r="I233" s="615"/>
      <c r="J233" s="615"/>
      <c r="K233" s="1691">
        <f t="shared" si="20"/>
        <v>485</v>
      </c>
      <c r="L233" s="466">
        <v>600</v>
      </c>
    </row>
    <row r="234" spans="1:12" x14ac:dyDescent="0.2">
      <c r="A234" s="1524" t="s">
        <v>207</v>
      </c>
      <c r="B234" s="613">
        <v>2130</v>
      </c>
      <c r="C234" s="615"/>
      <c r="D234" s="466">
        <v>9359</v>
      </c>
      <c r="E234" s="615"/>
      <c r="F234" s="615"/>
      <c r="G234" s="615"/>
      <c r="H234" s="615"/>
      <c r="I234" s="615"/>
      <c r="J234" s="615"/>
      <c r="K234" s="1691">
        <f t="shared" si="20"/>
        <v>9359</v>
      </c>
      <c r="L234" s="466">
        <v>10000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1938</v>
      </c>
      <c r="E236" s="615"/>
      <c r="F236" s="615"/>
      <c r="G236" s="615"/>
      <c r="H236" s="615"/>
      <c r="I236" s="615"/>
      <c r="J236" s="615"/>
      <c r="K236" s="1691">
        <f t="shared" si="20"/>
        <v>1938</v>
      </c>
      <c r="L236" s="466">
        <v>2000</v>
      </c>
    </row>
    <row r="237" spans="1:12" x14ac:dyDescent="0.2">
      <c r="A237" s="1524" t="s">
        <v>167</v>
      </c>
      <c r="B237" s="613">
        <v>2190</v>
      </c>
      <c r="C237" s="615"/>
      <c r="D237" s="466">
        <v>1448</v>
      </c>
      <c r="E237" s="615"/>
      <c r="F237" s="615"/>
      <c r="G237" s="615"/>
      <c r="H237" s="615"/>
      <c r="I237" s="615"/>
      <c r="J237" s="615"/>
      <c r="K237" s="1691">
        <f t="shared" si="20"/>
        <v>1448</v>
      </c>
      <c r="L237" s="466">
        <v>1900</v>
      </c>
    </row>
    <row r="238" spans="1:12" ht="12.75" customHeight="1" thickBot="1" x14ac:dyDescent="0.25">
      <c r="A238" s="1688" t="s">
        <v>581</v>
      </c>
      <c r="B238" s="1695" t="s">
        <v>740</v>
      </c>
      <c r="C238" s="615"/>
      <c r="D238" s="1690">
        <f>SUM(D232:D237)</f>
        <v>18800</v>
      </c>
      <c r="E238" s="615"/>
      <c r="F238" s="615"/>
      <c r="G238" s="615"/>
      <c r="H238" s="615"/>
      <c r="I238" s="615"/>
      <c r="J238" s="615"/>
      <c r="K238" s="1690">
        <f>SUM(K232:K237)</f>
        <v>18800</v>
      </c>
      <c r="L238" s="1690">
        <f>SUM(L232:L237)</f>
        <v>20300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721</v>
      </c>
      <c r="E240" s="615"/>
      <c r="F240" s="615"/>
      <c r="G240" s="615"/>
      <c r="H240" s="615"/>
      <c r="I240" s="615"/>
      <c r="J240" s="615"/>
      <c r="K240" s="1692">
        <f>D240</f>
        <v>721</v>
      </c>
      <c r="L240" s="480">
        <v>700</v>
      </c>
    </row>
    <row r="241" spans="1:12" x14ac:dyDescent="0.2">
      <c r="A241" s="1524" t="s">
        <v>869</v>
      </c>
      <c r="B241" s="613">
        <v>2220</v>
      </c>
      <c r="C241" s="615"/>
      <c r="D241" s="466">
        <v>25992</v>
      </c>
      <c r="E241" s="615"/>
      <c r="F241" s="615"/>
      <c r="G241" s="615"/>
      <c r="H241" s="615"/>
      <c r="I241" s="615"/>
      <c r="J241" s="615"/>
      <c r="K241" s="1692">
        <f>D241</f>
        <v>25992</v>
      </c>
      <c r="L241" s="466">
        <v>27100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26713</v>
      </c>
      <c r="E243" s="615"/>
      <c r="F243" s="615"/>
      <c r="G243" s="615"/>
      <c r="H243" s="615"/>
      <c r="I243" s="615"/>
      <c r="J243" s="615"/>
      <c r="K243" s="1690">
        <f>SUM(K240:K242)</f>
        <v>26713</v>
      </c>
      <c r="L243" s="1690">
        <f>SUM(L240:L242)</f>
        <v>27800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1918</v>
      </c>
      <c r="E246" s="615"/>
      <c r="F246" s="615"/>
      <c r="G246" s="615"/>
      <c r="H246" s="615"/>
      <c r="I246" s="615"/>
      <c r="J246" s="615"/>
      <c r="K246" s="1692">
        <f t="shared" ref="K246:K256" si="21">D246</f>
        <v>1918</v>
      </c>
      <c r="L246" s="466">
        <v>2100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1918</v>
      </c>
      <c r="E257" s="615"/>
      <c r="F257" s="615"/>
      <c r="G257" s="615"/>
      <c r="H257" s="615"/>
      <c r="I257" s="615"/>
      <c r="J257" s="615"/>
      <c r="K257" s="1690">
        <f>SUM(K245:K256)</f>
        <v>1918</v>
      </c>
      <c r="L257" s="1690">
        <f>SUM(L245:L256)</f>
        <v>2100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8906</v>
      </c>
      <c r="E259" s="615"/>
      <c r="F259" s="615"/>
      <c r="G259" s="615"/>
      <c r="H259" s="615"/>
      <c r="I259" s="615"/>
      <c r="J259" s="615"/>
      <c r="K259" s="1692">
        <f>D259</f>
        <v>8906</v>
      </c>
      <c r="L259" s="480">
        <v>10000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8906</v>
      </c>
      <c r="E261" s="615"/>
      <c r="F261" s="615"/>
      <c r="G261" s="615"/>
      <c r="H261" s="615"/>
      <c r="I261" s="615"/>
      <c r="J261" s="615"/>
      <c r="K261" s="1690">
        <f>SUM(K259:K260)</f>
        <v>8906</v>
      </c>
      <c r="L261" s="1690">
        <f>SUM(L259:L260)</f>
        <v>10000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12078</v>
      </c>
      <c r="E264" s="615"/>
      <c r="F264" s="615"/>
      <c r="G264" s="615"/>
      <c r="H264" s="615"/>
      <c r="I264" s="615"/>
      <c r="J264" s="615"/>
      <c r="K264" s="1692">
        <f t="shared" ref="K264:K269" si="22">D264</f>
        <v>12078</v>
      </c>
      <c r="L264" s="466">
        <v>13000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29707</v>
      </c>
      <c r="E266" s="615"/>
      <c r="F266" s="615"/>
      <c r="G266" s="615"/>
      <c r="H266" s="615"/>
      <c r="I266" s="615"/>
      <c r="J266" s="615"/>
      <c r="K266" s="1692">
        <f t="shared" si="22"/>
        <v>29707</v>
      </c>
      <c r="L266" s="466">
        <v>30800</v>
      </c>
    </row>
    <row r="267" spans="1:14" x14ac:dyDescent="0.2">
      <c r="A267" s="1524" t="s">
        <v>1010</v>
      </c>
      <c r="B267" s="613">
        <v>2550</v>
      </c>
      <c r="C267" s="615"/>
      <c r="D267" s="466">
        <v>8922</v>
      </c>
      <c r="E267" s="615"/>
      <c r="F267" s="615"/>
      <c r="G267" s="615"/>
      <c r="H267" s="615"/>
      <c r="I267" s="615"/>
      <c r="J267" s="615"/>
      <c r="K267" s="1692">
        <f t="shared" si="22"/>
        <v>8922</v>
      </c>
      <c r="L267" s="466">
        <v>8800</v>
      </c>
    </row>
    <row r="268" spans="1:14" x14ac:dyDescent="0.2">
      <c r="A268" s="1524" t="s">
        <v>102</v>
      </c>
      <c r="B268" s="613">
        <v>2560</v>
      </c>
      <c r="C268" s="615"/>
      <c r="D268" s="466">
        <v>32318</v>
      </c>
      <c r="E268" s="615"/>
      <c r="F268" s="615"/>
      <c r="G268" s="615"/>
      <c r="H268" s="615"/>
      <c r="I268" s="615"/>
      <c r="J268" s="615"/>
      <c r="K268" s="1692">
        <f t="shared" si="22"/>
        <v>32318</v>
      </c>
      <c r="L268" s="466">
        <v>35700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83025</v>
      </c>
      <c r="E270" s="615"/>
      <c r="F270" s="615"/>
      <c r="G270" s="615"/>
      <c r="H270" s="615"/>
      <c r="I270" s="615"/>
      <c r="J270" s="615"/>
      <c r="K270" s="1690">
        <f>SUM(K263:K269)</f>
        <v>83025</v>
      </c>
      <c r="L270" s="1690">
        <f>SUM(L263:L269)</f>
        <v>88300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139362</v>
      </c>
      <c r="E279" s="615"/>
      <c r="F279" s="615"/>
      <c r="G279" s="615"/>
      <c r="H279" s="615"/>
      <c r="I279" s="615"/>
      <c r="J279" s="615"/>
      <c r="K279" s="1697">
        <f>SUM(K238,K243,K257,K261,K270,K277,K278)</f>
        <v>139362</v>
      </c>
      <c r="L279" s="1697">
        <f>SUM(L238,L243,L257,L261,L270,L277,L278)</f>
        <v>148500</v>
      </c>
    </row>
    <row r="280" spans="1:12" ht="15.75" customHeight="1" thickTop="1" thickBot="1" x14ac:dyDescent="0.25">
      <c r="A280" s="1644" t="s">
        <v>930</v>
      </c>
      <c r="B280" s="1633">
        <v>3000</v>
      </c>
      <c r="C280" s="615"/>
      <c r="D280" s="574">
        <v>8737</v>
      </c>
      <c r="E280" s="615"/>
      <c r="F280" s="615"/>
      <c r="G280" s="615"/>
      <c r="H280" s="615"/>
      <c r="I280" s="615"/>
      <c r="J280" s="615"/>
      <c r="K280" s="1699">
        <f>D280</f>
        <v>8737</v>
      </c>
      <c r="L280" s="574">
        <v>9300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2" t="s">
        <v>526</v>
      </c>
      <c r="B295" s="2193"/>
      <c r="C295" s="615"/>
      <c r="D295" s="1690">
        <f>SUM(D229,D279,D280,D285)</f>
        <v>240784</v>
      </c>
      <c r="E295" s="615"/>
      <c r="F295" s="615"/>
      <c r="G295" s="615"/>
      <c r="H295" s="1690">
        <f>H293</f>
        <v>0</v>
      </c>
      <c r="I295" s="615"/>
      <c r="J295" s="615"/>
      <c r="K295" s="1690">
        <f>SUM(K229,K279,K280,K285,K293,K294)</f>
        <v>240784</v>
      </c>
      <c r="L295" s="1690">
        <f>SUM(L229,L279,L280,L285,L293,L294)</f>
        <v>254525</v>
      </c>
    </row>
    <row r="296" spans="1:14" ht="13.5" thickTop="1" x14ac:dyDescent="0.2">
      <c r="A296" s="2174" t="s">
        <v>1053</v>
      </c>
      <c r="B296" s="2175"/>
      <c r="C296" s="615"/>
      <c r="D296" s="617"/>
      <c r="E296" s="615"/>
      <c r="F296" s="615"/>
      <c r="G296" s="615"/>
      <c r="H296" s="686"/>
      <c r="I296" s="615"/>
      <c r="J296" s="615"/>
      <c r="K296" s="1704">
        <f>'Revenues 9-14'!G275-'Expenditures 15-22'!K295</f>
        <v>-3744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4" t="s">
        <v>145</v>
      </c>
      <c r="B298" s="2178"/>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50536</v>
      </c>
      <c r="F301" s="466">
        <v>0</v>
      </c>
      <c r="G301" s="466">
        <v>1590331</v>
      </c>
      <c r="H301" s="466">
        <v>0</v>
      </c>
      <c r="I301" s="467">
        <v>0</v>
      </c>
      <c r="J301" s="467">
        <v>0</v>
      </c>
      <c r="K301" s="1691">
        <f>SUM(C301:J301)</f>
        <v>1640867</v>
      </c>
      <c r="L301" s="467">
        <v>2858000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50536</v>
      </c>
      <c r="F303" s="1697">
        <f t="shared" si="23"/>
        <v>0</v>
      </c>
      <c r="G303" s="1697">
        <f t="shared" si="23"/>
        <v>1590331</v>
      </c>
      <c r="H303" s="1697">
        <f t="shared" si="23"/>
        <v>0</v>
      </c>
      <c r="I303" s="1697">
        <f t="shared" si="23"/>
        <v>0</v>
      </c>
      <c r="J303" s="1697">
        <f t="shared" si="23"/>
        <v>0</v>
      </c>
      <c r="K303" s="1697">
        <f t="shared" si="23"/>
        <v>1640867</v>
      </c>
      <c r="L303" s="1697">
        <f t="shared" si="23"/>
        <v>2858000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9" t="s">
        <v>295</v>
      </c>
      <c r="B312" s="2190"/>
      <c r="C312" s="1690">
        <f>SUM(C303)</f>
        <v>0</v>
      </c>
      <c r="D312" s="1690">
        <f>SUM(D303)</f>
        <v>0</v>
      </c>
      <c r="E312" s="1690">
        <f>SUM(E303,E310)</f>
        <v>50536</v>
      </c>
      <c r="F312" s="1690">
        <f>SUM(F303)</f>
        <v>0</v>
      </c>
      <c r="G312" s="1690">
        <f>SUM(G303)</f>
        <v>1590331</v>
      </c>
      <c r="H312" s="1690">
        <f>SUM(H303,H310)</f>
        <v>0</v>
      </c>
      <c r="I312" s="1690">
        <f>SUM(I303)</f>
        <v>0</v>
      </c>
      <c r="J312" s="1690">
        <f>SUM(J303)</f>
        <v>0</v>
      </c>
      <c r="K312" s="1690">
        <f>SUM(K303,K310,K311)</f>
        <v>1640867</v>
      </c>
      <c r="L312" s="1690">
        <f>SUM(L303,L310,L311)</f>
        <v>2858000</v>
      </c>
      <c r="M312" s="664"/>
      <c r="N312" s="664"/>
    </row>
    <row r="313" spans="1:14" ht="13.5" thickTop="1" x14ac:dyDescent="0.2">
      <c r="A313" s="2185" t="s">
        <v>1053</v>
      </c>
      <c r="B313" s="2186"/>
      <c r="C313" s="625"/>
      <c r="D313" s="625"/>
      <c r="E313" s="625"/>
      <c r="F313" s="625"/>
      <c r="G313" s="625"/>
      <c r="H313" s="625"/>
      <c r="I313" s="625"/>
      <c r="J313" s="625"/>
      <c r="K313" s="1705">
        <f>'Revenues 9-14'!H275-'Expenditures 15-22'!K312</f>
        <v>-1616607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8" t="s">
        <v>151</v>
      </c>
      <c r="B315" s="2199"/>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0" t="s">
        <v>954</v>
      </c>
      <c r="B317" s="2199"/>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29580</v>
      </c>
      <c r="F320" s="467">
        <v>0</v>
      </c>
      <c r="G320" s="467">
        <v>0</v>
      </c>
      <c r="H320" s="467">
        <v>0</v>
      </c>
      <c r="I320" s="467">
        <v>0</v>
      </c>
      <c r="J320" s="467">
        <v>0</v>
      </c>
      <c r="K320" s="1691">
        <f t="shared" ref="K320:K327" si="24">SUM(C320:J320)</f>
        <v>29580</v>
      </c>
      <c r="L320" s="467">
        <v>29653</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29580</v>
      </c>
      <c r="F330" s="1690">
        <f t="shared" si="25"/>
        <v>0</v>
      </c>
      <c r="G330" s="1690">
        <f t="shared" si="25"/>
        <v>0</v>
      </c>
      <c r="H330" s="1690">
        <f t="shared" si="25"/>
        <v>0</v>
      </c>
      <c r="I330" s="1690">
        <f t="shared" si="25"/>
        <v>0</v>
      </c>
      <c r="J330" s="1690">
        <f t="shared" si="25"/>
        <v>0</v>
      </c>
      <c r="K330" s="1690">
        <f>SUM(K319:K329)</f>
        <v>29580</v>
      </c>
      <c r="L330" s="1690">
        <f>SUM(L319:L329)</f>
        <v>29653</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29580</v>
      </c>
      <c r="F342" s="1690">
        <f>SUM(F330)</f>
        <v>0</v>
      </c>
      <c r="G342" s="1690">
        <f>SUM(G330)</f>
        <v>0</v>
      </c>
      <c r="H342" s="1690">
        <f>SUM(H330,H334,H340)</f>
        <v>0</v>
      </c>
      <c r="I342" s="1690">
        <f>SUM(I330)</f>
        <v>0</v>
      </c>
      <c r="J342" s="1690">
        <f>SUM(J330)</f>
        <v>0</v>
      </c>
      <c r="K342" s="1690">
        <f>SUM(K330,K334,K340)</f>
        <v>29580</v>
      </c>
      <c r="L342" s="1697">
        <f>SUM(L330,L340,L341)</f>
        <v>29653</v>
      </c>
    </row>
    <row r="343" spans="1:14" ht="12.75" customHeight="1" thickTop="1" x14ac:dyDescent="0.2">
      <c r="A343" s="2187" t="s">
        <v>1053</v>
      </c>
      <c r="B343" s="2188"/>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7" t="s">
        <v>1023</v>
      </c>
      <c r="B345" s="2178"/>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4" t="s">
        <v>1053</v>
      </c>
      <c r="B368" s="2175"/>
      <c r="C368" s="653"/>
      <c r="D368" s="653"/>
      <c r="E368" s="625"/>
      <c r="F368" s="625"/>
      <c r="G368" s="625"/>
      <c r="H368" s="625"/>
      <c r="I368" s="625"/>
      <c r="J368" s="622"/>
      <c r="K368" s="1691">
        <f>'Revenues 9-14'!K275-'Expenditures 15-22'!K367</f>
        <v>1946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d21dc803-237d-4c68-8692-8d731fd29118"/>
    <ds:schemaRef ds:uri="http://purl.org/dc/dcmitype/"/>
    <ds:schemaRef ds:uri="6ce3111e-7420-4802-b50a-75d4e9a0b980"/>
    <ds:schemaRef ds:uri="http://purl.org/dc/elements/1.1/"/>
    <ds:schemaRef ds:uri="http://www.w3.org/XML/1998/namespace"/>
    <ds:schemaRef ds:uri="4d435f69-8686-490b-bd6d-b153bf22ab50"/>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2018-10-05T15:33:40Z</cp:lastPrinted>
  <dcterms:created xsi:type="dcterms:W3CDTF">2003-10-29T19:06:34Z</dcterms:created>
  <dcterms:modified xsi:type="dcterms:W3CDTF">2018-10-26T16:29:20Z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