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EFA18" sheetId="183" r:id="rId30"/>
    <sheet name="SF&amp;QC Sec-1" sheetId="174" r:id="rId31"/>
    <sheet name="Finding 2018-001" sheetId="184" r:id="rId32"/>
    <sheet name="SF&amp;QC Sec-2" sheetId="175" r:id="rId33"/>
    <sheet name="SF&amp;QC Sec-3" sheetId="176" r:id="rId34"/>
    <sheet name="SSPAF" sheetId="177" r:id="rId35"/>
  </sheets>
  <definedNames>
    <definedName name="goof" localSheetId="31">#REF!</definedName>
    <definedName name="goof">#REF!</definedName>
    <definedName name="oops" localSheetId="31">#REF!</definedName>
    <definedName name="oops">#REF!</definedName>
    <definedName name="_xlnm.Print_Area" localSheetId="28">' SEFA'!$B$1:$M$46</definedName>
    <definedName name="_xlnm.Print_Area" localSheetId="27">'SEFA NOTES'!$A$1:$F$55</definedName>
    <definedName name="_xlnm.Print_Area" localSheetId="26">'SEFA Reconcile'!$A$1:$E$49</definedName>
    <definedName name="_xlnm.Print_Area" localSheetId="29">SEFA18!$A$1:$O$124</definedName>
    <definedName name="_xlnm.Print_Area" localSheetId="30">'SF&amp;QC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Print_Area_MI" localSheetId="29">SEFA18!$B$14:$O$114</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SEFA18!$A:$B,SEFA18!$1:$11</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1">#REF!</definedName>
    <definedName name="SCHADDRS" localSheetId="27">#REF!</definedName>
    <definedName name="SCHADDRS" localSheetId="26">#REF!</definedName>
    <definedName name="SCHADDRS" localSheetId="29">#REF!</definedName>
    <definedName name="SCHADDRS" localSheetId="30">#REF!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1">#REF!</definedName>
    <definedName name="SCHCTY" localSheetId="27">#REF!</definedName>
    <definedName name="SCHCTY" localSheetId="26">#REF!</definedName>
    <definedName name="SCHCTY" localSheetId="29">#REF!</definedName>
    <definedName name="SCHCTY" localSheetId="30">#REF!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1">#REF!</definedName>
    <definedName name="SCHNMBR" localSheetId="27">#REF!</definedName>
    <definedName name="SCHNMBR" localSheetId="26">#REF!</definedName>
    <definedName name="SCHNMBR" localSheetId="29">#REF!</definedName>
    <definedName name="SCHNMBR" localSheetId="30">#REF!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1">#REF!</definedName>
    <definedName name="SCHNME" localSheetId="27">#REF!</definedName>
    <definedName name="SCHNME" localSheetId="26">#REF!</definedName>
    <definedName name="SCHNME" localSheetId="29">#REF!</definedName>
    <definedName name="SCHNME" localSheetId="30">#REF!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1">#REF!</definedName>
    <definedName name="SUPT" localSheetId="27">#REF!</definedName>
    <definedName name="SUPT" localSheetId="26">#REF!</definedName>
    <definedName name="SUPT" localSheetId="29">#REF!</definedName>
    <definedName name="SUPT" localSheetId="30">#REF!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J32" i="8"/>
  <c r="J8" i="12" l="1"/>
  <c r="J31" i="8"/>
  <c r="L112" i="183" l="1"/>
  <c r="J112" i="183"/>
  <c r="I112" i="183"/>
  <c r="G112" i="183"/>
  <c r="F112" i="183"/>
  <c r="N110" i="183"/>
  <c r="N109" i="183"/>
  <c r="N108" i="183"/>
  <c r="N105" i="183"/>
  <c r="N104" i="183"/>
  <c r="L99" i="183"/>
  <c r="J99" i="183"/>
  <c r="I99" i="183"/>
  <c r="G99" i="183"/>
  <c r="F99" i="183"/>
  <c r="N97" i="183"/>
  <c r="N96" i="183"/>
  <c r="N99" i="183" s="1"/>
  <c r="K91" i="183"/>
  <c r="I91" i="183"/>
  <c r="F91" i="183"/>
  <c r="N90" i="183"/>
  <c r="N89" i="183"/>
  <c r="L87" i="183"/>
  <c r="J87" i="183"/>
  <c r="G87" i="183"/>
  <c r="G91" i="183" s="1"/>
  <c r="N86" i="183"/>
  <c r="L84" i="183"/>
  <c r="J84" i="183"/>
  <c r="J91" i="183" s="1"/>
  <c r="J117" i="183" s="1"/>
  <c r="N83" i="183"/>
  <c r="N82" i="183"/>
  <c r="N76" i="183"/>
  <c r="L70" i="183"/>
  <c r="J70" i="183"/>
  <c r="I70" i="183"/>
  <c r="G70" i="183"/>
  <c r="F70" i="183"/>
  <c r="N69" i="183"/>
  <c r="N68" i="183"/>
  <c r="L63" i="183"/>
  <c r="I63" i="183"/>
  <c r="F63" i="183"/>
  <c r="N62" i="183"/>
  <c r="N61" i="183"/>
  <c r="N60" i="183"/>
  <c r="N58" i="183"/>
  <c r="J57" i="183"/>
  <c r="N57" i="183" s="1"/>
  <c r="G57" i="183"/>
  <c r="N55" i="183"/>
  <c r="N54" i="183"/>
  <c r="N51" i="183"/>
  <c r="N49" i="183"/>
  <c r="N47" i="183"/>
  <c r="N46" i="183"/>
  <c r="N44" i="183"/>
  <c r="J43" i="183"/>
  <c r="G43" i="183"/>
  <c r="L37" i="183"/>
  <c r="J37" i="183"/>
  <c r="I37" i="183"/>
  <c r="F37" i="183"/>
  <c r="N36" i="183"/>
  <c r="N35" i="183"/>
  <c r="N33" i="183"/>
  <c r="N32" i="183"/>
  <c r="N31" i="183"/>
  <c r="N29" i="183"/>
  <c r="N28" i="183"/>
  <c r="N26" i="183"/>
  <c r="N25" i="183"/>
  <c r="N22" i="183"/>
  <c r="N20" i="183"/>
  <c r="N19" i="183"/>
  <c r="G19" i="183"/>
  <c r="N17" i="183"/>
  <c r="N16" i="183"/>
  <c r="G16" i="183"/>
  <c r="J9" i="183"/>
  <c r="I9" i="183"/>
  <c r="J8" i="183"/>
  <c r="N112" i="183" l="1"/>
  <c r="L115" i="183"/>
  <c r="I117" i="183"/>
  <c r="G63" i="183"/>
  <c r="N70" i="183"/>
  <c r="N84" i="183"/>
  <c r="I113" i="183"/>
  <c r="F117" i="183"/>
  <c r="N37" i="183"/>
  <c r="F113" i="183"/>
  <c r="G37" i="183"/>
  <c r="G115" i="183" s="1"/>
  <c r="G117" i="183"/>
  <c r="L91" i="183"/>
  <c r="L117" i="183" s="1"/>
  <c r="L119" i="183" s="1"/>
  <c r="J63" i="183"/>
  <c r="J113" i="183" s="1"/>
  <c r="N43" i="183"/>
  <c r="N63" i="183" s="1"/>
  <c r="N115" i="183" s="1"/>
  <c r="I115" i="183"/>
  <c r="N87" i="183"/>
  <c r="F115" i="183"/>
  <c r="L113" i="183" l="1"/>
  <c r="F119" i="183"/>
  <c r="I119" i="183"/>
  <c r="G113" i="183"/>
  <c r="J115" i="183"/>
  <c r="J119" i="183" s="1"/>
  <c r="G119" i="183"/>
  <c r="N91" i="183"/>
  <c r="N117" i="183" s="1"/>
  <c r="N119" i="183" s="1"/>
  <c r="N113"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4" i="169"/>
  <c r="K18" i="169"/>
  <c r="G18" i="169"/>
  <c r="G15" i="169"/>
  <c r="I13" i="169"/>
  <c r="G11" i="169"/>
  <c r="G10" i="169"/>
  <c r="G9" i="169"/>
  <c r="G7" i="169"/>
  <c r="E7" i="169"/>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K24" i="12" s="1"/>
  <c r="B7733" i="106" s="1"/>
  <c r="J12" i="12"/>
  <c r="J21" i="12"/>
  <c r="B7727" i="106" s="1"/>
  <c r="D7727" i="106"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B1245" i="106"/>
  <c r="D1245" i="106" s="1"/>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B5519" i="106"/>
  <c r="D5519" i="106" s="1"/>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s="1"/>
  <c r="B6377" i="106"/>
  <c r="D637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c r="B6621" i="106"/>
  <c r="D6621" i="106" s="1"/>
  <c r="B6628" i="106"/>
  <c r="D6628" i="106" s="1"/>
  <c r="B6632" i="106"/>
  <c r="D6632" i="106" s="1"/>
  <c r="B6633" i="106"/>
  <c r="D6633" i="106"/>
  <c r="B6636" i="106"/>
  <c r="D6636" i="106" s="1"/>
  <c r="B6640" i="106"/>
  <c r="D6640" i="106" s="1"/>
  <c r="B6641" i="106"/>
  <c r="D6641" i="106" s="1"/>
  <c r="B6644" i="106"/>
  <c r="D6644" i="106"/>
  <c r="B6648" i="106"/>
  <c r="D6648" i="106" s="1"/>
  <c r="B6649" i="106"/>
  <c r="D6649" i="106" s="1"/>
  <c r="B6652" i="106"/>
  <c r="D6652" i="106" s="1"/>
  <c r="B6656" i="106"/>
  <c r="D6656" i="106"/>
  <c r="B6657" i="106"/>
  <c r="D6657" i="106" s="1"/>
  <c r="B6660" i="106"/>
  <c r="D6660" i="106" s="1"/>
  <c r="B6664" i="106"/>
  <c r="D6664" i="106" s="1"/>
  <c r="B6665" i="106"/>
  <c r="D6665" i="106"/>
  <c r="B6668" i="106"/>
  <c r="D6668" i="106" s="1"/>
  <c r="B6672" i="106"/>
  <c r="D6672" i="106" s="1"/>
  <c r="B6673" i="106"/>
  <c r="D6673" i="106" s="1"/>
  <c r="B6676" i="106"/>
  <c r="D6676" i="106"/>
  <c r="B6680" i="106"/>
  <c r="D6680" i="106" s="1"/>
  <c r="B6681" i="106"/>
  <c r="D6681" i="106" s="1"/>
  <c r="B6684" i="106"/>
  <c r="D6684" i="106" s="1"/>
  <c r="B6688" i="106"/>
  <c r="D6688" i="106"/>
  <c r="B6689" i="106"/>
  <c r="D6689" i="106" s="1"/>
  <c r="B6698" i="106"/>
  <c r="D6698" i="106" s="1"/>
  <c r="B6702" i="106"/>
  <c r="D6702" i="106" s="1"/>
  <c r="B6703" i="106"/>
  <c r="D6703" i="106"/>
  <c r="B6706" i="106"/>
  <c r="D6706" i="106" s="1"/>
  <c r="B6710" i="106"/>
  <c r="D6710" i="106" s="1"/>
  <c r="B6711" i="106"/>
  <c r="D6711" i="106" s="1"/>
  <c r="B6718" i="106"/>
  <c r="D6718" i="106"/>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3" i="106"/>
  <c r="B7735" i="106"/>
  <c r="D7735" i="106" s="1"/>
  <c r="B7736" i="106"/>
  <c r="D7736" i="106" s="1"/>
  <c r="B7737" i="106"/>
  <c r="D7737" i="106" s="1"/>
  <c r="B7738" i="106"/>
  <c r="D7738" i="106" s="1"/>
  <c r="K26" i="12"/>
  <c r="B7743" i="106" s="1"/>
  <c r="D7743"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D7" i="118"/>
  <c r="D8" i="118"/>
  <c r="D9" i="118"/>
  <c r="D11" i="37"/>
  <c r="D22" i="37"/>
  <c r="J22" i="37"/>
  <c r="D24" i="37"/>
  <c r="B4270" i="106" s="1"/>
  <c r="D4270" i="106" s="1"/>
  <c r="F21" i="8" l="1"/>
  <c r="B1879" i="106" s="1"/>
  <c r="D1879" i="106" s="1"/>
  <c r="L5" i="11"/>
  <c r="B2056" i="106" s="1"/>
  <c r="D2056" i="106" s="1"/>
  <c r="I24" i="12"/>
  <c r="I26" i="12" s="1"/>
  <c r="B7741" i="106" s="1"/>
  <c r="D7741" i="106" s="1"/>
  <c r="H28" i="118"/>
  <c r="N22" i="3"/>
  <c r="B283" i="106" s="1"/>
  <c r="D283" i="106" s="1"/>
  <c r="L15" i="11"/>
  <c r="B3459" i="106" s="1"/>
  <c r="D3459" i="106" s="1"/>
  <c r="H33" i="118"/>
  <c r="D31" i="36"/>
  <c r="H29" i="118"/>
  <c r="D54" i="36"/>
  <c r="H22" i="37"/>
  <c r="I274" i="5"/>
  <c r="I7" i="4" s="1"/>
  <c r="B4444" i="106" s="1"/>
  <c r="D4444" i="106" s="1"/>
  <c r="B2734" i="106"/>
  <c r="D2734" i="106" s="1"/>
  <c r="L13" i="11"/>
  <c r="B2060" i="106" s="1"/>
  <c r="D2060" i="106" s="1"/>
  <c r="B1996" i="106"/>
  <c r="D1996" i="106" s="1"/>
  <c r="B1868" i="106"/>
  <c r="D1868" i="106" s="1"/>
  <c r="J23" i="12"/>
  <c r="B7730" i="106" s="1"/>
  <c r="D7730" i="106" s="1"/>
  <c r="F19" i="7"/>
  <c r="B1807" i="106" s="1"/>
  <c r="D1807" i="106" s="1"/>
  <c r="B3689" i="106"/>
  <c r="D3689"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B7270" i="106"/>
  <c r="K28" i="118" l="1"/>
  <c r="O27" i="118" s="1"/>
  <c r="O29" i="118" s="1"/>
  <c r="J24" i="12"/>
  <c r="B7732" i="106" s="1"/>
  <c r="D7732" i="106" s="1"/>
  <c r="B4435" i="106"/>
  <c r="D4435" i="106" s="1"/>
  <c r="L16" i="11"/>
  <c r="B2061" i="106" s="1"/>
  <c r="D2061" i="106" s="1"/>
  <c r="B7760" i="106"/>
  <c r="D7760" i="106" s="1"/>
  <c r="D24" i="36"/>
  <c r="B2917" i="106"/>
  <c r="D2917" i="106" s="1"/>
  <c r="D53" i="36"/>
  <c r="B1875" i="106"/>
  <c r="D1875" i="106" s="1"/>
  <c r="F22" i="37"/>
  <c r="F24" i="37" s="1"/>
  <c r="B1983" i="106"/>
  <c r="D1983" i="106" s="1"/>
  <c r="H26" i="12"/>
  <c r="B7740" i="106" s="1"/>
  <c r="D7740" i="106" s="1"/>
  <c r="A7258" i="106"/>
  <c r="B1958" i="106"/>
  <c r="D1958" i="106" s="1"/>
  <c r="G26" i="12"/>
  <c r="B7739" i="106" s="1"/>
  <c r="D7739" i="106" s="1"/>
  <c r="B4171" i="106"/>
  <c r="D4171" i="106" s="1"/>
  <c r="N36" i="3"/>
  <c r="B7298" i="106"/>
  <c r="B7299" i="106"/>
  <c r="J26" i="12" l="1"/>
  <c r="B7742" i="106" s="1"/>
  <c r="D7742" i="106" s="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779" i="106" l="1"/>
  <c r="D7779" i="106" s="1"/>
  <c r="K158" i="29"/>
  <c r="B7780" i="106" s="1"/>
  <c r="D7780" i="106" s="1"/>
  <c r="B7791" i="106"/>
  <c r="D7791" i="106" s="1"/>
  <c r="K354" i="29"/>
  <c r="B7236" i="106"/>
  <c r="D7236" i="106" s="1"/>
  <c r="B7775" i="106" l="1"/>
  <c r="D7775" i="106" s="1"/>
  <c r="K133" i="29"/>
  <c r="B7774" i="106"/>
  <c r="D7774" i="106" s="1"/>
  <c r="B7781" i="106"/>
  <c r="D7781" i="106" s="1"/>
  <c r="K159" i="29"/>
  <c r="B7782" i="106" s="1"/>
  <c r="D7782" i="106" s="1"/>
  <c r="K282" i="29"/>
  <c r="B7783" i="106"/>
  <c r="D7783" i="106" s="1"/>
  <c r="K333" i="29"/>
  <c r="B7788" i="106" s="1"/>
  <c r="D7788" i="106" s="1"/>
  <c r="B7787" i="106"/>
  <c r="D7787" i="106" s="1"/>
  <c r="B7785" i="106"/>
  <c r="D7785" i="106" s="1"/>
  <c r="K332" i="29"/>
  <c r="H334" i="29"/>
  <c r="B7789" i="106" s="1"/>
  <c r="D7789" i="106" s="1"/>
  <c r="L334" i="29"/>
  <c r="B7792" i="106"/>
  <c r="D7792" i="106" s="1"/>
  <c r="B3673" i="106"/>
  <c r="D3673" i="106" s="1"/>
  <c r="B7793" i="106"/>
  <c r="D7793" i="106" s="1"/>
  <c r="K355" i="29"/>
  <c r="B7237" i="106"/>
  <c r="D7237" i="106" s="1"/>
  <c r="B7776" i="106" l="1"/>
  <c r="D7776" i="106" s="1"/>
  <c r="B7784" i="106"/>
  <c r="D7784" i="106" s="1"/>
  <c r="B7786" i="106"/>
  <c r="D7786" i="106" s="1"/>
  <c r="K334" i="29"/>
  <c r="B7794" i="106"/>
  <c r="D7794" i="106" s="1"/>
  <c r="B3674" i="106"/>
  <c r="D3674" i="106" s="1"/>
  <c r="F74" i="34" l="1"/>
  <c r="J15" i="4"/>
  <c r="B7796" i="106" s="1"/>
  <c r="D7796" i="106" s="1"/>
  <c r="B7790" i="106"/>
  <c r="D7790"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1" i="106"/>
  <c r="D4341" i="106" s="1"/>
  <c r="B4340" i="106"/>
  <c r="D4340" i="106" s="1"/>
  <c r="B6403" i="106"/>
  <c r="D6403" i="106" s="1"/>
  <c r="B5239" i="106"/>
  <c r="D5239"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376" i="106"/>
  <c r="D4376" i="106" s="1"/>
  <c r="B4380" i="106"/>
  <c r="D4380" i="106" s="1"/>
  <c r="B4392" i="106"/>
  <c r="D4392" i="106" s="1"/>
  <c r="B5432" i="106"/>
  <c r="D5432" i="106" s="1"/>
  <c r="B4236" i="106"/>
  <c r="D4236" i="106" s="1"/>
  <c r="B4400" i="106"/>
  <c r="D4400" i="106" s="1"/>
  <c r="B5438" i="106"/>
  <c r="D5438" i="106" s="1"/>
  <c r="B6411" i="106"/>
  <c r="D6411"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4885" i="106"/>
  <c r="D4885" i="106" s="1"/>
  <c r="B5601" i="106"/>
  <c r="D5601" i="106" s="1"/>
  <c r="B5602" i="106"/>
  <c r="D5602" i="106" s="1"/>
  <c r="B5604" i="106"/>
  <c r="D5604" i="106" s="1"/>
  <c r="B5606" i="106"/>
  <c r="D5606" i="106" s="1"/>
  <c r="B5609" i="106"/>
  <c r="D5609" i="106" s="1"/>
  <c r="B4311" i="106"/>
  <c r="D4311" i="106" s="1"/>
  <c r="B6369" i="106"/>
  <c r="D6369" i="106" s="1"/>
  <c r="B5617" i="106"/>
  <c r="D5617" i="106" s="1"/>
  <c r="B4316" i="106"/>
  <c r="D4316" i="106" s="1"/>
  <c r="B5619" i="106"/>
  <c r="D5619" i="106" s="1"/>
  <c r="B5625" i="106"/>
  <c r="D5625" i="106" s="1"/>
  <c r="B5627" i="106"/>
  <c r="D5627" i="106" s="1"/>
  <c r="B5630" i="106"/>
  <c r="D5630" i="106" s="1"/>
  <c r="B5631" i="106"/>
  <c r="D5631" i="106" s="1"/>
  <c r="B6383" i="106"/>
  <c r="D6383" i="106" s="1"/>
  <c r="B6386" i="106"/>
  <c r="D6386" i="106" s="1"/>
  <c r="B4918" i="106"/>
  <c r="D4918" i="106" s="1"/>
  <c r="B6391" i="106"/>
  <c r="D6391" i="106" s="1"/>
  <c r="B4322" i="106"/>
  <c r="D4322" i="106" s="1"/>
  <c r="B4946" i="106"/>
  <c r="D4946" i="106" s="1"/>
  <c r="B4808" i="106"/>
  <c r="D4808" i="106" s="1"/>
  <c r="B4377" i="106"/>
  <c r="D4377" i="106" s="1"/>
  <c r="B4381" i="106"/>
  <c r="D4381" i="106" s="1"/>
  <c r="B4393" i="106"/>
  <c r="D4393" i="106" s="1"/>
  <c r="B4237" i="106"/>
  <c r="D4237" i="106" s="1"/>
  <c r="B4401" i="106"/>
  <c r="D4401" i="106" s="1"/>
  <c r="B5671" i="106"/>
  <c r="D5671" i="106" s="1"/>
  <c r="B6412" i="106"/>
  <c r="D6412"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447" i="106"/>
  <c r="D4447" i="106" s="1"/>
  <c r="B4855" i="106"/>
  <c r="D4855" i="106" s="1"/>
  <c r="B1341" i="106"/>
  <c r="D1341" i="106" s="1"/>
  <c r="B1347" i="106"/>
  <c r="D1347" i="106" s="1"/>
  <c r="B1366" i="106"/>
  <c r="D1366" i="106" s="1"/>
  <c r="B7059" i="106"/>
  <c r="D7059"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7065" i="106"/>
  <c r="D7065" i="106" s="1"/>
  <c r="B7066" i="106"/>
  <c r="D7066" i="106" s="1"/>
  <c r="B2996" i="106"/>
  <c r="D2996" i="106" s="1"/>
  <c r="B2997" i="106"/>
  <c r="D2997" i="106" s="1"/>
  <c r="B2999" i="106"/>
  <c r="D2999" i="106" s="1"/>
  <c r="B3000" i="106"/>
  <c r="D3000"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4878" i="106"/>
  <c r="D4878" i="106" s="1"/>
  <c r="B5743" i="106"/>
  <c r="D5743"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4238" i="106"/>
  <c r="D4238" i="106" s="1"/>
  <c r="B4402" i="106"/>
  <c r="D4402" i="106" s="1"/>
  <c r="B5797" i="106"/>
  <c r="D5797" i="106" s="1"/>
  <c r="B6413" i="106"/>
  <c r="D6413"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63" i="106"/>
  <c r="D5063" i="106" s="1"/>
  <c r="B5068" i="106"/>
  <c r="D5068" i="106" s="1"/>
  <c r="B5069" i="106"/>
  <c r="D5069" i="106" s="1"/>
  <c r="B5070" i="106"/>
  <c r="D5070" i="106" s="1"/>
  <c r="B5074" i="106"/>
  <c r="D5074"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5083" i="106"/>
  <c r="D5083" i="106" s="1"/>
  <c r="B6310" i="106"/>
  <c r="D6310" i="106" s="1"/>
  <c r="B5084" i="106"/>
  <c r="D5084"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9" i="106"/>
  <c r="D7259" i="106" s="1"/>
  <c r="B7260" i="106"/>
  <c r="D7260" i="106" s="1"/>
  <c r="B7261" i="106"/>
  <c r="D7261" i="106" s="1"/>
  <c r="B6856" i="106"/>
  <c r="D6856" i="106" s="1"/>
  <c r="B6857" i="106"/>
  <c r="D6857"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6875" i="106"/>
  <c r="D6875" i="106" s="1"/>
  <c r="B780" i="106"/>
  <c r="D780" i="106" s="1"/>
  <c r="B838" i="106"/>
  <c r="D838" i="106" s="1"/>
  <c r="B896" i="106"/>
  <c r="D896" i="106" s="1"/>
  <c r="B1012" i="106"/>
  <c r="D1012" i="106" s="1"/>
  <c r="B781" i="106"/>
  <c r="D781" i="106" s="1"/>
  <c r="B839" i="106"/>
  <c r="D839"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1015" i="106"/>
  <c r="D1015" i="106" s="1"/>
  <c r="B6912" i="106"/>
  <c r="D6912" i="106" s="1"/>
  <c r="B6913" i="106"/>
  <c r="D6913" i="106" s="1"/>
  <c r="B784" i="106"/>
  <c r="D784" i="106" s="1"/>
  <c r="B842" i="106"/>
  <c r="D842" i="106" s="1"/>
  <c r="B900" i="106"/>
  <c r="D900"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9" i="106"/>
  <c r="D6929" i="106" s="1"/>
  <c r="B2719" i="106"/>
  <c r="D2719" i="106" s="1"/>
  <c r="B2720" i="106"/>
  <c r="D2720" i="106" s="1"/>
  <c r="B2721" i="106"/>
  <c r="D2721" i="106" s="1"/>
  <c r="B2723" i="106"/>
  <c r="D2723" i="106" s="1"/>
  <c r="B6930" i="106"/>
  <c r="D6930" i="106" s="1"/>
  <c r="B6931" i="106"/>
  <c r="D6931" i="106" s="1"/>
  <c r="B6933" i="106"/>
  <c r="D6933" i="106" s="1"/>
  <c r="B6934" i="106"/>
  <c r="D6934" i="106" s="1"/>
  <c r="B6935" i="106"/>
  <c r="D6935" i="106" s="1"/>
  <c r="B6936" i="106"/>
  <c r="D6936" i="106" s="1"/>
  <c r="B6937" i="106"/>
  <c r="D6937"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1037" i="106"/>
  <c r="D1037" i="106" s="1"/>
  <c r="B6965" i="106"/>
  <c r="D6965" i="106" s="1"/>
  <c r="B6966" i="106"/>
  <c r="D6966" i="106" s="1"/>
  <c r="B806" i="106"/>
  <c r="D806" i="106" s="1"/>
  <c r="B864" i="106"/>
  <c r="D864" i="106" s="1"/>
  <c r="B922" i="106"/>
  <c r="D922" i="106" s="1"/>
  <c r="B1038" i="106"/>
  <c r="D1038" i="106" s="1"/>
  <c r="B6967" i="106"/>
  <c r="D6967" i="106" s="1"/>
  <c r="B6968" i="106"/>
  <c r="D6968" i="106" s="1"/>
  <c r="B807" i="106"/>
  <c r="D807" i="106" s="1"/>
  <c r="B865" i="106"/>
  <c r="D865" i="106" s="1"/>
  <c r="B923" i="106"/>
  <c r="D923" i="106" s="1"/>
  <c r="B1039" i="106"/>
  <c r="D1039" i="106" s="1"/>
  <c r="B6969" i="106"/>
  <c r="D6969" i="106" s="1"/>
  <c r="B6970" i="106"/>
  <c r="D6970" i="106" s="1"/>
  <c r="B809" i="106"/>
  <c r="D809" i="106" s="1"/>
  <c r="B867" i="106"/>
  <c r="D867"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L261" i="29" l="1"/>
  <c r="E33" i="29"/>
  <c r="K105" i="29"/>
  <c r="B1048" i="106"/>
  <c r="D1048" i="106" s="1"/>
  <c r="K95" i="29"/>
  <c r="B7001" i="106" s="1"/>
  <c r="D7001" i="106" s="1"/>
  <c r="B7000" i="106"/>
  <c r="D7000" i="106" s="1"/>
  <c r="B6983" i="106"/>
  <c r="D6983" i="106" s="1"/>
  <c r="K86" i="29"/>
  <c r="B6984" i="106" s="1"/>
  <c r="D6984" i="106" s="1"/>
  <c r="B1033" i="106"/>
  <c r="D1033" i="106" s="1"/>
  <c r="B975" i="106"/>
  <c r="D975" i="106" s="1"/>
  <c r="B1031" i="106"/>
  <c r="D1031" i="106" s="1"/>
  <c r="B1030" i="106"/>
  <c r="D1030" i="106" s="1"/>
  <c r="B1025" i="106"/>
  <c r="D1025" i="106" s="1"/>
  <c r="H57" i="29"/>
  <c r="B1027" i="106" s="1"/>
  <c r="D1027" i="106" s="1"/>
  <c r="B1022" i="106"/>
  <c r="D1022" i="106" s="1"/>
  <c r="H53" i="29"/>
  <c r="B1024" i="106" s="1"/>
  <c r="D1024" i="106" s="1"/>
  <c r="H47" i="29"/>
  <c r="B1021" i="106" s="1"/>
  <c r="D1021" i="106" s="1"/>
  <c r="B1018" i="106"/>
  <c r="D1018" i="106" s="1"/>
  <c r="H42" i="29"/>
  <c r="B1011" i="106"/>
  <c r="D1011" i="106" s="1"/>
  <c r="K30" i="29"/>
  <c r="B6896" i="106"/>
  <c r="D6896" i="106" s="1"/>
  <c r="K22" i="29"/>
  <c r="B6880" i="106"/>
  <c r="D6880" i="106" s="1"/>
  <c r="B821" i="106"/>
  <c r="D821" i="106" s="1"/>
  <c r="B6825" i="106"/>
  <c r="D6825" i="106" s="1"/>
  <c r="B5086" i="106"/>
  <c r="D5086" i="106" s="1"/>
  <c r="B5107" i="106"/>
  <c r="D5107" i="106" s="1"/>
  <c r="F98" i="34"/>
  <c r="K96" i="29"/>
  <c r="B7003" i="106" s="1"/>
  <c r="D7003" i="106" s="1"/>
  <c r="B7002" i="106"/>
  <c r="D7002" i="106" s="1"/>
  <c r="I57" i="29"/>
  <c r="B6948" i="106" s="1"/>
  <c r="D6948" i="106" s="1"/>
  <c r="B6944" i="106"/>
  <c r="D6944" i="106" s="1"/>
  <c r="B879" i="106"/>
  <c r="D879" i="106" s="1"/>
  <c r="F33" i="29"/>
  <c r="L110" i="29"/>
  <c r="L112" i="29" s="1"/>
  <c r="B7748" i="106"/>
  <c r="D7748" i="106" s="1"/>
  <c r="K94" i="29"/>
  <c r="B6999" i="106" s="1"/>
  <c r="D6999" i="106" s="1"/>
  <c r="B6998" i="106"/>
  <c r="D6998" i="106" s="1"/>
  <c r="H92" i="29"/>
  <c r="B6981" i="106"/>
  <c r="D6981" i="106" s="1"/>
  <c r="K85" i="29"/>
  <c r="B6982" i="106" s="1"/>
  <c r="D6982" i="106" s="1"/>
  <c r="B988" i="106"/>
  <c r="D988" i="106" s="1"/>
  <c r="B983" i="106"/>
  <c r="D983" i="106" s="1"/>
  <c r="B981" i="106"/>
  <c r="D981" i="106" s="1"/>
  <c r="B980" i="106"/>
  <c r="D980" i="106" s="1"/>
  <c r="B979" i="106"/>
  <c r="D979" i="106" s="1"/>
  <c r="B973" i="106"/>
  <c r="D973" i="106" s="1"/>
  <c r="B970" i="106"/>
  <c r="D970" i="106" s="1"/>
  <c r="G57" i="29"/>
  <c r="B969" i="106" s="1"/>
  <c r="D969" i="106" s="1"/>
  <c r="B967" i="106"/>
  <c r="D967" i="106" s="1"/>
  <c r="B2722" i="106"/>
  <c r="D2722" i="106" s="1"/>
  <c r="B964" i="106"/>
  <c r="D964" i="106" s="1"/>
  <c r="B958" i="106"/>
  <c r="D958" i="106" s="1"/>
  <c r="B957" i="106"/>
  <c r="D957" i="106" s="1"/>
  <c r="B954" i="106"/>
  <c r="D954" i="106" s="1"/>
  <c r="B6894" i="106"/>
  <c r="D6894" i="106" s="1"/>
  <c r="K29" i="29"/>
  <c r="B6878" i="106"/>
  <c r="D6878" i="106" s="1"/>
  <c r="K21" i="29"/>
  <c r="B774" i="106"/>
  <c r="D774" i="106" s="1"/>
  <c r="B7258" i="106"/>
  <c r="D7258" i="106" s="1"/>
  <c r="B763" i="106"/>
  <c r="D763" i="106" s="1"/>
  <c r="B5085" i="106"/>
  <c r="D5085" i="106" s="1"/>
  <c r="B5073" i="106"/>
  <c r="D5073" i="106" s="1"/>
  <c r="B5065" i="106"/>
  <c r="D5065" i="106" s="1"/>
  <c r="K93" i="29"/>
  <c r="H100" i="29"/>
  <c r="B7012" i="106" s="1"/>
  <c r="D7012" i="106" s="1"/>
  <c r="B6996" i="106"/>
  <c r="D6996" i="106" s="1"/>
  <c r="B925" i="106"/>
  <c r="D925" i="106" s="1"/>
  <c r="B920" i="106"/>
  <c r="D920" i="106" s="1"/>
  <c r="F65" i="29"/>
  <c r="B919" i="106" s="1"/>
  <c r="D919" i="106" s="1"/>
  <c r="B912" i="106"/>
  <c r="D912" i="106" s="1"/>
  <c r="F57" i="29"/>
  <c r="B911" i="106" s="1"/>
  <c r="D911" i="106" s="1"/>
  <c r="B909" i="106"/>
  <c r="D909" i="106" s="1"/>
  <c r="B906" i="106"/>
  <c r="D906" i="106" s="1"/>
  <c r="F53" i="29"/>
  <c r="B908" i="106" s="1"/>
  <c r="D908" i="106" s="1"/>
  <c r="B902" i="106"/>
  <c r="D902" i="106" s="1"/>
  <c r="F47" i="29"/>
  <c r="B905" i="106" s="1"/>
  <c r="D905" i="106" s="1"/>
  <c r="B895" i="106"/>
  <c r="D895" i="106" s="1"/>
  <c r="B6892" i="106"/>
  <c r="D6892" i="106" s="1"/>
  <c r="K28" i="29"/>
  <c r="B6876" i="106"/>
  <c r="D6876" i="106" s="1"/>
  <c r="K20" i="29"/>
  <c r="B3367" i="106"/>
  <c r="D3367" i="106" s="1"/>
  <c r="B712" i="106"/>
  <c r="D712" i="106" s="1"/>
  <c r="K18" i="29"/>
  <c r="B1100" i="106" s="1"/>
  <c r="D1100" i="106" s="1"/>
  <c r="K17" i="29"/>
  <c r="B6871" i="106" s="1"/>
  <c r="D6871" i="106" s="1"/>
  <c r="B7263" i="106"/>
  <c r="D7263" i="106" s="1"/>
  <c r="B719" i="106"/>
  <c r="D719" i="106" s="1"/>
  <c r="K15" i="29"/>
  <c r="B718" i="106"/>
  <c r="D718" i="106" s="1"/>
  <c r="K14" i="29"/>
  <c r="B1106" i="106" s="1"/>
  <c r="D1106" i="106" s="1"/>
  <c r="B717" i="106"/>
  <c r="D717" i="106" s="1"/>
  <c r="K13" i="29"/>
  <c r="B1105" i="106" s="1"/>
  <c r="D1105" i="106" s="1"/>
  <c r="K12" i="29"/>
  <c r="B716" i="106"/>
  <c r="D716" i="106" s="1"/>
  <c r="B7257" i="106"/>
  <c r="D7257" i="106" s="1"/>
  <c r="B3055" i="106"/>
  <c r="D3055" i="106" s="1"/>
  <c r="K10" i="29"/>
  <c r="B3062" i="106" s="1"/>
  <c r="D3062" i="106" s="1"/>
  <c r="K9" i="29"/>
  <c r="B7251" i="106"/>
  <c r="D7251" i="106" s="1"/>
  <c r="K8" i="29"/>
  <c r="B3380" i="106" s="1"/>
  <c r="D3380" i="106" s="1"/>
  <c r="B3366" i="106"/>
  <c r="D3366" i="106" s="1"/>
  <c r="B6727" i="106"/>
  <c r="D6727" i="106" s="1"/>
  <c r="K7" i="29"/>
  <c r="B705" i="106"/>
  <c r="D705" i="106" s="1"/>
  <c r="B5072" i="106"/>
  <c r="D5072" i="106" s="1"/>
  <c r="B5026" i="106"/>
  <c r="D5026" i="106" s="1"/>
  <c r="B6941" i="106"/>
  <c r="D6941" i="106" s="1"/>
  <c r="K106" i="29"/>
  <c r="B1147" i="106" s="1"/>
  <c r="D1147" i="106" s="1"/>
  <c r="B1049" i="106"/>
  <c r="D1049" i="106" s="1"/>
  <c r="B2952" i="106"/>
  <c r="D2952" i="106" s="1"/>
  <c r="K81" i="29"/>
  <c r="B2976" i="106" s="1"/>
  <c r="D2976" i="106" s="1"/>
  <c r="B6311" i="106"/>
  <c r="D6311" i="106" s="1"/>
  <c r="B6307" i="106"/>
  <c r="D6307" i="106" s="1"/>
  <c r="B7016" i="106"/>
  <c r="D7016" i="106" s="1"/>
  <c r="K111" i="29"/>
  <c r="B7017" i="106" s="1"/>
  <c r="D7017" i="106" s="1"/>
  <c r="B6993" i="106"/>
  <c r="D6993" i="106" s="1"/>
  <c r="K91" i="29"/>
  <c r="B6994" i="106" s="1"/>
  <c r="D6994" i="106" s="1"/>
  <c r="K83" i="29"/>
  <c r="B2978" i="106" s="1"/>
  <c r="D2978" i="106" s="1"/>
  <c r="B2954" i="106"/>
  <c r="D2954" i="106" s="1"/>
  <c r="B2950" i="106"/>
  <c r="D2950" i="106" s="1"/>
  <c r="K79" i="29"/>
  <c r="B2974" i="106" s="1"/>
  <c r="D2974" i="106" s="1"/>
  <c r="E72" i="29"/>
  <c r="B869" i="106" s="1"/>
  <c r="D869" i="106" s="1"/>
  <c r="B862" i="106"/>
  <c r="D862" i="106" s="1"/>
  <c r="E65" i="29"/>
  <c r="B861" i="106" s="1"/>
  <c r="D861" i="106" s="1"/>
  <c r="B854" i="106"/>
  <c r="D854" i="106" s="1"/>
  <c r="E57" i="29"/>
  <c r="B853" i="106" s="1"/>
  <c r="D853" i="106" s="1"/>
  <c r="B851" i="106"/>
  <c r="D851" i="106" s="1"/>
  <c r="B848" i="106"/>
  <c r="D848" i="106" s="1"/>
  <c r="E53" i="29"/>
  <c r="B850" i="106" s="1"/>
  <c r="D850" i="106" s="1"/>
  <c r="E47" i="29"/>
  <c r="B847" i="106" s="1"/>
  <c r="D847" i="106" s="1"/>
  <c r="B844" i="106"/>
  <c r="D844" i="106" s="1"/>
  <c r="B837" i="106"/>
  <c r="D837" i="106" s="1"/>
  <c r="E42" i="29"/>
  <c r="B6890" i="106"/>
  <c r="D6890" i="106" s="1"/>
  <c r="K27" i="29"/>
  <c r="B6845" i="106"/>
  <c r="D6845" i="106" s="1"/>
  <c r="J33" i="29"/>
  <c r="B4113" i="106"/>
  <c r="D4113" i="106" s="1"/>
  <c r="C18" i="4"/>
  <c r="B4131" i="106" s="1"/>
  <c r="D4131" i="106" s="1"/>
  <c r="D78" i="36"/>
  <c r="B5163" i="106"/>
  <c r="D5163" i="106" s="1"/>
  <c r="B6985" i="106"/>
  <c r="D6985" i="106" s="1"/>
  <c r="K87" i="29"/>
  <c r="B6986" i="106" s="1"/>
  <c r="D6986" i="106" s="1"/>
  <c r="B6963" i="106"/>
  <c r="D6963" i="106" s="1"/>
  <c r="I72" i="29"/>
  <c r="B6973" i="106" s="1"/>
  <c r="D6973" i="106" s="1"/>
  <c r="I65" i="29"/>
  <c r="B6961" i="106" s="1"/>
  <c r="D6961" i="106" s="1"/>
  <c r="B6950" i="106"/>
  <c r="D6950" i="106" s="1"/>
  <c r="B6906" i="106"/>
  <c r="D6906" i="106" s="1"/>
  <c r="B6898" i="106"/>
  <c r="D6898" i="106" s="1"/>
  <c r="K31" i="29"/>
  <c r="B6882" i="106"/>
  <c r="D6882" i="106" s="1"/>
  <c r="K23" i="29"/>
  <c r="F162" i="34"/>
  <c r="B7761" i="106"/>
  <c r="D7761" i="106" s="1"/>
  <c r="B1051" i="106"/>
  <c r="D1051" i="106" s="1"/>
  <c r="K109" i="29"/>
  <c r="B1149" i="106" s="1"/>
  <c r="D1149" i="106" s="1"/>
  <c r="E100" i="29"/>
  <c r="B7011" i="106" s="1"/>
  <c r="D7011" i="106" s="1"/>
  <c r="K99" i="29"/>
  <c r="B7010" i="106" s="1"/>
  <c r="D7010" i="106" s="1"/>
  <c r="B7008" i="106"/>
  <c r="D7008" i="106" s="1"/>
  <c r="B6991" i="106"/>
  <c r="D6991" i="106" s="1"/>
  <c r="K90" i="29"/>
  <c r="B6992" i="106" s="1"/>
  <c r="D6992" i="106" s="1"/>
  <c r="H84" i="29"/>
  <c r="B2955" i="106"/>
  <c r="D2955" i="106" s="1"/>
  <c r="D72" i="29"/>
  <c r="B811" i="106" s="1"/>
  <c r="D811" i="106" s="1"/>
  <c r="B804" i="106"/>
  <c r="D804" i="106" s="1"/>
  <c r="D65" i="29"/>
  <c r="B803" i="106" s="1"/>
  <c r="D803" i="106" s="1"/>
  <c r="B796" i="106"/>
  <c r="D796" i="106" s="1"/>
  <c r="D57" i="29"/>
  <c r="B795" i="106" s="1"/>
  <c r="D795" i="106" s="1"/>
  <c r="B793" i="106"/>
  <c r="D793" i="106" s="1"/>
  <c r="B790" i="106"/>
  <c r="D790" i="106" s="1"/>
  <c r="D53" i="29"/>
  <c r="B792" i="106" s="1"/>
  <c r="D792" i="106" s="1"/>
  <c r="D47" i="29"/>
  <c r="B789" i="106" s="1"/>
  <c r="D789" i="106" s="1"/>
  <c r="B786" i="106"/>
  <c r="D786" i="106" s="1"/>
  <c r="B779" i="106"/>
  <c r="D779" i="106" s="1"/>
  <c r="D42" i="29"/>
  <c r="K26" i="29"/>
  <c r="B6888" i="106"/>
  <c r="D6888" i="106" s="1"/>
  <c r="B6844" i="106"/>
  <c r="D6844" i="106" s="1"/>
  <c r="B6031" i="106"/>
  <c r="D6031" i="106" s="1"/>
  <c r="C76" i="4"/>
  <c r="B3231" i="106" s="1"/>
  <c r="D3231" i="106" s="1"/>
  <c r="B5022" i="106"/>
  <c r="D5022" i="106" s="1"/>
  <c r="B6938" i="106"/>
  <c r="D6938" i="106" s="1"/>
  <c r="B6926" i="106"/>
  <c r="D6926" i="106" s="1"/>
  <c r="K98" i="29"/>
  <c r="B7007" i="106" s="1"/>
  <c r="D7007" i="106" s="1"/>
  <c r="B7006" i="106"/>
  <c r="D7006" i="106" s="1"/>
  <c r="B6989" i="106"/>
  <c r="D6989" i="106" s="1"/>
  <c r="K89" i="29"/>
  <c r="B6990" i="106" s="1"/>
  <c r="D6990" i="106" s="1"/>
  <c r="K75" i="29"/>
  <c r="B756" i="106"/>
  <c r="D756" i="106" s="1"/>
  <c r="B754" i="106"/>
  <c r="D754" i="106" s="1"/>
  <c r="K73" i="29"/>
  <c r="B1142" i="106" s="1"/>
  <c r="D1142" i="106" s="1"/>
  <c r="B751" i="106"/>
  <c r="D751" i="106" s="1"/>
  <c r="B749" i="106"/>
  <c r="D749" i="106" s="1"/>
  <c r="B748" i="106"/>
  <c r="D748" i="106" s="1"/>
  <c r="B747" i="106"/>
  <c r="D747" i="106" s="1"/>
  <c r="C72" i="29"/>
  <c r="B753" i="106" s="1"/>
  <c r="D753" i="106" s="1"/>
  <c r="B746" i="106"/>
  <c r="D746" i="106" s="1"/>
  <c r="B743" i="106"/>
  <c r="D743" i="106" s="1"/>
  <c r="K63" i="29"/>
  <c r="B1130" i="106" s="1"/>
  <c r="D1130" i="106" s="1"/>
  <c r="B742" i="106"/>
  <c r="D742" i="106" s="1"/>
  <c r="K62" i="29"/>
  <c r="B1129" i="106" s="1"/>
  <c r="D1129" i="106" s="1"/>
  <c r="B741" i="106"/>
  <c r="D741" i="106" s="1"/>
  <c r="B740" i="106"/>
  <c r="D740" i="106" s="1"/>
  <c r="B739" i="106"/>
  <c r="D739" i="106" s="1"/>
  <c r="K60" i="29"/>
  <c r="B1127" i="106" s="1"/>
  <c r="D1127" i="106" s="1"/>
  <c r="C65" i="29"/>
  <c r="B745" i="106" s="1"/>
  <c r="D745" i="106" s="1"/>
  <c r="B738" i="106"/>
  <c r="D738" i="106" s="1"/>
  <c r="K59" i="29"/>
  <c r="B736" i="106"/>
  <c r="D736" i="106" s="1"/>
  <c r="K56" i="29"/>
  <c r="C57" i="29"/>
  <c r="B737" i="106" s="1"/>
  <c r="D737" i="106" s="1"/>
  <c r="K55" i="29"/>
  <c r="B735" i="106"/>
  <c r="D735" i="106" s="1"/>
  <c r="B6932" i="106"/>
  <c r="D6932" i="106" s="1"/>
  <c r="K52" i="29"/>
  <c r="B6940" i="106" s="1"/>
  <c r="D6940" i="106" s="1"/>
  <c r="B2718" i="106"/>
  <c r="D2718" i="106" s="1"/>
  <c r="B733" i="106"/>
  <c r="D733" i="106" s="1"/>
  <c r="K49" i="29"/>
  <c r="B732" i="106"/>
  <c r="D732" i="106" s="1"/>
  <c r="C53" i="29"/>
  <c r="B734" i="106" s="1"/>
  <c r="D734" i="106" s="1"/>
  <c r="K46" i="29"/>
  <c r="B1118" i="106" s="1"/>
  <c r="D1118" i="106" s="1"/>
  <c r="B730" i="106"/>
  <c r="D730" i="106" s="1"/>
  <c r="B729" i="106"/>
  <c r="D729" i="106" s="1"/>
  <c r="K45" i="29"/>
  <c r="B1117" i="106" s="1"/>
  <c r="D1117" i="106" s="1"/>
  <c r="B728" i="106"/>
  <c r="D728" i="106" s="1"/>
  <c r="C47" i="29"/>
  <c r="B731" i="106" s="1"/>
  <c r="D731" i="106" s="1"/>
  <c r="B726" i="106"/>
  <c r="D726" i="106" s="1"/>
  <c r="K41" i="29"/>
  <c r="B1114" i="106" s="1"/>
  <c r="D1114" i="106" s="1"/>
  <c r="K40" i="29"/>
  <c r="B1113" i="106" s="1"/>
  <c r="D1113" i="106" s="1"/>
  <c r="B725" i="106"/>
  <c r="D725" i="106" s="1"/>
  <c r="K39" i="29"/>
  <c r="B1112" i="106" s="1"/>
  <c r="D1112" i="106" s="1"/>
  <c r="B724" i="106"/>
  <c r="D724" i="106" s="1"/>
  <c r="B723" i="106"/>
  <c r="D723" i="106" s="1"/>
  <c r="B722" i="106"/>
  <c r="D722" i="106" s="1"/>
  <c r="C42" i="29"/>
  <c r="B721" i="106"/>
  <c r="D721" i="106" s="1"/>
  <c r="B6886" i="106"/>
  <c r="D6886" i="106" s="1"/>
  <c r="K25" i="29"/>
  <c r="B6874" i="106"/>
  <c r="D6874" i="106" s="1"/>
  <c r="B3377" i="106"/>
  <c r="D3377" i="106" s="1"/>
  <c r="B7262" i="106"/>
  <c r="D7262" i="106" s="1"/>
  <c r="B995" i="106"/>
  <c r="D995" i="106" s="1"/>
  <c r="B5061" i="106"/>
  <c r="D5061" i="106" s="1"/>
  <c r="B4" i="7"/>
  <c r="B5110" i="106"/>
  <c r="D5110" i="106" s="1"/>
  <c r="F99" i="34"/>
  <c r="B5118" i="106"/>
  <c r="D5118" i="106" s="1"/>
  <c r="F104" i="34"/>
  <c r="B6928" i="106"/>
  <c r="D6928" i="106" s="1"/>
  <c r="B6125" i="106"/>
  <c r="D6125" i="106" s="1"/>
  <c r="C34" i="3"/>
  <c r="K97" i="29"/>
  <c r="B7005" i="106" s="1"/>
  <c r="D7005" i="106" s="1"/>
  <c r="B7004" i="106"/>
  <c r="D7004" i="106" s="1"/>
  <c r="B6987" i="106"/>
  <c r="D6987" i="106" s="1"/>
  <c r="K88" i="29"/>
  <c r="B6988" i="106" s="1"/>
  <c r="D6988" i="106" s="1"/>
  <c r="B6964" i="106"/>
  <c r="D6964" i="106" s="1"/>
  <c r="J72" i="29"/>
  <c r="B6974" i="106" s="1"/>
  <c r="D6974" i="106" s="1"/>
  <c r="J65" i="29"/>
  <c r="B6962" i="106" s="1"/>
  <c r="D6962" i="106" s="1"/>
  <c r="B6951" i="106"/>
  <c r="D6951" i="106" s="1"/>
  <c r="B6945" i="106"/>
  <c r="D6945" i="106" s="1"/>
  <c r="J57" i="29"/>
  <c r="B6949" i="106" s="1"/>
  <c r="D6949" i="106" s="1"/>
  <c r="B6927" i="106"/>
  <c r="D6927" i="106" s="1"/>
  <c r="J53" i="29"/>
  <c r="B6943" i="106" s="1"/>
  <c r="D6943" i="106" s="1"/>
  <c r="J47" i="29"/>
  <c r="B6925" i="106" s="1"/>
  <c r="D6925" i="106" s="1"/>
  <c r="B6919" i="106"/>
  <c r="D6919" i="106" s="1"/>
  <c r="B6907" i="106"/>
  <c r="D6907" i="106" s="1"/>
  <c r="B6900" i="106"/>
  <c r="D6900" i="106" s="1"/>
  <c r="K32" i="29"/>
  <c r="B6884" i="106"/>
  <c r="D6884" i="106" s="1"/>
  <c r="K24" i="29"/>
  <c r="B5088" i="106"/>
  <c r="D5088" i="106" s="1"/>
  <c r="B5067" i="106"/>
  <c r="D5067" i="106" s="1"/>
  <c r="C18" i="5"/>
  <c r="B5071" i="106" s="1"/>
  <c r="D5071" i="106" s="1"/>
  <c r="F163" i="34"/>
  <c r="B1269" i="106"/>
  <c r="D1269" i="106" s="1"/>
  <c r="K143" i="29"/>
  <c r="B1284" i="106" s="1"/>
  <c r="D1284" i="106" s="1"/>
  <c r="K134" i="29"/>
  <c r="B4199" i="106"/>
  <c r="D4199" i="106" s="1"/>
  <c r="E137" i="29"/>
  <c r="K130" i="29"/>
  <c r="B2797" i="106"/>
  <c r="D2797" i="106" s="1"/>
  <c r="K128" i="29"/>
  <c r="B1280" i="106" s="1"/>
  <c r="D1280" i="106" s="1"/>
  <c r="B1224" i="106"/>
  <c r="D1224" i="106" s="1"/>
  <c r="B1236" i="106"/>
  <c r="D1236" i="106" s="1"/>
  <c r="K122" i="29"/>
  <c r="B4076" i="106"/>
  <c r="D4076" i="106" s="1"/>
  <c r="B5494" i="106"/>
  <c r="D5494" i="106" s="1"/>
  <c r="F33" i="34"/>
  <c r="F124" i="34"/>
  <c r="B4329" i="106"/>
  <c r="D4329" i="106" s="1"/>
  <c r="D154" i="5"/>
  <c r="B5394" i="106" s="1"/>
  <c r="D5394" i="106" s="1"/>
  <c r="B5391" i="106"/>
  <c r="D5391" i="106" s="1"/>
  <c r="B5331" i="106"/>
  <c r="D5331" i="106" s="1"/>
  <c r="D108" i="5"/>
  <c r="B5355" i="106" s="1"/>
  <c r="D5355" i="106" s="1"/>
  <c r="B5349" i="106"/>
  <c r="D5349" i="106" s="1"/>
  <c r="E40" i="4"/>
  <c r="B6288" i="106" s="1"/>
  <c r="D6288" i="106" s="1"/>
  <c r="B6249" i="106"/>
  <c r="D6249" i="106" s="1"/>
  <c r="H147" i="29"/>
  <c r="B1268" i="106"/>
  <c r="D1268" i="106" s="1"/>
  <c r="K142" i="29"/>
  <c r="D127" i="29"/>
  <c r="B1231" i="106" s="1"/>
  <c r="D1231" i="106" s="1"/>
  <c r="B1227" i="106"/>
  <c r="D1227" i="106" s="1"/>
  <c r="B4075" i="106"/>
  <c r="D4075" i="106" s="1"/>
  <c r="B5426" i="106"/>
  <c r="D5426" i="106" s="1"/>
  <c r="D191" i="5"/>
  <c r="B5361" i="106"/>
  <c r="D5361" i="106" s="1"/>
  <c r="D121" i="5"/>
  <c r="B5343" i="106"/>
  <c r="D5343" i="106" s="1"/>
  <c r="D82" i="5"/>
  <c r="B5458" i="106"/>
  <c r="D5458" i="106" s="1"/>
  <c r="D224" i="5"/>
  <c r="B5470" i="106" s="1"/>
  <c r="D5470" i="106" s="1"/>
  <c r="B2092" i="106"/>
  <c r="D2092" i="106" s="1"/>
  <c r="K138" i="29"/>
  <c r="B2094" i="106" s="1"/>
  <c r="D2094" i="106" s="1"/>
  <c r="K126" i="29"/>
  <c r="B1277" i="106" s="1"/>
  <c r="D1277" i="106" s="1"/>
  <c r="B1254" i="106"/>
  <c r="D1254" i="106" s="1"/>
  <c r="B3482" i="106"/>
  <c r="D3482" i="106" s="1"/>
  <c r="K125" i="29"/>
  <c r="B3488" i="106" s="1"/>
  <c r="D3488" i="106" s="1"/>
  <c r="B1221" i="106"/>
  <c r="D1221" i="106" s="1"/>
  <c r="K124" i="29"/>
  <c r="B1276" i="106" s="1"/>
  <c r="D1276" i="106" s="1"/>
  <c r="B1220" i="106"/>
  <c r="D1220" i="106" s="1"/>
  <c r="B1219" i="106"/>
  <c r="D1219" i="106" s="1"/>
  <c r="C127" i="29"/>
  <c r="B1223" i="106" s="1"/>
  <c r="D1223" i="106" s="1"/>
  <c r="K120" i="29"/>
  <c r="B4074" i="106"/>
  <c r="D4074" i="106" s="1"/>
  <c r="B5485" i="106"/>
  <c r="D5485" i="106" s="1"/>
  <c r="D228" i="5"/>
  <c r="B5488" i="106" s="1"/>
  <c r="D5488" i="106" s="1"/>
  <c r="B4806" i="106"/>
  <c r="D4806" i="106" s="1"/>
  <c r="B5333" i="106"/>
  <c r="D5333" i="106" s="1"/>
  <c r="D44" i="4"/>
  <c r="B7749" i="106"/>
  <c r="D7749" i="106" s="1"/>
  <c r="B7025" i="106"/>
  <c r="D7025" i="106" s="1"/>
  <c r="J127" i="29"/>
  <c r="B7034" i="106" s="1"/>
  <c r="D7034" i="106" s="1"/>
  <c r="B7023" i="106"/>
  <c r="D7023" i="106" s="1"/>
  <c r="F110" i="34"/>
  <c r="B5384" i="106"/>
  <c r="D5384" i="106" s="1"/>
  <c r="D140" i="5"/>
  <c r="B5383" i="106" s="1"/>
  <c r="D5383" i="106" s="1"/>
  <c r="B5370" i="106"/>
  <c r="D5370" i="106" s="1"/>
  <c r="B7049" i="106"/>
  <c r="D7049" i="106" s="1"/>
  <c r="K148" i="29"/>
  <c r="B7050" i="106" s="1"/>
  <c r="D7050" i="106" s="1"/>
  <c r="B4201" i="106"/>
  <c r="D4201" i="106" s="1"/>
  <c r="K136" i="29"/>
  <c r="B2988" i="106" s="1"/>
  <c r="D2988" i="106" s="1"/>
  <c r="I127" i="29"/>
  <c r="B7033" i="106" s="1"/>
  <c r="D7033" i="106" s="1"/>
  <c r="B7024" i="106"/>
  <c r="D7024" i="106" s="1"/>
  <c r="B7022" i="106"/>
  <c r="D7022" i="106" s="1"/>
  <c r="B5424" i="106"/>
  <c r="D5424" i="106" s="1"/>
  <c r="B5357" i="106"/>
  <c r="D5357" i="106" s="1"/>
  <c r="D114" i="5"/>
  <c r="B6251" i="106"/>
  <c r="D6251" i="106" s="1"/>
  <c r="H41" i="4"/>
  <c r="B6289" i="106" s="1"/>
  <c r="D6289" i="106" s="1"/>
  <c r="E39" i="4"/>
  <c r="B6287" i="106" s="1"/>
  <c r="D6287" i="106" s="1"/>
  <c r="B6247" i="106"/>
  <c r="D6247" i="106" s="1"/>
  <c r="H19" i="118"/>
  <c r="B6241" i="106"/>
  <c r="D6241" i="106" s="1"/>
  <c r="H14" i="118"/>
  <c r="B1270" i="106"/>
  <c r="D1270" i="106" s="1"/>
  <c r="K146" i="29"/>
  <c r="B1285" i="106" s="1"/>
  <c r="D1285" i="106" s="1"/>
  <c r="H127" i="29"/>
  <c r="B1264" i="106" s="1"/>
  <c r="D1264" i="106" s="1"/>
  <c r="B1260" i="106"/>
  <c r="D1260" i="106" s="1"/>
  <c r="B4079" i="106"/>
  <c r="D4079" i="106" s="1"/>
  <c r="D216" i="5"/>
  <c r="B4412" i="106" s="1"/>
  <c r="D4412" i="106" s="1"/>
  <c r="B5440" i="106"/>
  <c r="D5440" i="106" s="1"/>
  <c r="B5431" i="106"/>
  <c r="D5431" i="106" s="1"/>
  <c r="D131" i="5"/>
  <c r="B5368" i="106"/>
  <c r="D5368" i="106" s="1"/>
  <c r="B3414" i="106"/>
  <c r="D3414" i="106" s="1"/>
  <c r="D35" i="36"/>
  <c r="D13" i="3"/>
  <c r="K52" i="4"/>
  <c r="B3702" i="106" s="1"/>
  <c r="D3702" i="106" s="1"/>
  <c r="B3698" i="106"/>
  <c r="D3698" i="106" s="1"/>
  <c r="K145" i="29"/>
  <c r="B2811" i="106" s="1"/>
  <c r="D2811" i="106" s="1"/>
  <c r="B2808" i="106"/>
  <c r="D2808" i="106" s="1"/>
  <c r="B4200" i="106"/>
  <c r="D4200" i="106" s="1"/>
  <c r="K135" i="29"/>
  <c r="B2987" i="106" s="1"/>
  <c r="D2987" i="106" s="1"/>
  <c r="B1251" i="106"/>
  <c r="D1251" i="106" s="1"/>
  <c r="G127" i="29"/>
  <c r="B1256" i="106" s="1"/>
  <c r="D1256" i="106" s="1"/>
  <c r="B4078" i="106"/>
  <c r="D4078" i="106" s="1"/>
  <c r="D178" i="5"/>
  <c r="B5422" i="106"/>
  <c r="D5422" i="106" s="1"/>
  <c r="L149" i="29"/>
  <c r="L147" i="29"/>
  <c r="D76" i="4"/>
  <c r="B3237" i="106" s="1"/>
  <c r="D3237" i="106" s="1"/>
  <c r="B5023" i="106"/>
  <c r="D5023" i="106" s="1"/>
  <c r="B3161" i="106"/>
  <c r="D3161" i="106" s="1"/>
  <c r="H51" i="4"/>
  <c r="B3170" i="106" s="1"/>
  <c r="D3170" i="106" s="1"/>
  <c r="K144" i="29"/>
  <c r="B2810" i="106" s="1"/>
  <c r="D2810" i="106" s="1"/>
  <c r="B2807" i="106"/>
  <c r="D2807" i="106" s="1"/>
  <c r="B2979" i="106"/>
  <c r="D2979" i="106" s="1"/>
  <c r="H137" i="29"/>
  <c r="B1243" i="106"/>
  <c r="D1243" i="106" s="1"/>
  <c r="F127" i="29"/>
  <c r="B1247" i="106" s="1"/>
  <c r="D1247" i="106" s="1"/>
  <c r="B4077" i="106"/>
  <c r="D4077" i="106" s="1"/>
  <c r="B6615" i="106"/>
  <c r="D6615" i="106" s="1"/>
  <c r="D259" i="5"/>
  <c r="B6834" i="106" s="1"/>
  <c r="D6834" i="106" s="1"/>
  <c r="B5439" i="106"/>
  <c r="D5439" i="106" s="1"/>
  <c r="B5335" i="106"/>
  <c r="D5335" i="106" s="1"/>
  <c r="D18" i="5"/>
  <c r="B5339" i="106" s="1"/>
  <c r="D5339" i="106" s="1"/>
  <c r="B3417" i="106"/>
  <c r="D3417" i="106" s="1"/>
  <c r="D36" i="36"/>
  <c r="E13" i="3"/>
  <c r="B1312" i="106"/>
  <c r="D1312" i="106" s="1"/>
  <c r="K169" i="29"/>
  <c r="B1326" i="106" s="1"/>
  <c r="D1326" i="106" s="1"/>
  <c r="B3699" i="106"/>
  <c r="D3699" i="106" s="1"/>
  <c r="K53" i="4"/>
  <c r="B3703" i="106" s="1"/>
  <c r="D3703" i="106" s="1"/>
  <c r="B1313" i="106"/>
  <c r="D1313" i="106" s="1"/>
  <c r="K167" i="29"/>
  <c r="B1327" i="106" s="1"/>
  <c r="D1327" i="106" s="1"/>
  <c r="E172" i="5"/>
  <c r="B5537" i="106" s="1"/>
  <c r="D5537" i="106" s="1"/>
  <c r="B6368" i="106"/>
  <c r="D6368" i="106" s="1"/>
  <c r="B6127" i="106"/>
  <c r="D6127" i="106" s="1"/>
  <c r="E34" i="3"/>
  <c r="K166" i="29"/>
  <c r="B2819" i="106" s="1"/>
  <c r="D2819" i="106" s="1"/>
  <c r="B2813" i="106"/>
  <c r="D2813" i="106" s="1"/>
  <c r="E259" i="5"/>
  <c r="B6714" i="106"/>
  <c r="D6714" i="106" s="1"/>
  <c r="B15" i="7"/>
  <c r="B5511" i="106"/>
  <c r="D5511" i="106" s="1"/>
  <c r="K165" i="29"/>
  <c r="B2818" i="106" s="1"/>
  <c r="D2818" i="106" s="1"/>
  <c r="B2812" i="106"/>
  <c r="D2812" i="106" s="1"/>
  <c r="B1311" i="106"/>
  <c r="D1311" i="106" s="1"/>
  <c r="K164" i="29"/>
  <c r="B1325" i="106" s="1"/>
  <c r="D1325" i="106" s="1"/>
  <c r="E178" i="5"/>
  <c r="B4364" i="106"/>
  <c r="D4364" i="106" s="1"/>
  <c r="B5514" i="106"/>
  <c r="D5514" i="106" s="1"/>
  <c r="E18" i="5"/>
  <c r="B5518" i="106" s="1"/>
  <c r="D5518" i="106" s="1"/>
  <c r="B1310" i="106"/>
  <c r="D1310" i="106" s="1"/>
  <c r="H168" i="29"/>
  <c r="K163" i="29"/>
  <c r="E121" i="5"/>
  <c r="B5528" i="106"/>
  <c r="D5528" i="106" s="1"/>
  <c r="E108" i="5"/>
  <c r="B5526" i="106" s="1"/>
  <c r="D5526" i="106" s="1"/>
  <c r="B5522" i="106"/>
  <c r="D5522" i="106" s="1"/>
  <c r="E76" i="4"/>
  <c r="B3276" i="106" s="1"/>
  <c r="D3276" i="106" s="1"/>
  <c r="B2817" i="106"/>
  <c r="D2817" i="106" s="1"/>
  <c r="K171" i="29"/>
  <c r="B1330" i="106" s="1"/>
  <c r="D1330" i="106" s="1"/>
  <c r="B1307" i="106"/>
  <c r="D1307" i="106" s="1"/>
  <c r="E172" i="29"/>
  <c r="H160" i="29"/>
  <c r="B7777" i="106"/>
  <c r="D7777" i="106" s="1"/>
  <c r="K157" i="29"/>
  <c r="L168" i="29"/>
  <c r="K170" i="29"/>
  <c r="B1315" i="106"/>
  <c r="D1315" i="106" s="1"/>
  <c r="D69" i="36"/>
  <c r="B5512" i="106"/>
  <c r="D5512" i="106" s="1"/>
  <c r="B3419" i="106"/>
  <c r="D3419" i="106" s="1"/>
  <c r="D37" i="36"/>
  <c r="B4795" i="106"/>
  <c r="D4795" i="106" s="1"/>
  <c r="F91" i="34"/>
  <c r="B5573" i="106"/>
  <c r="D5573" i="106" s="1"/>
  <c r="B4360" i="106"/>
  <c r="D4360" i="106" s="1"/>
  <c r="F28" i="34"/>
  <c r="B6315" i="106"/>
  <c r="D6315" i="106" s="1"/>
  <c r="K206" i="29"/>
  <c r="B4210" i="106"/>
  <c r="D4210" i="106" s="1"/>
  <c r="B2824" i="106"/>
  <c r="D2824" i="106" s="1"/>
  <c r="B4085" i="106"/>
  <c r="D4085" i="106" s="1"/>
  <c r="B4318" i="106"/>
  <c r="D4318" i="106" s="1"/>
  <c r="B4877" i="106"/>
  <c r="D4877" i="106" s="1"/>
  <c r="B5578" i="106"/>
  <c r="D5578" i="106" s="1"/>
  <c r="F27" i="34"/>
  <c r="F89" i="34"/>
  <c r="B5572" i="106"/>
  <c r="D5572" i="106" s="1"/>
  <c r="B5566" i="106"/>
  <c r="D5566" i="106" s="1"/>
  <c r="F86" i="34"/>
  <c r="B5691" i="106"/>
  <c r="D5691" i="106" s="1"/>
  <c r="F31" i="34"/>
  <c r="B7751" i="106"/>
  <c r="D7751" i="106" s="1"/>
  <c r="B5580" i="106"/>
  <c r="D5580" i="106" s="1"/>
  <c r="B1369" i="106"/>
  <c r="D1369" i="106" s="1"/>
  <c r="B6312" i="106"/>
  <c r="D6312" i="106" s="1"/>
  <c r="F87" i="34"/>
  <c r="K205" i="29"/>
  <c r="B7068" i="106" s="1"/>
  <c r="D7068" i="106" s="1"/>
  <c r="B7067" i="106"/>
  <c r="D7067" i="106" s="1"/>
  <c r="B4084" i="106"/>
  <c r="D4084" i="106" s="1"/>
  <c r="B5659" i="106"/>
  <c r="D5659" i="106" s="1"/>
  <c r="F191" i="5"/>
  <c r="B5593" i="106"/>
  <c r="D5593" i="106" s="1"/>
  <c r="B5577" i="106"/>
  <c r="D5577" i="106" s="1"/>
  <c r="F26" i="34"/>
  <c r="F23" i="34"/>
  <c r="B5571" i="106"/>
  <c r="D5571" i="106" s="1"/>
  <c r="B5565" i="106"/>
  <c r="D5565" i="106" s="1"/>
  <c r="F85" i="34"/>
  <c r="B5584" i="106"/>
  <c r="D5584" i="106" s="1"/>
  <c r="F102" i="34"/>
  <c r="B2992" i="106"/>
  <c r="D2992" i="106" s="1"/>
  <c r="B1373" i="106"/>
  <c r="D1373" i="106" s="1"/>
  <c r="K203" i="29"/>
  <c r="B1385" i="106" s="1"/>
  <c r="D1385" i="106" s="1"/>
  <c r="B2994" i="106"/>
  <c r="D2994" i="106" s="1"/>
  <c r="K193" i="29"/>
  <c r="B3012" i="106" s="1"/>
  <c r="D3012" i="106" s="1"/>
  <c r="K189" i="29"/>
  <c r="B3008" i="106" s="1"/>
  <c r="D3008" i="106" s="1"/>
  <c r="B2990" i="106"/>
  <c r="D2990" i="106" s="1"/>
  <c r="B4083" i="106"/>
  <c r="D4083" i="106" s="1"/>
  <c r="E184" i="29"/>
  <c r="F259" i="5"/>
  <c r="B6836" i="106" s="1"/>
  <c r="D6836" i="106" s="1"/>
  <c r="B6617" i="106"/>
  <c r="D6617" i="106" s="1"/>
  <c r="F25" i="34"/>
  <c r="B5576" i="106"/>
  <c r="D5576" i="106" s="1"/>
  <c r="B5570" i="106"/>
  <c r="D5570" i="106" s="1"/>
  <c r="F88" i="34"/>
  <c r="F18" i="34"/>
  <c r="B5564" i="106"/>
  <c r="D5564" i="106" s="1"/>
  <c r="B5556" i="106"/>
  <c r="D5556" i="106" s="1"/>
  <c r="B5583" i="106"/>
  <c r="D5583" i="106" s="1"/>
  <c r="B2829" i="106"/>
  <c r="D2829" i="106" s="1"/>
  <c r="B5558" i="106"/>
  <c r="D5558" i="106" s="1"/>
  <c r="F18" i="5"/>
  <c r="B5562" i="106" s="1"/>
  <c r="D5562" i="106" s="1"/>
  <c r="B2832" i="106"/>
  <c r="D2832" i="106" s="1"/>
  <c r="K202" i="29"/>
  <c r="B2842" i="106" s="1"/>
  <c r="D2842" i="106" s="1"/>
  <c r="B2995" i="106"/>
  <c r="D2995" i="106" s="1"/>
  <c r="D184" i="29"/>
  <c r="B4082" i="106"/>
  <c r="D4082" i="106" s="1"/>
  <c r="B4804" i="106"/>
  <c r="D4804" i="106" s="1"/>
  <c r="F184" i="5"/>
  <c r="B5658" i="106" s="1"/>
  <c r="D5658" i="106" s="1"/>
  <c r="B7764" i="106"/>
  <c r="D7764" i="106" s="1"/>
  <c r="F93" i="34"/>
  <c r="F22" i="34"/>
  <c r="B6313" i="106"/>
  <c r="D6313" i="106" s="1"/>
  <c r="F84" i="34"/>
  <c r="B5563" i="106"/>
  <c r="D5563" i="106" s="1"/>
  <c r="B7069" i="106"/>
  <c r="D7069" i="106" s="1"/>
  <c r="K207" i="29"/>
  <c r="B7070" i="106" s="1"/>
  <c r="D7070" i="106" s="1"/>
  <c r="B5024" i="106"/>
  <c r="D5024" i="106" s="1"/>
  <c r="B5014" i="106"/>
  <c r="D5014" i="106" s="1"/>
  <c r="D71" i="36"/>
  <c r="B2831" i="106"/>
  <c r="D2831" i="106" s="1"/>
  <c r="K201" i="29"/>
  <c r="B2841" i="106" s="1"/>
  <c r="D2841" i="106" s="1"/>
  <c r="K188" i="29"/>
  <c r="B2989" i="106"/>
  <c r="D2989" i="106" s="1"/>
  <c r="B2820" i="106"/>
  <c r="D2820" i="106" s="1"/>
  <c r="K183" i="29"/>
  <c r="B1380" i="106" s="1"/>
  <c r="D1380" i="106" s="1"/>
  <c r="B1338" i="106"/>
  <c r="D1338" i="106" s="1"/>
  <c r="B1335" i="106"/>
  <c r="D1335" i="106" s="1"/>
  <c r="B5665" i="106"/>
  <c r="D5665" i="106" s="1"/>
  <c r="B5615" i="106"/>
  <c r="D5615" i="106" s="1"/>
  <c r="F154" i="5"/>
  <c r="B5618" i="106" s="1"/>
  <c r="D5618" i="106" s="1"/>
  <c r="B5589" i="106"/>
  <c r="D5589" i="106" s="1"/>
  <c r="F114" i="5"/>
  <c r="B5575" i="106"/>
  <c r="D5575" i="106" s="1"/>
  <c r="F92" i="34"/>
  <c r="B4342" i="106"/>
  <c r="D4342" i="106" s="1"/>
  <c r="B5692" i="106"/>
  <c r="D5692" i="106" s="1"/>
  <c r="F32" i="34"/>
  <c r="K199" i="29"/>
  <c r="B1371" i="106"/>
  <c r="D1371" i="106" s="1"/>
  <c r="B5567" i="106"/>
  <c r="D5567" i="106" s="1"/>
  <c r="F19" i="34"/>
  <c r="B2827" i="106"/>
  <c r="D2827" i="106" s="1"/>
  <c r="H204" i="29"/>
  <c r="B2998" i="106"/>
  <c r="D2998" i="106" s="1"/>
  <c r="B7060" i="106"/>
  <c r="D7060" i="106" s="1"/>
  <c r="F216" i="5"/>
  <c r="B4413" i="106" s="1"/>
  <c r="D4413" i="106" s="1"/>
  <c r="B5673" i="106"/>
  <c r="D5673" i="106" s="1"/>
  <c r="B5664" i="106"/>
  <c r="D5664" i="106" s="1"/>
  <c r="F178" i="5"/>
  <c r="B5654" i="106"/>
  <c r="D5654" i="106" s="1"/>
  <c r="F131" i="5"/>
  <c r="B5600" i="106"/>
  <c r="D5600" i="106" s="1"/>
  <c r="B5574" i="106"/>
  <c r="D5574" i="106" s="1"/>
  <c r="F24" i="34"/>
  <c r="B5585" i="106"/>
  <c r="D5585" i="106" s="1"/>
  <c r="L238" i="29"/>
  <c r="L270" i="29"/>
  <c r="L285" i="29"/>
  <c r="B1451" i="106"/>
  <c r="D1451" i="106" s="1"/>
  <c r="K292" i="29"/>
  <c r="B1514" i="106" s="1"/>
  <c r="D1514" i="106" s="1"/>
  <c r="B1445" i="106"/>
  <c r="D1445" i="106" s="1"/>
  <c r="K278" i="29"/>
  <c r="B1509" i="106" s="1"/>
  <c r="D1509" i="106" s="1"/>
  <c r="B1432" i="106"/>
  <c r="D1432" i="106" s="1"/>
  <c r="K267" i="29"/>
  <c r="B1496" i="106" s="1"/>
  <c r="D1496" i="106" s="1"/>
  <c r="K255" i="29"/>
  <c r="B7096" i="106" s="1"/>
  <c r="D7096" i="106" s="1"/>
  <c r="B7095" i="106"/>
  <c r="D7095" i="106" s="1"/>
  <c r="K247" i="29"/>
  <c r="B2726" i="106" s="1"/>
  <c r="D2726" i="106" s="1"/>
  <c r="B2725" i="106"/>
  <c r="D2725" i="106" s="1"/>
  <c r="K235" i="29"/>
  <c r="B1478" i="106" s="1"/>
  <c r="D1478" i="106" s="1"/>
  <c r="B1414" i="106"/>
  <c r="D1414" i="106" s="1"/>
  <c r="K224" i="29"/>
  <c r="B1409" i="106"/>
  <c r="D1409" i="106" s="1"/>
  <c r="B7073" i="106"/>
  <c r="D7073" i="106" s="1"/>
  <c r="K216" i="29"/>
  <c r="B5858" i="106"/>
  <c r="D5858" i="106" s="1"/>
  <c r="F168" i="34"/>
  <c r="B6805" i="106"/>
  <c r="D6805" i="106" s="1"/>
  <c r="B6741" i="106"/>
  <c r="D6741" i="106" s="1"/>
  <c r="B6678" i="106"/>
  <c r="D6678" i="106" s="1"/>
  <c r="B6618" i="106"/>
  <c r="D6618" i="106" s="1"/>
  <c r="B5798" i="106"/>
  <c r="D5798" i="106" s="1"/>
  <c r="B6392" i="106"/>
  <c r="D6392" i="106" s="1"/>
  <c r="B5757" i="106"/>
  <c r="D5757" i="106" s="1"/>
  <c r="B5754" i="106"/>
  <c r="D5754" i="106" s="1"/>
  <c r="G144" i="5"/>
  <c r="B4886" i="106"/>
  <c r="D4886" i="106" s="1"/>
  <c r="B5731" i="106"/>
  <c r="D5731" i="106" s="1"/>
  <c r="B3259" i="106"/>
  <c r="D3259" i="106" s="1"/>
  <c r="G76" i="4"/>
  <c r="B3260" i="106" s="1"/>
  <c r="D3260" i="106" s="1"/>
  <c r="K291" i="29"/>
  <c r="B2846" i="106" s="1"/>
  <c r="D2846" i="106" s="1"/>
  <c r="B2844" i="106"/>
  <c r="D2844" i="106" s="1"/>
  <c r="D277" i="29"/>
  <c r="B1444" i="106" s="1"/>
  <c r="D1444" i="106" s="1"/>
  <c r="B1431" i="106"/>
  <c r="D1431" i="106" s="1"/>
  <c r="K266" i="29"/>
  <c r="B1495" i="106" s="1"/>
  <c r="D1495" i="106" s="1"/>
  <c r="B7093" i="106"/>
  <c r="D7093" i="106" s="1"/>
  <c r="K254" i="29"/>
  <c r="B7094" i="106" s="1"/>
  <c r="D7094" i="106" s="1"/>
  <c r="B1423" i="106"/>
  <c r="D1423" i="106" s="1"/>
  <c r="K246" i="29"/>
  <c r="B1487" i="106" s="1"/>
  <c r="D1487" i="106" s="1"/>
  <c r="B1413" i="106"/>
  <c r="D1413" i="106" s="1"/>
  <c r="K234" i="29"/>
  <c r="B1477" i="106" s="1"/>
  <c r="D1477" i="106" s="1"/>
  <c r="K223" i="29"/>
  <c r="B1472" i="106" s="1"/>
  <c r="D1472" i="106" s="1"/>
  <c r="B1408" i="106"/>
  <c r="D1408" i="106" s="1"/>
  <c r="D229" i="29"/>
  <c r="K215" i="29"/>
  <c r="B3387" i="106"/>
  <c r="D3387" i="106" s="1"/>
  <c r="B5856" i="106"/>
  <c r="D5856" i="106" s="1"/>
  <c r="F167" i="34"/>
  <c r="F156" i="34"/>
  <c r="B6797" i="106"/>
  <c r="D6797" i="106" s="1"/>
  <c r="B6733" i="106"/>
  <c r="D6733" i="106" s="1"/>
  <c r="B6670" i="106"/>
  <c r="D6670" i="106" s="1"/>
  <c r="F143" i="34"/>
  <c r="B4919" i="106"/>
  <c r="D4919" i="106" s="1"/>
  <c r="B6349" i="106"/>
  <c r="D6349" i="106" s="1"/>
  <c r="B2843" i="106"/>
  <c r="D2843" i="106" s="1"/>
  <c r="K290" i="29"/>
  <c r="B2845" i="106" s="1"/>
  <c r="D2845" i="106" s="1"/>
  <c r="B1440" i="106"/>
  <c r="D1440" i="106" s="1"/>
  <c r="K275" i="29"/>
  <c r="B1504" i="106" s="1"/>
  <c r="D1504" i="106" s="1"/>
  <c r="B1430" i="106"/>
  <c r="D1430" i="106" s="1"/>
  <c r="K265" i="29"/>
  <c r="B1494" i="106" s="1"/>
  <c r="D1494" i="106" s="1"/>
  <c r="B7091" i="106"/>
  <c r="D7091" i="106" s="1"/>
  <c r="K253" i="29"/>
  <c r="B7092" i="106" s="1"/>
  <c r="D7092" i="106" s="1"/>
  <c r="B1422" i="106"/>
  <c r="D1422" i="106" s="1"/>
  <c r="K245" i="29"/>
  <c r="B1412" i="106"/>
  <c r="D1412" i="106" s="1"/>
  <c r="K233" i="29"/>
  <c r="B1476" i="106" s="1"/>
  <c r="D1476" i="106" s="1"/>
  <c r="K222" i="29"/>
  <c r="B1471" i="106" s="1"/>
  <c r="D1471" i="106" s="1"/>
  <c r="B1407" i="106"/>
  <c r="D1407" i="106" s="1"/>
  <c r="B4864" i="106"/>
  <c r="D4864" i="106" s="1"/>
  <c r="B4417" i="106"/>
  <c r="D4417" i="106" s="1"/>
  <c r="F148" i="34"/>
  <c r="B6724" i="106"/>
  <c r="D6724" i="106" s="1"/>
  <c r="B5785" i="106"/>
  <c r="D5785" i="106" s="1"/>
  <c r="G191" i="5"/>
  <c r="B6387" i="106"/>
  <c r="D6387" i="106" s="1"/>
  <c r="L243" i="29"/>
  <c r="B1450" i="106"/>
  <c r="D1450" i="106" s="1"/>
  <c r="K289" i="29"/>
  <c r="B1513" i="106" s="1"/>
  <c r="D1513" i="106" s="1"/>
  <c r="B1439" i="106"/>
  <c r="D1439" i="106" s="1"/>
  <c r="K274" i="29"/>
  <c r="B1503" i="106" s="1"/>
  <c r="D1503" i="106" s="1"/>
  <c r="B1429" i="106"/>
  <c r="D1429" i="106" s="1"/>
  <c r="K264" i="29"/>
  <c r="B1493" i="106" s="1"/>
  <c r="D1493" i="106" s="1"/>
  <c r="D27" i="108"/>
  <c r="K252" i="29"/>
  <c r="B7090" i="106" s="1"/>
  <c r="D7090" i="106" s="1"/>
  <c r="B7089" i="106"/>
  <c r="D7089" i="106" s="1"/>
  <c r="B1420" i="106"/>
  <c r="D1420" i="106" s="1"/>
  <c r="K242" i="29"/>
  <c r="B1484" i="106" s="1"/>
  <c r="D1484" i="106" s="1"/>
  <c r="B1411" i="106"/>
  <c r="D1411" i="106" s="1"/>
  <c r="K232" i="29"/>
  <c r="D238" i="29"/>
  <c r="K221" i="29"/>
  <c r="B1406" i="106"/>
  <c r="D1406" i="106" s="1"/>
  <c r="D17" i="171"/>
  <c r="F173" i="34"/>
  <c r="B4448" i="106"/>
  <c r="D4448" i="106" s="1"/>
  <c r="B5855" i="106"/>
  <c r="D5855" i="106" s="1"/>
  <c r="B6781" i="106"/>
  <c r="D6781" i="106" s="1"/>
  <c r="F147" i="34"/>
  <c r="B6716" i="106"/>
  <c r="D6716" i="106" s="1"/>
  <c r="F141" i="34"/>
  <c r="B6654" i="106"/>
  <c r="D6654" i="106" s="1"/>
  <c r="G228" i="5"/>
  <c r="B5844" i="106"/>
  <c r="D5844" i="106" s="1"/>
  <c r="B6384" i="106"/>
  <c r="D6384" i="106" s="1"/>
  <c r="F117" i="34"/>
  <c r="B6380" i="106"/>
  <c r="D6380" i="106" s="1"/>
  <c r="G154" i="5"/>
  <c r="B5742" i="106"/>
  <c r="D5742" i="106" s="1"/>
  <c r="B5734" i="106"/>
  <c r="D5734" i="106" s="1"/>
  <c r="G108" i="5"/>
  <c r="B5737" i="106" s="1"/>
  <c r="D5737" i="106" s="1"/>
  <c r="B6402" i="106"/>
  <c r="D6402" i="106" s="1"/>
  <c r="B5823" i="106"/>
  <c r="D5823" i="106" s="1"/>
  <c r="B5821" i="106"/>
  <c r="D5821" i="106" s="1"/>
  <c r="F132" i="34"/>
  <c r="B5817" i="106"/>
  <c r="D5817" i="106" s="1"/>
  <c r="L277" i="29"/>
  <c r="B1449" i="106"/>
  <c r="D1449" i="106" s="1"/>
  <c r="K288" i="29"/>
  <c r="H293" i="29"/>
  <c r="B1438" i="106"/>
  <c r="D1438" i="106" s="1"/>
  <c r="K273" i="29"/>
  <c r="B1502" i="106" s="1"/>
  <c r="D1502" i="106" s="1"/>
  <c r="B1428" i="106"/>
  <c r="D1428" i="106" s="1"/>
  <c r="D270" i="29"/>
  <c r="B1436" i="106" s="1"/>
  <c r="D1436" i="106" s="1"/>
  <c r="K263" i="29"/>
  <c r="D26" i="108"/>
  <c r="K251" i="29"/>
  <c r="B7088" i="106" s="1"/>
  <c r="D7088" i="106" s="1"/>
  <c r="B7087" i="106"/>
  <c r="D7087" i="106" s="1"/>
  <c r="B1419" i="106"/>
  <c r="D1419" i="106" s="1"/>
  <c r="K241" i="29"/>
  <c r="B1483" i="106" s="1"/>
  <c r="D1483" i="106" s="1"/>
  <c r="K228" i="29"/>
  <c r="B3392" i="106" s="1"/>
  <c r="D3392" i="106" s="1"/>
  <c r="B3389" i="106"/>
  <c r="D3389" i="106" s="1"/>
  <c r="K220" i="29"/>
  <c r="B7077" i="106"/>
  <c r="D7077" i="106" s="1"/>
  <c r="B4361" i="106"/>
  <c r="D4361" i="106" s="1"/>
  <c r="F164" i="34"/>
  <c r="B6843" i="106"/>
  <c r="D6843" i="106" s="1"/>
  <c r="B6773" i="106"/>
  <c r="D6773" i="106" s="1"/>
  <c r="B6646" i="106"/>
  <c r="D6646" i="106" s="1"/>
  <c r="G184" i="5"/>
  <c r="B4810" i="106"/>
  <c r="D4810" i="106" s="1"/>
  <c r="B5768" i="106"/>
  <c r="D5768" i="106" s="1"/>
  <c r="G18" i="5"/>
  <c r="B5730" i="106" s="1"/>
  <c r="D5730" i="106" s="1"/>
  <c r="B5726" i="106"/>
  <c r="D5726" i="106" s="1"/>
  <c r="G34" i="3"/>
  <c r="B6129" i="106"/>
  <c r="D6129" i="106" s="1"/>
  <c r="K284" i="29"/>
  <c r="B4166" i="106" s="1"/>
  <c r="D4166" i="106" s="1"/>
  <c r="B4165" i="106"/>
  <c r="D4165" i="106" s="1"/>
  <c r="B1437" i="106"/>
  <c r="D1437" i="106" s="1"/>
  <c r="K272" i="29"/>
  <c r="K260" i="29"/>
  <c r="B1490" i="106" s="1"/>
  <c r="D1490" i="106" s="1"/>
  <c r="B1426" i="106"/>
  <c r="D1426" i="106" s="1"/>
  <c r="K250" i="29"/>
  <c r="B7086" i="106" s="1"/>
  <c r="D7086" i="106" s="1"/>
  <c r="B7085" i="106"/>
  <c r="D7085" i="106" s="1"/>
  <c r="D243" i="29"/>
  <c r="K240" i="29"/>
  <c r="B1418" i="106"/>
  <c r="D1418" i="106" s="1"/>
  <c r="B1402" i="106"/>
  <c r="D1402" i="106" s="1"/>
  <c r="K227" i="29"/>
  <c r="B1466" i="106" s="1"/>
  <c r="D1466" i="106" s="1"/>
  <c r="K219" i="29"/>
  <c r="B3065" i="106" s="1"/>
  <c r="D3065" i="106" s="1"/>
  <c r="B3064" i="106"/>
  <c r="D3064" i="106" s="1"/>
  <c r="B4192" i="106"/>
  <c r="D4192" i="106" s="1"/>
  <c r="B6829" i="106"/>
  <c r="D6829" i="106" s="1"/>
  <c r="B6765" i="106"/>
  <c r="D6765" i="106" s="1"/>
  <c r="B6638" i="106"/>
  <c r="D6638" i="106" s="1"/>
  <c r="B5767" i="106"/>
  <c r="D5767" i="106" s="1"/>
  <c r="B5739" i="106"/>
  <c r="D5739" i="106" s="1"/>
  <c r="K283" i="29"/>
  <c r="B3721" i="106"/>
  <c r="D3721" i="106" s="1"/>
  <c r="D285" i="29"/>
  <c r="B3722" i="106" s="1"/>
  <c r="D3722" i="106" s="1"/>
  <c r="K269" i="29"/>
  <c r="B1498" i="106" s="1"/>
  <c r="D1498" i="106" s="1"/>
  <c r="B1434" i="106"/>
  <c r="D1434" i="106" s="1"/>
  <c r="D261" i="29"/>
  <c r="K259" i="29"/>
  <c r="B1425" i="106"/>
  <c r="D1425" i="106" s="1"/>
  <c r="K249" i="29"/>
  <c r="B7084" i="106" s="1"/>
  <c r="D7084" i="106" s="1"/>
  <c r="B7083" i="106"/>
  <c r="D7083" i="106" s="1"/>
  <c r="K237" i="29"/>
  <c r="B1480" i="106" s="1"/>
  <c r="D1480" i="106" s="1"/>
  <c r="B1416" i="106"/>
  <c r="D1416" i="106" s="1"/>
  <c r="B7079" i="106"/>
  <c r="D7079" i="106" s="1"/>
  <c r="K226" i="29"/>
  <c r="B7080" i="106" s="1"/>
  <c r="D7080" i="106" s="1"/>
  <c r="K218" i="29"/>
  <c r="B7075" i="106"/>
  <c r="D7075" i="106" s="1"/>
  <c r="B4421" i="106"/>
  <c r="D4421" i="106" s="1"/>
  <c r="B6821" i="106"/>
  <c r="D6821" i="106" s="1"/>
  <c r="F159" i="34"/>
  <c r="B6757" i="106"/>
  <c r="D6757" i="106" s="1"/>
  <c r="F151" i="34"/>
  <c r="B6693" i="106"/>
  <c r="D6693" i="106" s="1"/>
  <c r="B6630" i="106"/>
  <c r="D6630" i="106" s="1"/>
  <c r="B5799" i="106"/>
  <c r="D5799" i="106" s="1"/>
  <c r="G216" i="5"/>
  <c r="B5790" i="106"/>
  <c r="D5790" i="106" s="1"/>
  <c r="B5779" i="106"/>
  <c r="D5779" i="106" s="1"/>
  <c r="G178" i="5"/>
  <c r="F109" i="34"/>
  <c r="B4353" i="106"/>
  <c r="D4353" i="106" s="1"/>
  <c r="B7752" i="106"/>
  <c r="D7752" i="106" s="1"/>
  <c r="G44" i="4"/>
  <c r="B1447" i="106"/>
  <c r="D1447" i="106" s="1"/>
  <c r="K280" i="29"/>
  <c r="K268" i="29"/>
  <c r="B1497" i="106" s="1"/>
  <c r="D1497" i="106" s="1"/>
  <c r="B1433" i="106"/>
  <c r="D1433" i="106" s="1"/>
  <c r="K256" i="29"/>
  <c r="B7098" i="106" s="1"/>
  <c r="D7098" i="106" s="1"/>
  <c r="B7097" i="106"/>
  <c r="D7097" i="106" s="1"/>
  <c r="D257" i="29"/>
  <c r="B1424" i="106" s="1"/>
  <c r="D1424" i="106" s="1"/>
  <c r="K236" i="29"/>
  <c r="B1479" i="106" s="1"/>
  <c r="D1479" i="106" s="1"/>
  <c r="B1415" i="106"/>
  <c r="D1415" i="106" s="1"/>
  <c r="B1396" i="106"/>
  <c r="D1396" i="106" s="1"/>
  <c r="K225" i="29"/>
  <c r="B1460" i="106" s="1"/>
  <c r="D1460" i="106" s="1"/>
  <c r="B3388" i="106"/>
  <c r="D3388" i="106" s="1"/>
  <c r="K217" i="29"/>
  <c r="B3391" i="106" s="1"/>
  <c r="D3391" i="106" s="1"/>
  <c r="B5860" i="106"/>
  <c r="D5860" i="106" s="1"/>
  <c r="B6813" i="106"/>
  <c r="D6813" i="106" s="1"/>
  <c r="F158" i="34"/>
  <c r="B4335" i="106"/>
  <c r="D4335" i="106" s="1"/>
  <c r="B5763" i="106"/>
  <c r="D5763" i="106" s="1"/>
  <c r="B5724" i="106"/>
  <c r="D5724" i="106" s="1"/>
  <c r="B6404" i="106"/>
  <c r="D6404" i="106" s="1"/>
  <c r="B5822" i="106"/>
  <c r="D5822" i="106" s="1"/>
  <c r="B5818" i="106"/>
  <c r="D5818" i="106" s="1"/>
  <c r="B7106" i="106"/>
  <c r="D7106" i="106" s="1"/>
  <c r="H310" i="29"/>
  <c r="B7115" i="106" s="1"/>
  <c r="D7115" i="106" s="1"/>
  <c r="B1525" i="106"/>
  <c r="D1525" i="106" s="1"/>
  <c r="D303" i="29"/>
  <c r="B5907" i="106"/>
  <c r="D5907" i="106" s="1"/>
  <c r="H184" i="5"/>
  <c r="B5908" i="106" s="1"/>
  <c r="D5908" i="106" s="1"/>
  <c r="B9" i="7"/>
  <c r="B5871" i="106"/>
  <c r="D5871" i="106" s="1"/>
  <c r="E38" i="4"/>
  <c r="B6286" i="106" s="1"/>
  <c r="D6286" i="106" s="1"/>
  <c r="B6245" i="106"/>
  <c r="D6245" i="106" s="1"/>
  <c r="B7753" i="106"/>
  <c r="D7753" i="106" s="1"/>
  <c r="H44" i="4"/>
  <c r="K306" i="29"/>
  <c r="B7105" i="106"/>
  <c r="D7105" i="106" s="1"/>
  <c r="E310" i="29"/>
  <c r="B7114" i="106" s="1"/>
  <c r="D7114" i="106" s="1"/>
  <c r="B1522" i="106"/>
  <c r="D1522" i="106" s="1"/>
  <c r="K302" i="29"/>
  <c r="B1558" i="106" s="1"/>
  <c r="D1558" i="106" s="1"/>
  <c r="C303" i="29"/>
  <c r="B1519" i="106"/>
  <c r="D1519" i="106" s="1"/>
  <c r="K301" i="29"/>
  <c r="H172" i="5"/>
  <c r="B5899" i="106" s="1"/>
  <c r="D5899" i="106" s="1"/>
  <c r="B6371" i="106"/>
  <c r="D6371" i="106" s="1"/>
  <c r="J303" i="29"/>
  <c r="B7100" i="106"/>
  <c r="D7100" i="106" s="1"/>
  <c r="H178" i="5"/>
  <c r="B4365" i="106"/>
  <c r="D4365" i="106" s="1"/>
  <c r="B7043" i="106"/>
  <c r="D7043" i="106" s="1"/>
  <c r="B7112" i="106"/>
  <c r="D7112" i="106" s="1"/>
  <c r="K309" i="29"/>
  <c r="B3717" i="106" s="1"/>
  <c r="D3717" i="106" s="1"/>
  <c r="I303" i="29"/>
  <c r="B7099" i="106"/>
  <c r="D7099" i="106" s="1"/>
  <c r="B1549" i="106"/>
  <c r="D1549" i="106" s="1"/>
  <c r="H303" i="29"/>
  <c r="H18" i="5"/>
  <c r="B5878" i="106" s="1"/>
  <c r="D5878" i="106" s="1"/>
  <c r="B5874" i="106"/>
  <c r="D5874" i="106" s="1"/>
  <c r="H108" i="5"/>
  <c r="B5886" i="106" s="1"/>
  <c r="D5886" i="106" s="1"/>
  <c r="B5882" i="106"/>
  <c r="D5882" i="106" s="1"/>
  <c r="B6130" i="106"/>
  <c r="D6130" i="106" s="1"/>
  <c r="H34" i="3"/>
  <c r="E37" i="4"/>
  <c r="B6242" i="106"/>
  <c r="D6242" i="106" s="1"/>
  <c r="K308" i="29"/>
  <c r="B4100" i="106" s="1"/>
  <c r="D4100" i="106" s="1"/>
  <c r="B7110" i="106"/>
  <c r="D7110" i="106" s="1"/>
  <c r="B1543" i="106"/>
  <c r="D1543" i="106" s="1"/>
  <c r="G303" i="29"/>
  <c r="H259" i="5"/>
  <c r="B6619" i="106"/>
  <c r="D6619" i="106" s="1"/>
  <c r="B5887" i="106"/>
  <c r="D5887" i="106" s="1"/>
  <c r="H121" i="5"/>
  <c r="B6299" i="106"/>
  <c r="D6299" i="106" s="1"/>
  <c r="B14" i="7"/>
  <c r="F303" i="29"/>
  <c r="B1537" i="106"/>
  <c r="D1537" i="106" s="1"/>
  <c r="B2848" i="106"/>
  <c r="D2848" i="106" s="1"/>
  <c r="H76" i="4"/>
  <c r="B3298" i="106" s="1"/>
  <c r="D3298" i="106" s="1"/>
  <c r="K307" i="29"/>
  <c r="B4099" i="106" s="1"/>
  <c r="D4099" i="106" s="1"/>
  <c r="B7108" i="106"/>
  <c r="D7108" i="106" s="1"/>
  <c r="B1531" i="106"/>
  <c r="D1531" i="106" s="1"/>
  <c r="E303" i="29"/>
  <c r="B5919" i="106"/>
  <c r="D5919" i="106" s="1"/>
  <c r="I18" i="5"/>
  <c r="B5923" i="106" s="1"/>
  <c r="D5923" i="106" s="1"/>
  <c r="B4215" i="106"/>
  <c r="D4215" i="106" s="1"/>
  <c r="I172" i="5"/>
  <c r="B6139" i="106"/>
  <c r="D6139" i="106" s="1"/>
  <c r="I34" i="3"/>
  <c r="B5927" i="106"/>
  <c r="D5927" i="106" s="1"/>
  <c r="I108" i="5"/>
  <c r="B5930" i="106" s="1"/>
  <c r="D5930" i="106" s="1"/>
  <c r="B5917" i="106"/>
  <c r="D5917" i="106" s="1"/>
  <c r="B2772" i="106"/>
  <c r="D2772" i="106" s="1"/>
  <c r="I44" i="4"/>
  <c r="B3317" i="106" s="1"/>
  <c r="D3317" i="106" s="1"/>
  <c r="B7125" i="106"/>
  <c r="D7125" i="106" s="1"/>
  <c r="J330" i="29"/>
  <c r="I330" i="29"/>
  <c r="B7124" i="106"/>
  <c r="D7124" i="106" s="1"/>
  <c r="B6398" i="106"/>
  <c r="D6398" i="106" s="1"/>
  <c r="J178" i="5"/>
  <c r="H330" i="29"/>
  <c r="B7123" i="106"/>
  <c r="D7123" i="106" s="1"/>
  <c r="B6395" i="106"/>
  <c r="D6395" i="106" s="1"/>
  <c r="B6300" i="106"/>
  <c r="D6300" i="106" s="1"/>
  <c r="B6319" i="106"/>
  <c r="D6319" i="106" s="1"/>
  <c r="J108" i="5"/>
  <c r="B6351" i="106" s="1"/>
  <c r="D6351" i="106" s="1"/>
  <c r="B6131" i="106"/>
  <c r="D6131" i="106" s="1"/>
  <c r="J34" i="3"/>
  <c r="G330" i="29"/>
  <c r="B7122" i="106"/>
  <c r="D7122" i="106" s="1"/>
  <c r="B6239" i="106"/>
  <c r="D6239" i="106" s="1"/>
  <c r="J76" i="4"/>
  <c r="B6261" i="106" s="1"/>
  <c r="D6261" i="106" s="1"/>
  <c r="J44" i="4"/>
  <c r="B7754" i="106"/>
  <c r="D7754" i="106" s="1"/>
  <c r="F330" i="29"/>
  <c r="B7121" i="106"/>
  <c r="D7121" i="106" s="1"/>
  <c r="B6373" i="106"/>
  <c r="D6373" i="106" s="1"/>
  <c r="J172" i="5"/>
  <c r="B6396" i="106" s="1"/>
  <c r="D6396" i="106" s="1"/>
  <c r="K339" i="29"/>
  <c r="B7213" i="106" s="1"/>
  <c r="D7213" i="106" s="1"/>
  <c r="B7212" i="106"/>
  <c r="D7212" i="106" s="1"/>
  <c r="E330" i="29"/>
  <c r="B7120" i="106"/>
  <c r="D7120" i="106" s="1"/>
  <c r="B6298" i="106"/>
  <c r="D6298" i="106" s="1"/>
  <c r="B11" i="7"/>
  <c r="B6353" i="106"/>
  <c r="D6353" i="106" s="1"/>
  <c r="J121" i="5"/>
  <c r="B7210" i="106"/>
  <c r="D7210" i="106" s="1"/>
  <c r="K338" i="29"/>
  <c r="B7211" i="106" s="1"/>
  <c r="D7211" i="106" s="1"/>
  <c r="B7119" i="106"/>
  <c r="D7119" i="106" s="1"/>
  <c r="D330" i="29"/>
  <c r="H340" i="29"/>
  <c r="B7214" i="106" s="1"/>
  <c r="D7214" i="106" s="1"/>
  <c r="B7208" i="106"/>
  <c r="D7208" i="106" s="1"/>
  <c r="K337" i="29"/>
  <c r="B7697" i="106"/>
  <c r="D7697" i="106" s="1"/>
  <c r="K329" i="29"/>
  <c r="B7705" i="106" s="1"/>
  <c r="D7705" i="106" s="1"/>
  <c r="K328" i="29"/>
  <c r="B7696" i="106" s="1"/>
  <c r="D7696" i="106" s="1"/>
  <c r="B7688" i="106"/>
  <c r="D7688" i="106" s="1"/>
  <c r="B7190" i="106"/>
  <c r="D7190" i="106" s="1"/>
  <c r="K327" i="29"/>
  <c r="B7198" i="106" s="1"/>
  <c r="D7198" i="106" s="1"/>
  <c r="K326" i="29"/>
  <c r="B7189" i="106" s="1"/>
  <c r="D7189" i="106" s="1"/>
  <c r="B7181" i="106"/>
  <c r="D7181" i="106" s="1"/>
  <c r="K325" i="29"/>
  <c r="B7180" i="106" s="1"/>
  <c r="D7180" i="106" s="1"/>
  <c r="B7172" i="106"/>
  <c r="D7172" i="106" s="1"/>
  <c r="B7163" i="106"/>
  <c r="D7163" i="106" s="1"/>
  <c r="K324" i="29"/>
  <c r="B7171" i="106" s="1"/>
  <c r="D7171" i="106" s="1"/>
  <c r="B7154" i="106"/>
  <c r="D7154" i="106" s="1"/>
  <c r="K323" i="29"/>
  <c r="B7162" i="106" s="1"/>
  <c r="D7162" i="106" s="1"/>
  <c r="B7145" i="106"/>
  <c r="D7145" i="106" s="1"/>
  <c r="K322" i="29"/>
  <c r="B7153" i="106" s="1"/>
  <c r="D7153" i="106" s="1"/>
  <c r="K321" i="29"/>
  <c r="B7144" i="106" s="1"/>
  <c r="D7144" i="106" s="1"/>
  <c r="B7136" i="106"/>
  <c r="D7136" i="106" s="1"/>
  <c r="B7127" i="106"/>
  <c r="D7127" i="106" s="1"/>
  <c r="K320" i="29"/>
  <c r="B7135" i="106" s="1"/>
  <c r="D7135" i="106" s="1"/>
  <c r="B7118" i="106"/>
  <c r="D7118" i="106" s="1"/>
  <c r="C330" i="29"/>
  <c r="K319" i="29"/>
  <c r="B6302" i="106"/>
  <c r="D6302" i="106" s="1"/>
  <c r="J18" i="5"/>
  <c r="B6306" i="106" s="1"/>
  <c r="D6306" i="106" s="1"/>
  <c r="H362" i="29"/>
  <c r="B3657" i="106"/>
  <c r="D3657" i="106" s="1"/>
  <c r="K360" i="29"/>
  <c r="B3624" i="106"/>
  <c r="D3624" i="106" s="1"/>
  <c r="D350" i="29"/>
  <c r="B3638" i="106"/>
  <c r="D3638" i="106" s="1"/>
  <c r="F350" i="29"/>
  <c r="L362" i="29"/>
  <c r="L365" i="29" s="1"/>
  <c r="K364" i="29"/>
  <c r="B7746" i="106" s="1"/>
  <c r="D7746" i="106" s="1"/>
  <c r="B7745" i="106"/>
  <c r="D7745" i="106" s="1"/>
  <c r="K356" i="29"/>
  <c r="K357" i="29" s="1"/>
  <c r="K15" i="4" s="1"/>
  <c r="B3573" i="106" s="1"/>
  <c r="D3573" i="106" s="1"/>
  <c r="H357" i="29"/>
  <c r="K351" i="29"/>
  <c r="B3671" i="106" s="1"/>
  <c r="D3671" i="106" s="1"/>
  <c r="B3620" i="106"/>
  <c r="D3620" i="106" s="1"/>
  <c r="B3618" i="106"/>
  <c r="D3618" i="106" s="1"/>
  <c r="K349" i="29"/>
  <c r="B3669" i="106" s="1"/>
  <c r="D3669" i="106" s="1"/>
  <c r="K348" i="29"/>
  <c r="C350" i="29"/>
  <c r="B3617" i="106"/>
  <c r="D3617" i="106" s="1"/>
  <c r="K12" i="5"/>
  <c r="B7240" i="106"/>
  <c r="D7240" i="106" s="1"/>
  <c r="K363" i="29"/>
  <c r="B7241" i="106" s="1"/>
  <c r="D7241" i="106" s="1"/>
  <c r="B6257" i="106"/>
  <c r="D6257" i="106" s="1"/>
  <c r="D68" i="36"/>
  <c r="B3579" i="106"/>
  <c r="D3579" i="106" s="1"/>
  <c r="J350" i="29"/>
  <c r="B7227" i="106"/>
  <c r="D7227" i="106" s="1"/>
  <c r="B4868" i="106"/>
  <c r="D4868" i="106" s="1"/>
  <c r="K273" i="5"/>
  <c r="B4442" i="106" s="1"/>
  <c r="D4442" i="106" s="1"/>
  <c r="B5993" i="106"/>
  <c r="D5993" i="106" s="1"/>
  <c r="B3631" i="106"/>
  <c r="D3631" i="106" s="1"/>
  <c r="E350" i="29"/>
  <c r="B5996" i="106"/>
  <c r="D5996" i="106" s="1"/>
  <c r="K108" i="5"/>
  <c r="B5999" i="106" s="1"/>
  <c r="D5999" i="106" s="1"/>
  <c r="B3546" i="106"/>
  <c r="D3546" i="106" s="1"/>
  <c r="D42" i="36"/>
  <c r="K13" i="3"/>
  <c r="B6132" i="106"/>
  <c r="D6132" i="106" s="1"/>
  <c r="B3578" i="106"/>
  <c r="D3578" i="106" s="1"/>
  <c r="B7226" i="106"/>
  <c r="D7226" i="106" s="1"/>
  <c r="I350" i="29"/>
  <c r="K184" i="5"/>
  <c r="B6016" i="106" s="1"/>
  <c r="D6016" i="106" s="1"/>
  <c r="B4816" i="106"/>
  <c r="D4816" i="106" s="1"/>
  <c r="B6374" i="106"/>
  <c r="D6374" i="106" s="1"/>
  <c r="K172" i="5"/>
  <c r="B5000" i="106" s="1"/>
  <c r="D5000" i="106" s="1"/>
  <c r="B3577" i="106"/>
  <c r="D3577" i="106" s="1"/>
  <c r="I48" i="4"/>
  <c r="B2106" i="106" s="1"/>
  <c r="D2106" i="106" s="1"/>
  <c r="B3652" i="106"/>
  <c r="D3652" i="106" s="1"/>
  <c r="H350" i="29"/>
  <c r="B12" i="7"/>
  <c r="B5985" i="106"/>
  <c r="D5985" i="106" s="1"/>
  <c r="B6296" i="106"/>
  <c r="D6296" i="106" s="1"/>
  <c r="D73" i="36"/>
  <c r="K18" i="5"/>
  <c r="B5992" i="106" s="1"/>
  <c r="D5992" i="106" s="1"/>
  <c r="B5988" i="106"/>
  <c r="D5988" i="106" s="1"/>
  <c r="K361" i="29"/>
  <c r="B7239" i="106" s="1"/>
  <c r="D7239" i="106" s="1"/>
  <c r="B7238" i="106"/>
  <c r="D7238" i="106" s="1"/>
  <c r="B6000" i="106"/>
  <c r="D6000" i="106" s="1"/>
  <c r="K121" i="5"/>
  <c r="I47" i="4"/>
  <c r="K44" i="4"/>
  <c r="B7755" i="106"/>
  <c r="D7755" i="106" s="1"/>
  <c r="G350" i="29"/>
  <c r="B3645" i="106"/>
  <c r="D3645" i="106" s="1"/>
  <c r="K178" i="5"/>
  <c r="B4368" i="106"/>
  <c r="D4368" i="106" s="1"/>
  <c r="B5341" i="106"/>
  <c r="D5341" i="106" s="1"/>
  <c r="B5880" i="106"/>
  <c r="D5880" i="106" s="1"/>
  <c r="B6785" i="106"/>
  <c r="D6785" i="106" s="1"/>
  <c r="B6410" i="106"/>
  <c r="D6410" i="106" s="1"/>
  <c r="B4375" i="106"/>
  <c r="D4375" i="106" s="1"/>
  <c r="B4792" i="106"/>
  <c r="D4792" i="106" s="1"/>
  <c r="B4312" i="106"/>
  <c r="D4312" i="106" s="1"/>
  <c r="B6365" i="106"/>
  <c r="D6365"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L257" i="29" l="1"/>
  <c r="H129" i="29"/>
  <c r="E194" i="29"/>
  <c r="F172" i="34"/>
  <c r="K76" i="4"/>
  <c r="B3586" i="106" s="1"/>
  <c r="D3586" i="106" s="1"/>
  <c r="K70" i="29"/>
  <c r="B1137" i="106" s="1"/>
  <c r="D1137" i="106" s="1"/>
  <c r="L57" i="29"/>
  <c r="C12" i="5"/>
  <c r="B5066" i="106" s="1"/>
  <c r="D5066" i="106" s="1"/>
  <c r="K64" i="29"/>
  <c r="K123" i="29"/>
  <c r="B1275" i="106" s="1"/>
  <c r="D1275" i="106" s="1"/>
  <c r="L303" i="29"/>
  <c r="I129" i="29"/>
  <c r="G259" i="5"/>
  <c r="B6837" i="106" s="1"/>
  <c r="D6837" i="106" s="1"/>
  <c r="L53" i="29"/>
  <c r="F121" i="5"/>
  <c r="F36" i="108"/>
  <c r="D33" i="29"/>
  <c r="B778" i="106" s="1"/>
  <c r="D778" i="106" s="1"/>
  <c r="K68" i="29"/>
  <c r="B1135" i="106" s="1"/>
  <c r="D1135" i="106" s="1"/>
  <c r="E30" i="108"/>
  <c r="G30" i="108"/>
  <c r="L293" i="29"/>
  <c r="J12" i="5"/>
  <c r="L229" i="29"/>
  <c r="F154" i="34"/>
  <c r="F129" i="29"/>
  <c r="F151" i="29" s="1"/>
  <c r="B1250" i="106" s="1"/>
  <c r="D1250" i="106" s="1"/>
  <c r="D129" i="29"/>
  <c r="L72" i="29"/>
  <c r="G121" i="5"/>
  <c r="B5748" i="106" s="1"/>
  <c r="D5748" i="106" s="1"/>
  <c r="F63" i="5"/>
  <c r="B5579" i="106" s="1"/>
  <c r="D5579" i="106" s="1"/>
  <c r="L127" i="29"/>
  <c r="L330" i="29"/>
  <c r="K69" i="29"/>
  <c r="L42" i="29"/>
  <c r="F160" i="34"/>
  <c r="F27" i="108"/>
  <c r="F224" i="5"/>
  <c r="B5703" i="106" s="1"/>
  <c r="D5703" i="106" s="1"/>
  <c r="L172" i="29"/>
  <c r="L174" i="29" s="1"/>
  <c r="J129" i="29"/>
  <c r="B5133" i="106"/>
  <c r="D5133" i="106" s="1"/>
  <c r="B727" i="106"/>
  <c r="D727" i="106" s="1"/>
  <c r="C74" i="29"/>
  <c r="B755" i="106" s="1"/>
  <c r="D755" i="106" s="1"/>
  <c r="E15" i="145"/>
  <c r="B1126" i="106"/>
  <c r="D1126" i="106" s="1"/>
  <c r="I47" i="29"/>
  <c r="B6924" i="106" s="1"/>
  <c r="D6924" i="106" s="1"/>
  <c r="B6918" i="106"/>
  <c r="D6918" i="106" s="1"/>
  <c r="K16" i="29"/>
  <c r="B1094" i="106" s="1"/>
  <c r="D1094" i="106" s="1"/>
  <c r="B706" i="106"/>
  <c r="D706" i="106" s="1"/>
  <c r="B6877" i="106"/>
  <c r="D6877" i="106" s="1"/>
  <c r="F39" i="34"/>
  <c r="B6879" i="106"/>
  <c r="D6879" i="106" s="1"/>
  <c r="F40" i="34"/>
  <c r="G72" i="29"/>
  <c r="B985" i="106" s="1"/>
  <c r="D985" i="106" s="1"/>
  <c r="B978" i="106"/>
  <c r="D978" i="106" s="1"/>
  <c r="K92" i="29"/>
  <c r="B2089" i="106" s="1"/>
  <c r="D2089" i="106" s="1"/>
  <c r="B6995" i="106"/>
  <c r="D6995" i="106" s="1"/>
  <c r="B894" i="106"/>
  <c r="D894" i="106" s="1"/>
  <c r="B836" i="106"/>
  <c r="D836" i="106" s="1"/>
  <c r="K6" i="29"/>
  <c r="B7763" i="106" s="1"/>
  <c r="D7763" i="106" s="1"/>
  <c r="B7762" i="106"/>
  <c r="D7762" i="106" s="1"/>
  <c r="C211" i="5"/>
  <c r="B5260" i="106" s="1"/>
  <c r="D5260" i="106" s="1"/>
  <c r="B5247" i="106"/>
  <c r="D5247" i="106" s="1"/>
  <c r="B5097" i="106"/>
  <c r="D5097" i="106" s="1"/>
  <c r="C82" i="5"/>
  <c r="B5102" i="106" s="1"/>
  <c r="D5102" i="106" s="1"/>
  <c r="F169" i="34"/>
  <c r="F140" i="34"/>
  <c r="F26" i="108"/>
  <c r="F123" i="34"/>
  <c r="B6905" i="106"/>
  <c r="D6905" i="106" s="1"/>
  <c r="J42" i="29"/>
  <c r="K37" i="29"/>
  <c r="B1110" i="106" s="1"/>
  <c r="D1110" i="106" s="1"/>
  <c r="I33" i="29"/>
  <c r="C40" i="5"/>
  <c r="B5087" i="106" s="1"/>
  <c r="D5087" i="106" s="1"/>
  <c r="B1104" i="106"/>
  <c r="D1104" i="106" s="1"/>
  <c r="F37" i="34"/>
  <c r="C216" i="5"/>
  <c r="B4411" i="106" s="1"/>
  <c r="D4411" i="106" s="1"/>
  <c r="B5256" i="106"/>
  <c r="D5256" i="106" s="1"/>
  <c r="B6401" i="106"/>
  <c r="D6401" i="106" s="1"/>
  <c r="C201" i="5"/>
  <c r="B5246" i="106" s="1"/>
  <c r="D5246" i="106" s="1"/>
  <c r="B5167" i="106"/>
  <c r="D5167" i="106" s="1"/>
  <c r="F108" i="34"/>
  <c r="B5122" i="106"/>
  <c r="D5122" i="106" s="1"/>
  <c r="C114" i="5"/>
  <c r="D12" i="171"/>
  <c r="F153" i="34"/>
  <c r="F149" i="34"/>
  <c r="F29" i="34" s="1"/>
  <c r="F144" i="34"/>
  <c r="I42" i="29"/>
  <c r="B6904" i="106"/>
  <c r="D6904" i="106" s="1"/>
  <c r="B2081" i="106"/>
  <c r="D2081" i="106" s="1"/>
  <c r="H102" i="29"/>
  <c r="B1047" i="106" s="1"/>
  <c r="D1047" i="106" s="1"/>
  <c r="L100" i="29"/>
  <c r="B6883" i="106"/>
  <c r="D6883" i="106" s="1"/>
  <c r="F42" i="34"/>
  <c r="L47" i="29"/>
  <c r="B6893" i="106"/>
  <c r="D6893" i="106" s="1"/>
  <c r="F47" i="34"/>
  <c r="B6895" i="106"/>
  <c r="D6895" i="106" s="1"/>
  <c r="F48" i="34"/>
  <c r="B5175" i="106"/>
  <c r="D5175" i="106" s="1"/>
  <c r="C154" i="5"/>
  <c r="B5178" i="106" s="1"/>
  <c r="D5178" i="106" s="1"/>
  <c r="B5181" i="106"/>
  <c r="D5181" i="106" s="1"/>
  <c r="F112" i="34"/>
  <c r="B5233" i="106"/>
  <c r="D5233" i="106" s="1"/>
  <c r="C191" i="5"/>
  <c r="F128" i="34" s="1"/>
  <c r="C228" i="5"/>
  <c r="B5304" i="106" s="1"/>
  <c r="D5304" i="106" s="1"/>
  <c r="B5301" i="106"/>
  <c r="D5301" i="106" s="1"/>
  <c r="F171" i="34"/>
  <c r="F113" i="34"/>
  <c r="F150" i="34"/>
  <c r="C67" i="5"/>
  <c r="B5090" i="106" s="1"/>
  <c r="D5090" i="106" s="1"/>
  <c r="K107" i="29"/>
  <c r="B2795" i="106" s="1"/>
  <c r="D2795" i="106" s="1"/>
  <c r="B2791" i="106"/>
  <c r="D2791" i="106" s="1"/>
  <c r="C14" i="4"/>
  <c r="B2558" i="106" s="1"/>
  <c r="D2558" i="106" s="1"/>
  <c r="F52" i="34"/>
  <c r="B1144" i="106"/>
  <c r="D1144" i="106" s="1"/>
  <c r="B6903" i="106"/>
  <c r="D6903" i="106" s="1"/>
  <c r="C33" i="29"/>
  <c r="B6853" i="106"/>
  <c r="D6853" i="106" s="1"/>
  <c r="F35" i="34"/>
  <c r="B6881" i="106"/>
  <c r="D6881" i="106" s="1"/>
  <c r="F41" i="34"/>
  <c r="B937" i="106"/>
  <c r="D937" i="106" s="1"/>
  <c r="G33" i="29"/>
  <c r="B5139" i="106"/>
  <c r="D5139" i="106" s="1"/>
  <c r="B5148" i="106"/>
  <c r="D5148" i="106" s="1"/>
  <c r="C140" i="5"/>
  <c r="B5161" i="106" s="1"/>
  <c r="D5161" i="106" s="1"/>
  <c r="F116" i="34"/>
  <c r="F166" i="34"/>
  <c r="F103" i="34"/>
  <c r="B1744" i="106"/>
  <c r="D1744" i="106" s="1"/>
  <c r="D4" i="7"/>
  <c r="B1760" i="106" s="1"/>
  <c r="D1760" i="106" s="1"/>
  <c r="B6887" i="106"/>
  <c r="D6887" i="106" s="1"/>
  <c r="F44" i="34"/>
  <c r="K44" i="29"/>
  <c r="B1120" i="106"/>
  <c r="D1120" i="106" s="1"/>
  <c r="B1123" i="106"/>
  <c r="D1123" i="106" s="1"/>
  <c r="K57" i="29"/>
  <c r="B1125" i="106" s="1"/>
  <c r="D1125" i="106" s="1"/>
  <c r="B2949" i="106"/>
  <c r="D2949" i="106" s="1"/>
  <c r="E84" i="29"/>
  <c r="K78" i="29"/>
  <c r="B2792" i="106"/>
  <c r="D2792" i="106" s="1"/>
  <c r="K108" i="29"/>
  <c r="B2796" i="106" s="1"/>
  <c r="D2796" i="106" s="1"/>
  <c r="I53" i="29"/>
  <c r="B6942" i="106" s="1"/>
  <c r="D6942" i="106" s="1"/>
  <c r="L84" i="29"/>
  <c r="B6889" i="106"/>
  <c r="D6889" i="106" s="1"/>
  <c r="F45" i="34"/>
  <c r="B6899" i="106"/>
  <c r="D6899" i="106" s="1"/>
  <c r="F50" i="34"/>
  <c r="K5" i="29"/>
  <c r="B6997" i="106"/>
  <c r="D6997" i="106" s="1"/>
  <c r="K100" i="29"/>
  <c r="B7013" i="106" s="1"/>
  <c r="D7013" i="106" s="1"/>
  <c r="B953" i="106"/>
  <c r="D953" i="106" s="1"/>
  <c r="G42" i="29"/>
  <c r="G47" i="29"/>
  <c r="B963" i="106" s="1"/>
  <c r="D963" i="106" s="1"/>
  <c r="B960" i="106"/>
  <c r="D960" i="106" s="1"/>
  <c r="B2951" i="106"/>
  <c r="D2951" i="106" s="1"/>
  <c r="K80" i="29"/>
  <c r="B2975" i="106" s="1"/>
  <c r="D2975" i="106" s="1"/>
  <c r="C44" i="4"/>
  <c r="B5230" i="106"/>
  <c r="D5230" i="106" s="1"/>
  <c r="C184" i="5"/>
  <c r="B5232" i="106" s="1"/>
  <c r="D5232" i="106" s="1"/>
  <c r="F126" i="34"/>
  <c r="B5113" i="106"/>
  <c r="D5113" i="106" s="1"/>
  <c r="C108" i="5"/>
  <c r="B5120" i="106" s="1"/>
  <c r="D5120" i="106" s="1"/>
  <c r="B5224" i="106"/>
  <c r="D5224" i="106" s="1"/>
  <c r="C178" i="5"/>
  <c r="B5106" i="106"/>
  <c r="D5106" i="106" s="1"/>
  <c r="F97" i="34"/>
  <c r="F133" i="34"/>
  <c r="F170" i="34"/>
  <c r="F139" i="34"/>
  <c r="E34" i="108"/>
  <c r="F118" i="34"/>
  <c r="F122" i="34"/>
  <c r="E38" i="108"/>
  <c r="B6885" i="106"/>
  <c r="D6885" i="106" s="1"/>
  <c r="F43" i="34"/>
  <c r="L33" i="29"/>
  <c r="K50" i="29"/>
  <c r="B785" i="106"/>
  <c r="D785" i="106" s="1"/>
  <c r="D74" i="29"/>
  <c r="B813" i="106" s="1"/>
  <c r="D813" i="106" s="1"/>
  <c r="B6891" i="106"/>
  <c r="D6891" i="106" s="1"/>
  <c r="F46" i="34"/>
  <c r="L92" i="29"/>
  <c r="K101" i="29"/>
  <c r="B7015" i="106" s="1"/>
  <c r="D7015" i="106" s="1"/>
  <c r="B2947" i="106"/>
  <c r="D2947" i="106" s="1"/>
  <c r="G65" i="29"/>
  <c r="B977" i="106" s="1"/>
  <c r="D977" i="106" s="1"/>
  <c r="B6897" i="106"/>
  <c r="D6897" i="106" s="1"/>
  <c r="F49" i="34"/>
  <c r="C259" i="5"/>
  <c r="B6833" i="106" s="1"/>
  <c r="D6833" i="106" s="1"/>
  <c r="B6614" i="106"/>
  <c r="D6614" i="106" s="1"/>
  <c r="F114" i="34"/>
  <c r="F138" i="34"/>
  <c r="G34" i="108"/>
  <c r="F134" i="34"/>
  <c r="F174" i="34"/>
  <c r="F121" i="34"/>
  <c r="F157" i="34"/>
  <c r="G38" i="108"/>
  <c r="F101" i="34"/>
  <c r="H33" i="29"/>
  <c r="K36" i="29"/>
  <c r="E14" i="145"/>
  <c r="G14" i="145" s="1"/>
  <c r="B1124" i="106"/>
  <c r="D1124" i="106" s="1"/>
  <c r="K61" i="29"/>
  <c r="B2953" i="106"/>
  <c r="D2953" i="106" s="1"/>
  <c r="K82" i="29"/>
  <c r="B2977" i="106" s="1"/>
  <c r="D2977" i="106" s="1"/>
  <c r="L65" i="29"/>
  <c r="B5064" i="106"/>
  <c r="D5064" i="106" s="1"/>
  <c r="B17" i="7"/>
  <c r="C144" i="5"/>
  <c r="B5165" i="106" s="1"/>
  <c r="D5165" i="106" s="1"/>
  <c r="B6848" i="106"/>
  <c r="D6848" i="106" s="1"/>
  <c r="F34" i="34"/>
  <c r="B1107" i="106"/>
  <c r="D1107" i="106" s="1"/>
  <c r="F38" i="34"/>
  <c r="G53" i="29"/>
  <c r="B966" i="106" s="1"/>
  <c r="D966" i="106" s="1"/>
  <c r="B1028" i="106"/>
  <c r="D1028" i="106" s="1"/>
  <c r="H65" i="29"/>
  <c r="B1035" i="106" s="1"/>
  <c r="D1035" i="106" s="1"/>
  <c r="H110" i="29"/>
  <c r="B5103" i="106"/>
  <c r="D5103" i="106" s="1"/>
  <c r="F96" i="34"/>
  <c r="C93" i="5"/>
  <c r="B5112" i="106" s="1"/>
  <c r="D5112" i="106" s="1"/>
  <c r="B5111" i="106"/>
  <c r="D5111" i="106" s="1"/>
  <c r="F100" i="34"/>
  <c r="B5126" i="106"/>
  <c r="D5126" i="106" s="1"/>
  <c r="C121" i="5"/>
  <c r="F125" i="34"/>
  <c r="F146" i="34"/>
  <c r="F152" i="34"/>
  <c r="B6901" i="106"/>
  <c r="D6901" i="106" s="1"/>
  <c r="F51" i="34"/>
  <c r="B91" i="106"/>
  <c r="D91" i="106" s="1"/>
  <c r="K51" i="29"/>
  <c r="K67" i="29"/>
  <c r="K71" i="29"/>
  <c r="B1139" i="106" s="1"/>
  <c r="D1139" i="106" s="1"/>
  <c r="C75" i="5"/>
  <c r="B843" i="106"/>
  <c r="D843" i="106" s="1"/>
  <c r="E74" i="29"/>
  <c r="B871" i="106" s="1"/>
  <c r="D871" i="106" s="1"/>
  <c r="K11" i="29"/>
  <c r="K19" i="29"/>
  <c r="B3381" i="106" s="1"/>
  <c r="D3381" i="106" s="1"/>
  <c r="F72" i="29"/>
  <c r="B927" i="106" s="1"/>
  <c r="D927" i="106" s="1"/>
  <c r="B3411" i="106"/>
  <c r="D3411" i="106" s="1"/>
  <c r="C13" i="3"/>
  <c r="D34" i="36"/>
  <c r="B1017" i="106"/>
  <c r="D1017" i="106" s="1"/>
  <c r="B1036" i="106"/>
  <c r="D1036" i="106" s="1"/>
  <c r="H72" i="29"/>
  <c r="B1043" i="106" s="1"/>
  <c r="D1043" i="106" s="1"/>
  <c r="B1146" i="106"/>
  <c r="D1146" i="106" s="1"/>
  <c r="F15" i="145"/>
  <c r="B1274" i="106"/>
  <c r="D1274" i="106" s="1"/>
  <c r="G26" i="108"/>
  <c r="E26" i="108"/>
  <c r="L129" i="29"/>
  <c r="B5369" i="106"/>
  <c r="D5369" i="106" s="1"/>
  <c r="D172" i="5"/>
  <c r="B5412" i="106" s="1"/>
  <c r="D5412" i="106" s="1"/>
  <c r="D184" i="5"/>
  <c r="B5425" i="106" s="1"/>
  <c r="D5425" i="106" s="1"/>
  <c r="B3235" i="106"/>
  <c r="D3235" i="106" s="1"/>
  <c r="D77" i="4"/>
  <c r="B3238" i="106" s="1"/>
  <c r="D3238" i="106" s="1"/>
  <c r="B4080" i="106"/>
  <c r="D4080" i="106" s="1"/>
  <c r="B4396" i="106"/>
  <c r="D4396" i="106" s="1"/>
  <c r="H149" i="29"/>
  <c r="B1272" i="106" s="1"/>
  <c r="D1272" i="106" s="1"/>
  <c r="B7047" i="106"/>
  <c r="D7047" i="106" s="1"/>
  <c r="B5" i="7"/>
  <c r="D12" i="5"/>
  <c r="B5328" i="106"/>
  <c r="D5328" i="106" s="1"/>
  <c r="B2986" i="106"/>
  <c r="D2986" i="106" s="1"/>
  <c r="K137" i="29"/>
  <c r="D211" i="5"/>
  <c r="B5444" i="106" s="1"/>
  <c r="D5444" i="106" s="1"/>
  <c r="B7037" i="106"/>
  <c r="D7037" i="106" s="1"/>
  <c r="I151" i="29"/>
  <c r="B1233" i="106"/>
  <c r="D1233" i="106" s="1"/>
  <c r="D151" i="29"/>
  <c r="B1234" i="106" s="1"/>
  <c r="D1234" i="106" s="1"/>
  <c r="B5423" i="106"/>
  <c r="D5423" i="106" s="1"/>
  <c r="B7038" i="106"/>
  <c r="D7038" i="106" s="1"/>
  <c r="J151" i="29"/>
  <c r="B7052" i="106" s="1"/>
  <c r="D7052" i="106" s="1"/>
  <c r="G129" i="29"/>
  <c r="B109" i="106"/>
  <c r="D109" i="106" s="1"/>
  <c r="B5348" i="106"/>
  <c r="D5348" i="106" s="1"/>
  <c r="L137" i="29"/>
  <c r="L139" i="29" s="1"/>
  <c r="B1266" i="106"/>
  <c r="D1266" i="106" s="1"/>
  <c r="D34" i="3"/>
  <c r="B6126" i="106"/>
  <c r="D6126" i="106" s="1"/>
  <c r="B5360" i="106"/>
  <c r="D5360" i="106" s="1"/>
  <c r="D5" i="4"/>
  <c r="B3406" i="106" s="1"/>
  <c r="D3406" i="106" s="1"/>
  <c r="B5330" i="106"/>
  <c r="D5330" i="106" s="1"/>
  <c r="B13" i="7"/>
  <c r="C129" i="29"/>
  <c r="B5367" i="106"/>
  <c r="D5367" i="106" s="1"/>
  <c r="B1283" i="106"/>
  <c r="D1283" i="106" s="1"/>
  <c r="K147" i="29"/>
  <c r="B2805" i="106"/>
  <c r="D2805" i="106" s="1"/>
  <c r="D14" i="4"/>
  <c r="B2570" i="106" s="1"/>
  <c r="D2570" i="106" s="1"/>
  <c r="F56" i="34"/>
  <c r="H139" i="29"/>
  <c r="B1267" i="106" s="1"/>
  <c r="D1267" i="106" s="1"/>
  <c r="B2091" i="106"/>
  <c r="D2091" i="106" s="1"/>
  <c r="E127" i="29"/>
  <c r="B1235" i="106"/>
  <c r="D1235" i="106" s="1"/>
  <c r="E139" i="29"/>
  <c r="B4203" i="106" s="1"/>
  <c r="D4203" i="106" s="1"/>
  <c r="B4202" i="106"/>
  <c r="D4202" i="106" s="1"/>
  <c r="B1329" i="106"/>
  <c r="D1329" i="106" s="1"/>
  <c r="F61" i="34"/>
  <c r="B1314" i="106"/>
  <c r="D1314" i="106" s="1"/>
  <c r="H172" i="29"/>
  <c r="B6835" i="106"/>
  <c r="D6835" i="106" s="1"/>
  <c r="E273" i="5"/>
  <c r="B7747" i="106" s="1"/>
  <c r="D7747" i="106" s="1"/>
  <c r="B7778" i="106"/>
  <c r="D7778" i="106" s="1"/>
  <c r="K160" i="29"/>
  <c r="B139" i="106"/>
  <c r="D139" i="106" s="1"/>
  <c r="B4372" i="106"/>
  <c r="D4372" i="106" s="1"/>
  <c r="B6" i="7"/>
  <c r="E12" i="5"/>
  <c r="B5509" i="106"/>
  <c r="D5509" i="106" s="1"/>
  <c r="B131" i="106"/>
  <c r="D131" i="106" s="1"/>
  <c r="B1324" i="106"/>
  <c r="D1324" i="106" s="1"/>
  <c r="K168" i="29"/>
  <c r="B1308" i="106"/>
  <c r="D1308" i="106" s="1"/>
  <c r="E174" i="29"/>
  <c r="B1309" i="106" s="1"/>
  <c r="D1309" i="106" s="1"/>
  <c r="B1756" i="106"/>
  <c r="D1756" i="106" s="1"/>
  <c r="D15" i="7"/>
  <c r="B1772" i="106" s="1"/>
  <c r="D1772" i="106" s="1"/>
  <c r="B5534" i="106"/>
  <c r="D5534" i="106" s="1"/>
  <c r="E173" i="5"/>
  <c r="H208" i="29"/>
  <c r="B1375" i="106" s="1"/>
  <c r="D1375" i="106" s="1"/>
  <c r="B4156" i="106"/>
  <c r="D4156" i="106" s="1"/>
  <c r="B4086" i="106"/>
  <c r="D4086" i="106" s="1"/>
  <c r="H184" i="29"/>
  <c r="B4397" i="106"/>
  <c r="D4397" i="106" s="1"/>
  <c r="F211" i="5"/>
  <c r="B5677" i="106" s="1"/>
  <c r="D5677" i="106" s="1"/>
  <c r="I184" i="29"/>
  <c r="B7057" i="106"/>
  <c r="D7057" i="106" s="1"/>
  <c r="B3007" i="106"/>
  <c r="D3007" i="106" s="1"/>
  <c r="F76" i="4"/>
  <c r="B3254" i="106" s="1"/>
  <c r="D3254" i="106" s="1"/>
  <c r="B5655" i="106"/>
  <c r="D5655" i="106" s="1"/>
  <c r="B1372" i="106"/>
  <c r="D1372" i="106" s="1"/>
  <c r="K200" i="29"/>
  <c r="B1384" i="106" s="1"/>
  <c r="D1384" i="106" s="1"/>
  <c r="B1383" i="106"/>
  <c r="D1383" i="106" s="1"/>
  <c r="B2993" i="106"/>
  <c r="D2993" i="106" s="1"/>
  <c r="K192" i="29"/>
  <c r="B3011" i="106" s="1"/>
  <c r="D3011" i="106" s="1"/>
  <c r="B1345" i="106"/>
  <c r="D1345" i="106" s="1"/>
  <c r="D210" i="29"/>
  <c r="B1346" i="106" s="1"/>
  <c r="D1346" i="106" s="1"/>
  <c r="F108" i="5"/>
  <c r="B5587" i="106" s="1"/>
  <c r="D5587" i="106" s="1"/>
  <c r="F12" i="5"/>
  <c r="B5553" i="106"/>
  <c r="D5553" i="106" s="1"/>
  <c r="B7" i="7"/>
  <c r="K195" i="29"/>
  <c r="B2839" i="106" s="1"/>
  <c r="D2839" i="106" s="1"/>
  <c r="K190" i="29"/>
  <c r="B3009" i="106" s="1"/>
  <c r="D3009" i="106" s="1"/>
  <c r="B2991" i="106"/>
  <c r="D2991" i="106" s="1"/>
  <c r="B5614" i="106"/>
  <c r="D5614" i="106" s="1"/>
  <c r="F172" i="5"/>
  <c r="B5644" i="106" s="1"/>
  <c r="D5644" i="106" s="1"/>
  <c r="B5592" i="106"/>
  <c r="D5592" i="106" s="1"/>
  <c r="F5" i="4"/>
  <c r="B3408" i="106" s="1"/>
  <c r="D3408" i="106" s="1"/>
  <c r="H194" i="29"/>
  <c r="F13" i="3"/>
  <c r="B5599" i="106"/>
  <c r="D5599" i="106" s="1"/>
  <c r="D72" i="36"/>
  <c r="F30" i="34"/>
  <c r="B4354" i="106"/>
  <c r="D4354" i="106" s="1"/>
  <c r="J184" i="29"/>
  <c r="B7058" i="106"/>
  <c r="D7058" i="106" s="1"/>
  <c r="F90" i="34"/>
  <c r="B6314" i="106"/>
  <c r="D6314" i="106" s="1"/>
  <c r="B1351" i="106"/>
  <c r="D1351" i="106" s="1"/>
  <c r="L184" i="29"/>
  <c r="B4211" i="106"/>
  <c r="D4211" i="106" s="1"/>
  <c r="F64" i="34"/>
  <c r="K191" i="29"/>
  <c r="B3010" i="106" s="1"/>
  <c r="D3010" i="106" s="1"/>
  <c r="F44" i="4"/>
  <c r="L194" i="29"/>
  <c r="L196" i="29" s="1"/>
  <c r="B5569" i="106"/>
  <c r="D5569" i="106" s="1"/>
  <c r="F21" i="34"/>
  <c r="E196" i="29"/>
  <c r="B1352" i="106" s="1"/>
  <c r="D1352" i="106" s="1"/>
  <c r="B2823" i="106"/>
  <c r="D2823" i="106" s="1"/>
  <c r="B5568" i="106"/>
  <c r="D5568" i="106" s="1"/>
  <c r="F20" i="34"/>
  <c r="K185" i="29"/>
  <c r="L204" i="29"/>
  <c r="L208" i="29" s="1"/>
  <c r="G184" i="29"/>
  <c r="B7076" i="106"/>
  <c r="D7076" i="106" s="1"/>
  <c r="F68" i="34"/>
  <c r="B1489" i="106"/>
  <c r="D1489" i="106" s="1"/>
  <c r="K261" i="29"/>
  <c r="B1491" i="106" s="1"/>
  <c r="D1491" i="106" s="1"/>
  <c r="B3723" i="106"/>
  <c r="D3723" i="106" s="1"/>
  <c r="K285" i="29"/>
  <c r="B5756" i="106"/>
  <c r="D5756" i="106" s="1"/>
  <c r="G140" i="5"/>
  <c r="B5749" i="106"/>
  <c r="D5749" i="106" s="1"/>
  <c r="F145" i="34"/>
  <c r="B6686" i="106"/>
  <c r="D6686" i="106" s="1"/>
  <c r="B3258" i="106"/>
  <c r="D3258" i="106" s="1"/>
  <c r="G77" i="4"/>
  <c r="B3261" i="106" s="1"/>
  <c r="D3261" i="106" s="1"/>
  <c r="G211" i="5"/>
  <c r="B1427" i="106"/>
  <c r="D1427" i="106" s="1"/>
  <c r="B5784" i="106"/>
  <c r="D5784" i="106" s="1"/>
  <c r="B4357" i="106"/>
  <c r="D4357" i="106" s="1"/>
  <c r="F111" i="34"/>
  <c r="B188" i="106"/>
  <c r="D188" i="106" s="1"/>
  <c r="F67" i="34"/>
  <c r="B7074" i="106"/>
  <c r="D7074" i="106" s="1"/>
  <c r="B5738" i="106"/>
  <c r="D5738" i="106" s="1"/>
  <c r="G114" i="5"/>
  <c r="B4414" i="106"/>
  <c r="D4414" i="106" s="1"/>
  <c r="L279" i="29"/>
  <c r="L295" i="29" s="1"/>
  <c r="B7078" i="106"/>
  <c r="D7078" i="106" s="1"/>
  <c r="F69" i="34"/>
  <c r="B1452" i="106"/>
  <c r="D1452" i="106" s="1"/>
  <c r="H295" i="29"/>
  <c r="B1454" i="106" s="1"/>
  <c r="D1454" i="106" s="1"/>
  <c r="G201" i="5"/>
  <c r="B1470" i="106"/>
  <c r="D1470" i="106" s="1"/>
  <c r="F70" i="34"/>
  <c r="B4398" i="106"/>
  <c r="D4398" i="106" s="1"/>
  <c r="B5721" i="106"/>
  <c r="D5721" i="106" s="1"/>
  <c r="B8" i="7"/>
  <c r="G12" i="5"/>
  <c r="F135" i="34"/>
  <c r="B4343" i="106"/>
  <c r="D4343" i="106" s="1"/>
  <c r="B1482" i="106"/>
  <c r="D1482" i="106" s="1"/>
  <c r="K243" i="29"/>
  <c r="B1485" i="106" s="1"/>
  <c r="D1485" i="106" s="1"/>
  <c r="B1501" i="106"/>
  <c r="D1501" i="106" s="1"/>
  <c r="K270" i="29"/>
  <c r="B1500" i="106" s="1"/>
  <c r="D1500" i="106" s="1"/>
  <c r="B1492" i="106"/>
  <c r="D1492" i="106" s="1"/>
  <c r="B1512" i="106"/>
  <c r="D1512" i="106" s="1"/>
  <c r="K293" i="29"/>
  <c r="B1417" i="106"/>
  <c r="D1417" i="106" s="1"/>
  <c r="D279" i="29"/>
  <c r="K276" i="29"/>
  <c r="B1506" i="106" s="1"/>
  <c r="D1506" i="106" s="1"/>
  <c r="B1442" i="106"/>
  <c r="D1442" i="106" s="1"/>
  <c r="D37" i="108"/>
  <c r="K248" i="29"/>
  <c r="B7082" i="106" s="1"/>
  <c r="D7082" i="106" s="1"/>
  <c r="B7081" i="106"/>
  <c r="D7081" i="106" s="1"/>
  <c r="B1421" i="106"/>
  <c r="D1421" i="106" s="1"/>
  <c r="B1475" i="106"/>
  <c r="D1475" i="106" s="1"/>
  <c r="K238" i="29"/>
  <c r="B1473" i="106"/>
  <c r="D1473" i="106" s="1"/>
  <c r="F71" i="34"/>
  <c r="B3422" i="106"/>
  <c r="D3422" i="106" s="1"/>
  <c r="G13" i="3"/>
  <c r="D38" i="36"/>
  <c r="G224" i="5"/>
  <c r="B5829" i="106" s="1"/>
  <c r="D5829" i="106" s="1"/>
  <c r="B5847" i="106"/>
  <c r="D5847" i="106" s="1"/>
  <c r="F136" i="34"/>
  <c r="B3390" i="106"/>
  <c r="D3390" i="106" s="1"/>
  <c r="K229" i="29"/>
  <c r="B6625" i="106"/>
  <c r="D6625" i="106" s="1"/>
  <c r="F137" i="34"/>
  <c r="B1511" i="106"/>
  <c r="D1511" i="106" s="1"/>
  <c r="F72" i="34"/>
  <c r="G14" i="4"/>
  <c r="B2609" i="106" s="1"/>
  <c r="D2609" i="106" s="1"/>
  <c r="B5780" i="106"/>
  <c r="D5780" i="106" s="1"/>
  <c r="B5723" i="106"/>
  <c r="D5723" i="106" s="1"/>
  <c r="B16" i="7"/>
  <c r="B1486" i="106"/>
  <c r="D1486" i="106" s="1"/>
  <c r="B1410" i="106"/>
  <c r="D1410" i="106" s="1"/>
  <c r="B5893" i="106"/>
  <c r="D5893" i="106" s="1"/>
  <c r="H173" i="5"/>
  <c r="B4950" i="106"/>
  <c r="D4950" i="106" s="1"/>
  <c r="B1529" i="106"/>
  <c r="D1529" i="106" s="1"/>
  <c r="D312" i="29"/>
  <c r="B1530" i="106" s="1"/>
  <c r="D1530" i="106" s="1"/>
  <c r="B6285" i="106"/>
  <c r="D6285" i="106" s="1"/>
  <c r="E44" i="4"/>
  <c r="B7103" i="106"/>
  <c r="D7103" i="106" s="1"/>
  <c r="I312" i="29"/>
  <c r="B7116" i="106" s="1"/>
  <c r="D7116" i="106" s="1"/>
  <c r="B1523" i="106"/>
  <c r="D1523" i="106" s="1"/>
  <c r="C312" i="29"/>
  <c r="B1524" i="106" s="1"/>
  <c r="D1524" i="106" s="1"/>
  <c r="B211" i="106"/>
  <c r="D211" i="106" s="1"/>
  <c r="B1553" i="106"/>
  <c r="D1553" i="106" s="1"/>
  <c r="H312" i="29"/>
  <c r="B1554" i="106" s="1"/>
  <c r="D1554" i="106" s="1"/>
  <c r="B7104" i="106"/>
  <c r="D7104" i="106" s="1"/>
  <c r="J312" i="29"/>
  <c r="B7117" i="106" s="1"/>
  <c r="D7117" i="106" s="1"/>
  <c r="H273" i="5"/>
  <c r="B4441" i="106" s="1"/>
  <c r="D4441" i="106" s="1"/>
  <c r="B6838" i="106"/>
  <c r="D6838" i="106" s="1"/>
  <c r="B1547" i="106"/>
  <c r="D1547" i="106" s="1"/>
  <c r="G312" i="29"/>
  <c r="B1548" i="106" s="1"/>
  <c r="D1548" i="106" s="1"/>
  <c r="H12" i="5"/>
  <c r="H13" i="3"/>
  <c r="B3425" i="106"/>
  <c r="D3425" i="106" s="1"/>
  <c r="D39" i="36"/>
  <c r="B1541" i="106"/>
  <c r="D1541" i="106" s="1"/>
  <c r="F312" i="29"/>
  <c r="B1542" i="106" s="1"/>
  <c r="D1542" i="106" s="1"/>
  <c r="B1751" i="106"/>
  <c r="D1751" i="106" s="1"/>
  <c r="D9" i="7"/>
  <c r="B1767" i="106" s="1"/>
  <c r="D1767" i="106" s="1"/>
  <c r="L310" i="29"/>
  <c r="L312" i="29" s="1"/>
  <c r="B1535" i="106"/>
  <c r="D1535" i="106" s="1"/>
  <c r="E312" i="29"/>
  <c r="B1536" i="106" s="1"/>
  <c r="D1536" i="106" s="1"/>
  <c r="B1754" i="106"/>
  <c r="D1754" i="106" s="1"/>
  <c r="D14" i="7"/>
  <c r="B1770" i="106" s="1"/>
  <c r="D1770" i="106" s="1"/>
  <c r="B7107" i="106"/>
  <c r="D7107" i="106" s="1"/>
  <c r="K310" i="29"/>
  <c r="B1555" i="106"/>
  <c r="D1555" i="106" s="1"/>
  <c r="K303" i="29"/>
  <c r="B3296" i="106"/>
  <c r="D3296" i="106" s="1"/>
  <c r="H77" i="4"/>
  <c r="B3299" i="106" s="1"/>
  <c r="D3299" i="106" s="1"/>
  <c r="B5925" i="106"/>
  <c r="D5925" i="106" s="1"/>
  <c r="B2910" i="106"/>
  <c r="D2910" i="106" s="1"/>
  <c r="B10" i="7"/>
  <c r="I12" i="5"/>
  <c r="B5916" i="106"/>
  <c r="D5916" i="106" s="1"/>
  <c r="B4363" i="106"/>
  <c r="D4363" i="106" s="1"/>
  <c r="I173" i="5"/>
  <c r="H24" i="118"/>
  <c r="D40" i="36"/>
  <c r="B3427" i="106"/>
  <c r="D3427" i="106" s="1"/>
  <c r="I13" i="3"/>
  <c r="J13" i="3"/>
  <c r="D41" i="36"/>
  <c r="B6217" i="106"/>
  <c r="D6217" i="106" s="1"/>
  <c r="B7209" i="106"/>
  <c r="D7209" i="106" s="1"/>
  <c r="K340" i="29"/>
  <c r="B6357" i="106"/>
  <c r="D6357" i="106" s="1"/>
  <c r="J173" i="5"/>
  <c r="B7202" i="106"/>
  <c r="D7202" i="106" s="1"/>
  <c r="F342" i="29"/>
  <c r="B7219" i="106" s="1"/>
  <c r="D7219" i="106" s="1"/>
  <c r="B7203" i="106"/>
  <c r="D7203" i="106" s="1"/>
  <c r="G342" i="29"/>
  <c r="B7220" i="106" s="1"/>
  <c r="D7220" i="106" s="1"/>
  <c r="J274" i="5"/>
  <c r="B6400" i="106"/>
  <c r="D6400" i="106" s="1"/>
  <c r="L340" i="29"/>
  <c r="L342" i="29" s="1"/>
  <c r="B6317" i="106"/>
  <c r="D6317" i="106" s="1"/>
  <c r="K330" i="29"/>
  <c r="B7126" i="106"/>
  <c r="D7126" i="106" s="1"/>
  <c r="B6191" i="106"/>
  <c r="D6191" i="106" s="1"/>
  <c r="B7201" i="106"/>
  <c r="D7201" i="106" s="1"/>
  <c r="E342" i="29"/>
  <c r="B7218" i="106" s="1"/>
  <c r="D7218" i="106" s="1"/>
  <c r="B7199" i="106"/>
  <c r="D7199" i="106" s="1"/>
  <c r="C342" i="29"/>
  <c r="B7216" i="106" s="1"/>
  <c r="D7216" i="106" s="1"/>
  <c r="D342" i="29"/>
  <c r="B7217" i="106" s="1"/>
  <c r="D7217" i="106" s="1"/>
  <c r="B7200" i="106"/>
  <c r="D7200" i="106" s="1"/>
  <c r="D11" i="7"/>
  <c r="B1768" i="106" s="1"/>
  <c r="D1768" i="106" s="1"/>
  <c r="B1752" i="106"/>
  <c r="D1752" i="106" s="1"/>
  <c r="B6238" i="106"/>
  <c r="D6238" i="106" s="1"/>
  <c r="J77" i="4"/>
  <c r="B6262" i="106" s="1"/>
  <c r="D6262" i="106" s="1"/>
  <c r="B7206" i="106"/>
  <c r="D7206" i="106" s="1"/>
  <c r="J342" i="29"/>
  <c r="B7223" i="106" s="1"/>
  <c r="D7223" i="106" s="1"/>
  <c r="B7204" i="106"/>
  <c r="D7204" i="106" s="1"/>
  <c r="H342" i="29"/>
  <c r="B7221" i="106" s="1"/>
  <c r="D7221" i="106" s="1"/>
  <c r="I342" i="29"/>
  <c r="B7222" i="106" s="1"/>
  <c r="D7222" i="106" s="1"/>
  <c r="B7205" i="106"/>
  <c r="D7205" i="106" s="1"/>
  <c r="B6301" i="106"/>
  <c r="D6301" i="106" s="1"/>
  <c r="B6006" i="106"/>
  <c r="D6006" i="106" s="1"/>
  <c r="K173" i="5"/>
  <c r="B3584" i="106"/>
  <c r="D3584" i="106" s="1"/>
  <c r="K77" i="4"/>
  <c r="B3587" i="106" s="1"/>
  <c r="D3587" i="106" s="1"/>
  <c r="E352" i="29"/>
  <c r="B3633" i="106"/>
  <c r="D3633" i="106" s="1"/>
  <c r="B3619" i="106"/>
  <c r="D3619" i="106" s="1"/>
  <c r="C352" i="29"/>
  <c r="B2105" i="106"/>
  <c r="D2105" i="106" s="1"/>
  <c r="I76" i="4"/>
  <c r="K34" i="3"/>
  <c r="B3668" i="106"/>
  <c r="D3668" i="106" s="1"/>
  <c r="K350" i="29"/>
  <c r="D352" i="29"/>
  <c r="B3626" i="106"/>
  <c r="D3626" i="106" s="1"/>
  <c r="B1753" i="106"/>
  <c r="D1753" i="106" s="1"/>
  <c r="D12" i="7"/>
  <c r="B3552" i="106"/>
  <c r="D3552" i="106" s="1"/>
  <c r="K362" i="29"/>
  <c r="B3675" i="106"/>
  <c r="D3675" i="106" s="1"/>
  <c r="B4951" i="106"/>
  <c r="D4951" i="106" s="1"/>
  <c r="K274" i="5"/>
  <c r="B5987" i="106"/>
  <c r="D5987" i="106" s="1"/>
  <c r="H352" i="29"/>
  <c r="B3654" i="106"/>
  <c r="D3654" i="106" s="1"/>
  <c r="I352" i="29"/>
  <c r="B7230" i="106"/>
  <c r="D7230" i="106" s="1"/>
  <c r="B3658" i="106"/>
  <c r="D3658" i="106" s="1"/>
  <c r="H365" i="29"/>
  <c r="B7242" i="106" s="1"/>
  <c r="D7242" i="106" s="1"/>
  <c r="B3647" i="106"/>
  <c r="D3647" i="106" s="1"/>
  <c r="G352" i="29"/>
  <c r="B5986" i="106"/>
  <c r="D5986" i="106" s="1"/>
  <c r="B18" i="7"/>
  <c r="L350" i="29"/>
  <c r="L352" i="29" s="1"/>
  <c r="L367" i="29" s="1"/>
  <c r="B7231" i="106"/>
  <c r="D7231" i="106" s="1"/>
  <c r="J352" i="29"/>
  <c r="B3640" i="106"/>
  <c r="D3640" i="106" s="1"/>
  <c r="F352" i="29"/>
  <c r="B1617" i="106"/>
  <c r="D1617" i="106" s="1"/>
  <c r="D173" i="5" l="1"/>
  <c r="B1249" i="106"/>
  <c r="D1249" i="106" s="1"/>
  <c r="F31" i="108"/>
  <c r="D31" i="108"/>
  <c r="L74" i="29"/>
  <c r="B1131" i="106"/>
  <c r="D1131" i="106" s="1"/>
  <c r="D36" i="108"/>
  <c r="D41" i="108" s="1"/>
  <c r="E43" i="108" s="1"/>
  <c r="E16" i="145"/>
  <c r="G16" i="145" s="1"/>
  <c r="K127" i="29"/>
  <c r="F127" i="34"/>
  <c r="K257" i="29"/>
  <c r="B1488" i="106" s="1"/>
  <c r="D1488" i="106" s="1"/>
  <c r="F173" i="5"/>
  <c r="F37" i="108"/>
  <c r="K277" i="29"/>
  <c r="B1508" i="106" s="1"/>
  <c r="D1508" i="106" s="1"/>
  <c r="H151" i="29"/>
  <c r="B1273" i="106" s="1"/>
  <c r="D1273" i="106" s="1"/>
  <c r="F131" i="34"/>
  <c r="K204" i="29"/>
  <c r="B4157" i="106" s="1"/>
  <c r="D4157" i="106" s="1"/>
  <c r="K53" i="29"/>
  <c r="B1122" i="106" s="1"/>
  <c r="D1122" i="106" s="1"/>
  <c r="F273" i="5"/>
  <c r="B5713" i="106" s="1"/>
  <c r="D5713" i="106" s="1"/>
  <c r="K110" i="29"/>
  <c r="B1151" i="106" s="1"/>
  <c r="D1151" i="106" s="1"/>
  <c r="B1136" i="106"/>
  <c r="D1136" i="106" s="1"/>
  <c r="G35" i="108"/>
  <c r="E35" i="108"/>
  <c r="B5132" i="106"/>
  <c r="D5132" i="106" s="1"/>
  <c r="G24" i="108"/>
  <c r="B1010" i="106"/>
  <c r="D1010" i="106" s="1"/>
  <c r="B5225" i="106"/>
  <c r="D5225" i="106" s="1"/>
  <c r="B1093" i="106"/>
  <c r="D1093" i="106" s="1"/>
  <c r="K33" i="29"/>
  <c r="B952" i="106"/>
  <c r="D952" i="106" s="1"/>
  <c r="B4395" i="106"/>
  <c r="D4395" i="106" s="1"/>
  <c r="B6917" i="106"/>
  <c r="D6917" i="106" s="1"/>
  <c r="J74" i="29"/>
  <c r="B6902" i="106"/>
  <c r="D6902" i="106" s="1"/>
  <c r="E24" i="108"/>
  <c r="E13" i="145"/>
  <c r="G13" i="145" s="1"/>
  <c r="B2724" i="106"/>
  <c r="D2724" i="106" s="1"/>
  <c r="B4102" i="106"/>
  <c r="D4102" i="106" s="1"/>
  <c r="D17" i="7"/>
  <c r="B4104" i="106" s="1"/>
  <c r="D4104" i="106" s="1"/>
  <c r="B3229" i="106"/>
  <c r="D3229" i="106" s="1"/>
  <c r="C77" i="4"/>
  <c r="B3232" i="106" s="1"/>
  <c r="D3232" i="106" s="1"/>
  <c r="F107" i="34"/>
  <c r="B6858" i="106"/>
  <c r="D6858" i="106" s="1"/>
  <c r="F36" i="34"/>
  <c r="B1121" i="106"/>
  <c r="D1121" i="106" s="1"/>
  <c r="E12" i="145"/>
  <c r="B2973" i="106"/>
  <c r="D2973" i="106" s="1"/>
  <c r="K84" i="29"/>
  <c r="D114" i="29"/>
  <c r="B815" i="106" s="1"/>
  <c r="D815" i="106" s="1"/>
  <c r="E17" i="145"/>
  <c r="G17" i="145" s="1"/>
  <c r="K72" i="29"/>
  <c r="B1141" i="106" s="1"/>
  <c r="D1141" i="106" s="1"/>
  <c r="B1134" i="106"/>
  <c r="D1134" i="106" s="1"/>
  <c r="E33" i="108"/>
  <c r="G33" i="108"/>
  <c r="B1053" i="106"/>
  <c r="D1053" i="106" s="1"/>
  <c r="H112" i="29"/>
  <c r="B7018" i="106" s="1"/>
  <c r="D7018" i="106" s="1"/>
  <c r="F161" i="34"/>
  <c r="H74" i="29"/>
  <c r="B1045" i="106" s="1"/>
  <c r="D1045" i="106" s="1"/>
  <c r="B2789" i="106"/>
  <c r="D2789" i="106" s="1"/>
  <c r="E102" i="29"/>
  <c r="B2790" i="106" s="1"/>
  <c r="D2790" i="106" s="1"/>
  <c r="K47" i="29"/>
  <c r="B1116" i="106"/>
  <c r="D1116" i="106" s="1"/>
  <c r="B897" i="106"/>
  <c r="D897" i="106" s="1"/>
  <c r="F42" i="29"/>
  <c r="K38" i="29"/>
  <c r="B1111" i="106" s="1"/>
  <c r="D1111" i="106" s="1"/>
  <c r="B1109" i="106"/>
  <c r="D1109" i="106" s="1"/>
  <c r="F95" i="34"/>
  <c r="B5312" i="106"/>
  <c r="D5312" i="106" s="1"/>
  <c r="F165" i="34"/>
  <c r="B5125" i="106"/>
  <c r="D5125" i="106" s="1"/>
  <c r="C5" i="4"/>
  <c r="B3405" i="106" s="1"/>
  <c r="D3405" i="106" s="1"/>
  <c r="B720" i="106"/>
  <c r="D720" i="106" s="1"/>
  <c r="C114" i="29"/>
  <c r="B757" i="106" s="1"/>
  <c r="D757" i="106" s="1"/>
  <c r="F94" i="34"/>
  <c r="B5096" i="106"/>
  <c r="D5096" i="106" s="1"/>
  <c r="B1128" i="106"/>
  <c r="D1128" i="106" s="1"/>
  <c r="F28" i="108"/>
  <c r="F41" i="108" s="1"/>
  <c r="G43" i="108" s="1"/>
  <c r="E28" i="108"/>
  <c r="C224" i="5"/>
  <c r="B5286" i="106" s="1"/>
  <c r="D5286" i="106" s="1"/>
  <c r="B5274" i="106"/>
  <c r="D5274" i="106" s="1"/>
  <c r="B959" i="106"/>
  <c r="D959" i="106" s="1"/>
  <c r="G74" i="29"/>
  <c r="B987" i="106" s="1"/>
  <c r="D987" i="106" s="1"/>
  <c r="C109" i="5"/>
  <c r="B5199" i="106"/>
  <c r="D5199" i="106" s="1"/>
  <c r="F115" i="34"/>
  <c r="B6916" i="106"/>
  <c r="D6916" i="106" s="1"/>
  <c r="I74" i="29"/>
  <c r="B6977" i="106" s="1"/>
  <c r="D6977" i="106" s="1"/>
  <c r="C131" i="5"/>
  <c r="B77" i="106"/>
  <c r="D77" i="106" s="1"/>
  <c r="L102" i="29"/>
  <c r="L114" i="29" s="1"/>
  <c r="E114" i="29"/>
  <c r="B873" i="106" s="1"/>
  <c r="D873" i="106" s="1"/>
  <c r="K65" i="29"/>
  <c r="B1133" i="106" s="1"/>
  <c r="D1133" i="106" s="1"/>
  <c r="K149" i="29"/>
  <c r="B7048" i="106"/>
  <c r="D7048" i="106" s="1"/>
  <c r="K139" i="29"/>
  <c r="B2093" i="106"/>
  <c r="D2093" i="106" s="1"/>
  <c r="D273" i="5"/>
  <c r="L151" i="29"/>
  <c r="B5340" i="106"/>
  <c r="D5340" i="106" s="1"/>
  <c r="D67" i="5"/>
  <c r="B5342" i="106" s="1"/>
  <c r="D5342" i="106" s="1"/>
  <c r="B1239" i="106"/>
  <c r="D1239" i="106" s="1"/>
  <c r="E129" i="29"/>
  <c r="B5421" i="106"/>
  <c r="D5421" i="106" s="1"/>
  <c r="D6" i="4"/>
  <c r="B2566" i="106" s="1"/>
  <c r="D2566" i="106" s="1"/>
  <c r="B5334" i="106"/>
  <c r="D5334" i="106" s="1"/>
  <c r="B1225" i="106"/>
  <c r="D1225" i="106" s="1"/>
  <c r="C151" i="29"/>
  <c r="B1226" i="106" s="1"/>
  <c r="D1226" i="106" s="1"/>
  <c r="B122" i="106"/>
  <c r="D122" i="106" s="1"/>
  <c r="B1258" i="106"/>
  <c r="D1258" i="106" s="1"/>
  <c r="G151" i="29"/>
  <c r="B1745" i="106"/>
  <c r="D1745" i="106" s="1"/>
  <c r="D5" i="7"/>
  <c r="B1761" i="106" s="1"/>
  <c r="D1761" i="106" s="1"/>
  <c r="B3725" i="106"/>
  <c r="D3725" i="106" s="1"/>
  <c r="D13" i="7"/>
  <c r="B3726" i="106" s="1"/>
  <c r="D3726" i="106" s="1"/>
  <c r="F59" i="34"/>
  <c r="B7051" i="106"/>
  <c r="D7051" i="106" s="1"/>
  <c r="F19" i="145"/>
  <c r="G15" i="145"/>
  <c r="F60" i="34"/>
  <c r="E15" i="4"/>
  <c r="B5513" i="106"/>
  <c r="D5513" i="106" s="1"/>
  <c r="D6" i="7"/>
  <c r="B1762" i="106" s="1"/>
  <c r="D1762" i="106" s="1"/>
  <c r="B1746" i="106"/>
  <c r="D1746" i="106" s="1"/>
  <c r="E274" i="5"/>
  <c r="H174" i="29"/>
  <c r="B1318" i="106" s="1"/>
  <c r="D1318" i="106" s="1"/>
  <c r="B1317" i="106"/>
  <c r="D1317" i="106" s="1"/>
  <c r="B5544" i="106"/>
  <c r="D5544" i="106" s="1"/>
  <c r="E6" i="4"/>
  <c r="B2631" i="106" s="1"/>
  <c r="D2631" i="106" s="1"/>
  <c r="K172" i="29"/>
  <c r="B1328" i="106"/>
  <c r="D1328" i="106" s="1"/>
  <c r="B5520" i="106"/>
  <c r="D5520" i="106" s="1"/>
  <c r="E67" i="5"/>
  <c r="B5521" i="106" s="1"/>
  <c r="D5521" i="106" s="1"/>
  <c r="B3252" i="106"/>
  <c r="D3252" i="106" s="1"/>
  <c r="F77" i="4"/>
  <c r="B3255" i="106" s="1"/>
  <c r="D3255" i="106" s="1"/>
  <c r="L210" i="29"/>
  <c r="B157" i="106"/>
  <c r="D157" i="106" s="1"/>
  <c r="B5581" i="106"/>
  <c r="D5581" i="106" s="1"/>
  <c r="F67" i="5"/>
  <c r="B5582" i="106" s="1"/>
  <c r="D5582" i="106" s="1"/>
  <c r="E210" i="29"/>
  <c r="B1353" i="106" s="1"/>
  <c r="D1353" i="106" s="1"/>
  <c r="H196" i="29"/>
  <c r="B2830" i="106" s="1"/>
  <c r="D2830" i="106" s="1"/>
  <c r="B2828" i="106"/>
  <c r="D2828" i="106" s="1"/>
  <c r="K194" i="29"/>
  <c r="B1370" i="106"/>
  <c r="D1370" i="106" s="1"/>
  <c r="B1747" i="106"/>
  <c r="D1747" i="106" s="1"/>
  <c r="D7" i="7"/>
  <c r="B1763" i="106" s="1"/>
  <c r="D1763" i="106" s="1"/>
  <c r="B1354" i="106"/>
  <c r="D1354" i="106" s="1"/>
  <c r="F184" i="29"/>
  <c r="K182" i="29"/>
  <c r="K180" i="29"/>
  <c r="C184" i="29"/>
  <c r="B4081" i="106"/>
  <c r="D4081" i="106" s="1"/>
  <c r="B1364" i="106"/>
  <c r="D1364" i="106" s="1"/>
  <c r="G210" i="29"/>
  <c r="B5557" i="106"/>
  <c r="D5557" i="106" s="1"/>
  <c r="B7063" i="106"/>
  <c r="D7063" i="106" s="1"/>
  <c r="I210" i="29"/>
  <c r="B6128" i="106"/>
  <c r="D6128" i="106" s="1"/>
  <c r="F34" i="3"/>
  <c r="F14" i="4"/>
  <c r="B2597" i="106" s="1"/>
  <c r="D2597" i="106" s="1"/>
  <c r="F62" i="34"/>
  <c r="B2836" i="106"/>
  <c r="D2836" i="106" s="1"/>
  <c r="E39" i="108"/>
  <c r="G39" i="108"/>
  <c r="B7064" i="106"/>
  <c r="D7064" i="106" s="1"/>
  <c r="J210" i="29"/>
  <c r="B7072" i="106" s="1"/>
  <c r="D7072" i="106" s="1"/>
  <c r="B5653" i="106"/>
  <c r="D5653" i="106" s="1"/>
  <c r="F6" i="4"/>
  <c r="B2593" i="106" s="1"/>
  <c r="D2593" i="106" s="1"/>
  <c r="B3446" i="106"/>
  <c r="D3446" i="106" s="1"/>
  <c r="D16" i="7"/>
  <c r="B3447" i="106" s="1"/>
  <c r="D3447" i="106" s="1"/>
  <c r="B180" i="106"/>
  <c r="D180" i="106" s="1"/>
  <c r="B5803" i="106"/>
  <c r="D5803" i="106" s="1"/>
  <c r="F130" i="34"/>
  <c r="D295" i="29"/>
  <c r="B1448" i="106" s="1"/>
  <c r="D1448" i="106" s="1"/>
  <c r="B1446" i="106"/>
  <c r="D1446" i="106" s="1"/>
  <c r="F73" i="34"/>
  <c r="B3724" i="106"/>
  <c r="D3724" i="106" s="1"/>
  <c r="G15" i="4"/>
  <c r="B6032" i="106" s="1"/>
  <c r="D6032" i="106" s="1"/>
  <c r="G12" i="4"/>
  <c r="B1474" i="106"/>
  <c r="D1474" i="106" s="1"/>
  <c r="G273" i="5"/>
  <c r="B1515" i="106"/>
  <c r="D1515" i="106" s="1"/>
  <c r="G16" i="4"/>
  <c r="B2611" i="106" s="1"/>
  <c r="D2611" i="106" s="1"/>
  <c r="B1748" i="106"/>
  <c r="D1748" i="106" s="1"/>
  <c r="D8" i="7"/>
  <c r="B1764" i="106" s="1"/>
  <c r="D1764" i="106" s="1"/>
  <c r="B1481" i="106"/>
  <c r="D1481" i="106" s="1"/>
  <c r="B5741" i="106"/>
  <c r="D5741" i="106" s="1"/>
  <c r="G5" i="4"/>
  <c r="B3409" i="106" s="1"/>
  <c r="D3409" i="106" s="1"/>
  <c r="F106" i="34"/>
  <c r="G172" i="5"/>
  <c r="B5752" i="106"/>
  <c r="D5752" i="106" s="1"/>
  <c r="B5725" i="106"/>
  <c r="D5725" i="106" s="1"/>
  <c r="B6409" i="106"/>
  <c r="D6409" i="106" s="1"/>
  <c r="F129" i="34"/>
  <c r="B5732" i="106"/>
  <c r="D5732" i="106" s="1"/>
  <c r="G67" i="5"/>
  <c r="B5733" i="106" s="1"/>
  <c r="D5733" i="106" s="1"/>
  <c r="B2102" i="106"/>
  <c r="D2102" i="106" s="1"/>
  <c r="H15" i="4"/>
  <c r="B2660" i="106" s="1"/>
  <c r="D2660" i="106" s="1"/>
  <c r="H274" i="5"/>
  <c r="B5906" i="106"/>
  <c r="D5906" i="106" s="1"/>
  <c r="H6" i="4"/>
  <c r="B2656" i="106" s="1"/>
  <c r="D2656" i="106" s="1"/>
  <c r="B203" i="106"/>
  <c r="D203" i="106" s="1"/>
  <c r="K312" i="29"/>
  <c r="B1560" i="106" s="1"/>
  <c r="D1560" i="106" s="1"/>
  <c r="B1559" i="106"/>
  <c r="D1559" i="106" s="1"/>
  <c r="H13" i="4"/>
  <c r="B5873" i="106"/>
  <c r="D5873" i="106" s="1"/>
  <c r="B3274" i="106"/>
  <c r="D3274" i="106" s="1"/>
  <c r="E77" i="4"/>
  <c r="H67" i="5"/>
  <c r="B5881" i="106" s="1"/>
  <c r="D5881" i="106" s="1"/>
  <c r="B5879" i="106"/>
  <c r="D5879" i="106" s="1"/>
  <c r="B5918" i="106"/>
  <c r="D5918" i="106" s="1"/>
  <c r="B2888" i="106"/>
  <c r="D2888" i="106" s="1"/>
  <c r="B1749" i="106"/>
  <c r="D1749" i="106" s="1"/>
  <c r="D10" i="7"/>
  <c r="B1765" i="106" s="1"/>
  <c r="D1765" i="106" s="1"/>
  <c r="I67" i="5"/>
  <c r="B5926" i="106" s="1"/>
  <c r="D5926" i="106" s="1"/>
  <c r="B5924" i="106"/>
  <c r="D5924" i="106" s="1"/>
  <c r="B4216" i="106"/>
  <c r="D4216" i="106" s="1"/>
  <c r="I6" i="4"/>
  <c r="B5011" i="106" s="1"/>
  <c r="D5011" i="106" s="1"/>
  <c r="B6397" i="106"/>
  <c r="D6397" i="106" s="1"/>
  <c r="J6" i="4"/>
  <c r="B6221" i="106" s="1"/>
  <c r="D6221" i="106" s="1"/>
  <c r="B7054" i="106"/>
  <c r="D7054" i="106" s="1"/>
  <c r="J7" i="4"/>
  <c r="B6222" i="106" s="1"/>
  <c r="D6222" i="106" s="1"/>
  <c r="J16" i="4"/>
  <c r="B6226" i="106" s="1"/>
  <c r="D6226" i="106" s="1"/>
  <c r="B7215" i="106"/>
  <c r="D7215" i="106" s="1"/>
  <c r="J13" i="4"/>
  <c r="K342" i="29"/>
  <c r="B7207" i="106"/>
  <c r="D7207" i="106" s="1"/>
  <c r="E23" i="108"/>
  <c r="B6316" i="106"/>
  <c r="D6316" i="106" s="1"/>
  <c r="J67" i="5"/>
  <c r="B6124" i="106"/>
  <c r="D6124" i="106" s="1"/>
  <c r="D18" i="7"/>
  <c r="B4105" i="106" s="1"/>
  <c r="D4105" i="106" s="1"/>
  <c r="B4103" i="106"/>
  <c r="D4103" i="106" s="1"/>
  <c r="B3621" i="106"/>
  <c r="D3621" i="106" s="1"/>
  <c r="C367" i="29"/>
  <c r="B3622" i="106" s="1"/>
  <c r="D3622" i="106" s="1"/>
  <c r="B3628" i="106"/>
  <c r="D3628" i="106" s="1"/>
  <c r="D367" i="29"/>
  <c r="B3629" i="106" s="1"/>
  <c r="D3629" i="106" s="1"/>
  <c r="I367" i="29"/>
  <c r="B7234" i="106"/>
  <c r="D7234" i="106" s="1"/>
  <c r="B3676" i="106"/>
  <c r="D3676" i="106" s="1"/>
  <c r="K365" i="29"/>
  <c r="H367" i="29"/>
  <c r="B3660" i="106" s="1"/>
  <c r="D3660" i="106" s="1"/>
  <c r="B3656" i="106"/>
  <c r="D3656" i="106" s="1"/>
  <c r="K352" i="29"/>
  <c r="B3670" i="106"/>
  <c r="D3670" i="106" s="1"/>
  <c r="B3635" i="106"/>
  <c r="D3635" i="106" s="1"/>
  <c r="E367" i="29"/>
  <c r="B3636" i="106" s="1"/>
  <c r="D3636" i="106" s="1"/>
  <c r="G367" i="29"/>
  <c r="B3650" i="106" s="1"/>
  <c r="D3650" i="106" s="1"/>
  <c r="B3649" i="106"/>
  <c r="D3649" i="106" s="1"/>
  <c r="B1769" i="106"/>
  <c r="D1769" i="106" s="1"/>
  <c r="B3642" i="106"/>
  <c r="D3642" i="106" s="1"/>
  <c r="F367" i="29"/>
  <c r="B3643" i="106" s="1"/>
  <c r="D3643" i="106" s="1"/>
  <c r="B19" i="7"/>
  <c r="B1759" i="106" s="1"/>
  <c r="D1759" i="106" s="1"/>
  <c r="B3565" i="106"/>
  <c r="D3565" i="106" s="1"/>
  <c r="B6022" i="106"/>
  <c r="D6022" i="106" s="1"/>
  <c r="K7" i="4"/>
  <c r="B3318" i="106"/>
  <c r="D3318" i="106" s="1"/>
  <c r="I77" i="4"/>
  <c r="K6" i="4"/>
  <c r="B3570" i="106" s="1"/>
  <c r="D3570" i="106" s="1"/>
  <c r="B6014" i="106"/>
  <c r="D6014" i="106" s="1"/>
  <c r="J367" i="29"/>
  <c r="B7245" i="106" s="1"/>
  <c r="D7245" i="106" s="1"/>
  <c r="B7235" i="106"/>
  <c r="D7235" i="106" s="1"/>
  <c r="B5994" i="106"/>
  <c r="D5994" i="106" s="1"/>
  <c r="K67" i="5"/>
  <c r="K279" i="29" l="1"/>
  <c r="K295" i="29" s="1"/>
  <c r="B1279" i="106"/>
  <c r="D1279" i="106" s="1"/>
  <c r="K129" i="29"/>
  <c r="F109" i="5"/>
  <c r="K42" i="29"/>
  <c r="G21" i="108" s="1"/>
  <c r="F274" i="5"/>
  <c r="F275" i="5" s="1"/>
  <c r="K208" i="29"/>
  <c r="G23" i="108"/>
  <c r="K112" i="29"/>
  <c r="B7019" i="106" s="1"/>
  <c r="D7019" i="106" s="1"/>
  <c r="C273" i="5"/>
  <c r="H114" i="29"/>
  <c r="B1054" i="106" s="1"/>
  <c r="D1054" i="106" s="1"/>
  <c r="G12" i="145"/>
  <c r="G19" i="145" s="1"/>
  <c r="J20" i="145" s="1"/>
  <c r="E19" i="145"/>
  <c r="B901" i="106"/>
  <c r="D901" i="106" s="1"/>
  <c r="F74" i="29"/>
  <c r="C16" i="4"/>
  <c r="B2560" i="106" s="1"/>
  <c r="D2560" i="106" s="1"/>
  <c r="G114" i="29"/>
  <c r="B5147" i="106"/>
  <c r="D5147" i="106" s="1"/>
  <c r="C172" i="5"/>
  <c r="F105" i="34"/>
  <c r="F178" i="34" s="1"/>
  <c r="B1115" i="106"/>
  <c r="D1115" i="106" s="1"/>
  <c r="K74" i="29"/>
  <c r="B5121" i="106"/>
  <c r="D5121" i="106" s="1"/>
  <c r="C4" i="4"/>
  <c r="I114" i="29"/>
  <c r="B1108" i="106"/>
  <c r="D1108" i="106" s="1"/>
  <c r="C12" i="4"/>
  <c r="E19" i="108"/>
  <c r="G19" i="108"/>
  <c r="B1119" i="106"/>
  <c r="D1119" i="106" s="1"/>
  <c r="E22" i="108"/>
  <c r="G22" i="108"/>
  <c r="B2088" i="106"/>
  <c r="D2088" i="106" s="1"/>
  <c r="K102" i="29"/>
  <c r="B6978" i="106"/>
  <c r="D6978" i="106" s="1"/>
  <c r="J114" i="29"/>
  <c r="B7021" i="106" s="1"/>
  <c r="D7021" i="106" s="1"/>
  <c r="F58" i="34"/>
  <c r="B1259" i="106"/>
  <c r="D1259" i="106" s="1"/>
  <c r="B1241" i="106"/>
  <c r="D1241" i="106" s="1"/>
  <c r="E151" i="29"/>
  <c r="B1242" i="106" s="1"/>
  <c r="D1242" i="106" s="1"/>
  <c r="B5501" i="106"/>
  <c r="D5501" i="106" s="1"/>
  <c r="D274" i="5"/>
  <c r="F57" i="34"/>
  <c r="B1282" i="106"/>
  <c r="D1282" i="106" s="1"/>
  <c r="D15" i="4"/>
  <c r="B2571" i="106" s="1"/>
  <c r="D2571" i="106" s="1"/>
  <c r="D109" i="5"/>
  <c r="K151" i="29"/>
  <c r="B1287" i="106"/>
  <c r="D1287" i="106" s="1"/>
  <c r="D16" i="4"/>
  <c r="B2572" i="106" s="1"/>
  <c r="D2572" i="106" s="1"/>
  <c r="K174" i="29"/>
  <c r="B1331" i="106"/>
  <c r="D1331" i="106" s="1"/>
  <c r="E16" i="4"/>
  <c r="B2634" i="106" s="1"/>
  <c r="D2634" i="106" s="1"/>
  <c r="E109" i="5"/>
  <c r="B2633" i="106"/>
  <c r="D2633" i="106" s="1"/>
  <c r="B4434" i="106"/>
  <c r="D4434" i="106" s="1"/>
  <c r="E7" i="4"/>
  <c r="B4443" i="106" s="1"/>
  <c r="D4443" i="106" s="1"/>
  <c r="B169" i="106"/>
  <c r="D169" i="106" s="1"/>
  <c r="B1339" i="106"/>
  <c r="D1339" i="106" s="1"/>
  <c r="C210" i="29"/>
  <c r="B1340" i="106" s="1"/>
  <c r="D1340" i="106" s="1"/>
  <c r="B7071" i="106"/>
  <c r="D7071" i="106" s="1"/>
  <c r="F66" i="34"/>
  <c r="B4087" i="106"/>
  <c r="D4087" i="106" s="1"/>
  <c r="K184" i="29"/>
  <c r="B1377" i="106"/>
  <c r="D1377" i="106" s="1"/>
  <c r="G29" i="108"/>
  <c r="E29" i="108"/>
  <c r="H210" i="29"/>
  <c r="B1376" i="106" s="1"/>
  <c r="D1376" i="106" s="1"/>
  <c r="F4" i="4"/>
  <c r="B5588" i="106"/>
  <c r="D5588" i="106" s="1"/>
  <c r="F210" i="29"/>
  <c r="B1359" i="106" s="1"/>
  <c r="D1359" i="106" s="1"/>
  <c r="B1358" i="106"/>
  <c r="D1358" i="106" s="1"/>
  <c r="B2837" i="106"/>
  <c r="D2837" i="106" s="1"/>
  <c r="K196" i="29"/>
  <c r="F7" i="4"/>
  <c r="B2594" i="106" s="1"/>
  <c r="D2594" i="106" s="1"/>
  <c r="B1365" i="106"/>
  <c r="D1365" i="106" s="1"/>
  <c r="F65" i="34"/>
  <c r="F16" i="4"/>
  <c r="B2599" i="106" s="1"/>
  <c r="D2599" i="106" s="1"/>
  <c r="B1387" i="106"/>
  <c r="D1387" i="106" s="1"/>
  <c r="F12" i="34"/>
  <c r="B1517" i="106"/>
  <c r="D1517" i="106" s="1"/>
  <c r="B5770" i="106"/>
  <c r="D5770" i="106" s="1"/>
  <c r="G173" i="5"/>
  <c r="B2607" i="106"/>
  <c r="D2607" i="106" s="1"/>
  <c r="B5863" i="106"/>
  <c r="D5863" i="106" s="1"/>
  <c r="G274" i="5"/>
  <c r="G109" i="5"/>
  <c r="G13" i="4"/>
  <c r="B2608" i="106" s="1"/>
  <c r="D2608" i="106" s="1"/>
  <c r="B1510" i="106"/>
  <c r="D1510" i="106" s="1"/>
  <c r="B3277" i="106"/>
  <c r="D3277" i="106" s="1"/>
  <c r="H109" i="5"/>
  <c r="H7" i="4"/>
  <c r="B2657" i="106" s="1"/>
  <c r="D2657" i="106" s="1"/>
  <c r="B5914" i="106"/>
  <c r="D5914" i="106" s="1"/>
  <c r="B2659" i="106"/>
  <c r="D2659" i="106" s="1"/>
  <c r="H17" i="4"/>
  <c r="D19" i="7"/>
  <c r="B1775" i="106" s="1"/>
  <c r="D1775" i="106" s="1"/>
  <c r="I109" i="5"/>
  <c r="F13" i="34"/>
  <c r="B7224" i="106"/>
  <c r="D7224" i="106" s="1"/>
  <c r="B7042" i="106"/>
  <c r="D7042" i="106" s="1"/>
  <c r="J17" i="4"/>
  <c r="B6318" i="106"/>
  <c r="D6318" i="106" s="1"/>
  <c r="J109" i="5"/>
  <c r="B7244" i="106"/>
  <c r="D7244" i="106" s="1"/>
  <c r="F17" i="11"/>
  <c r="B3319" i="106"/>
  <c r="D3319" i="106" s="1"/>
  <c r="K367" i="29"/>
  <c r="B3678" i="106" s="1"/>
  <c r="D3678" i="106" s="1"/>
  <c r="B3672" i="106"/>
  <c r="D3672" i="106" s="1"/>
  <c r="K13" i="4"/>
  <c r="B5995" i="106"/>
  <c r="D5995" i="106" s="1"/>
  <c r="K109" i="5"/>
  <c r="B3718" i="106"/>
  <c r="D3718" i="106" s="1"/>
  <c r="K16" i="4"/>
  <c r="B3574" i="106" s="1"/>
  <c r="D3574" i="106" s="1"/>
  <c r="B7243" i="106"/>
  <c r="D7243" i="106" s="1"/>
  <c r="B5719" i="106" l="1"/>
  <c r="D5719" i="106" s="1"/>
  <c r="D13" i="4"/>
  <c r="B2569" i="106" s="1"/>
  <c r="D2569" i="106" s="1"/>
  <c r="B1281" i="106"/>
  <c r="D1281" i="106" s="1"/>
  <c r="E21" i="108"/>
  <c r="G41" i="108"/>
  <c r="G44" i="108" s="1"/>
  <c r="G45" i="108" s="1"/>
  <c r="E17" i="4"/>
  <c r="E19" i="4" s="1"/>
  <c r="B4138" i="106" s="1"/>
  <c r="D4138" i="106" s="1"/>
  <c r="B2551" i="106"/>
  <c r="D2551" i="106" s="1"/>
  <c r="E41" i="108"/>
  <c r="E44" i="108" s="1"/>
  <c r="E45" i="108" s="1"/>
  <c r="B1143" i="106"/>
  <c r="D1143" i="106" s="1"/>
  <c r="C13" i="4"/>
  <c r="B2557" i="106" s="1"/>
  <c r="D2557" i="106" s="1"/>
  <c r="B929" i="106"/>
  <c r="D929" i="106" s="1"/>
  <c r="F114" i="29"/>
  <c r="B931" i="106" s="1"/>
  <c r="D931" i="106" s="1"/>
  <c r="F53" i="34"/>
  <c r="C15" i="4"/>
  <c r="B2559" i="106" s="1"/>
  <c r="D2559" i="106" s="1"/>
  <c r="B1145" i="106"/>
  <c r="D1145" i="106" s="1"/>
  <c r="K114" i="29"/>
  <c r="B2556" i="106"/>
  <c r="D2556" i="106" s="1"/>
  <c r="B5214" i="106"/>
  <c r="D5214" i="106" s="1"/>
  <c r="C173" i="5"/>
  <c r="B7020" i="106"/>
  <c r="D7020" i="106" s="1"/>
  <c r="F55" i="34"/>
  <c r="B989" i="106"/>
  <c r="D989" i="106" s="1"/>
  <c r="F54" i="34"/>
  <c r="B5320" i="106"/>
  <c r="D5320" i="106" s="1"/>
  <c r="C274" i="5"/>
  <c r="D7" i="4"/>
  <c r="B2567" i="106" s="1"/>
  <c r="D2567" i="106" s="1"/>
  <c r="B5507" i="106"/>
  <c r="D5507" i="106" s="1"/>
  <c r="F9" i="34"/>
  <c r="B1288" i="106"/>
  <c r="D1288" i="106" s="1"/>
  <c r="B5356" i="106"/>
  <c r="D5356" i="106" s="1"/>
  <c r="D4" i="4"/>
  <c r="D275" i="5"/>
  <c r="D17" i="4"/>
  <c r="E4" i="4"/>
  <c r="B5527" i="106"/>
  <c r="D5527" i="106" s="1"/>
  <c r="E275" i="5"/>
  <c r="B140" i="106"/>
  <c r="D140" i="106" s="1"/>
  <c r="E41" i="3"/>
  <c r="F10" i="34"/>
  <c r="B1332" i="106"/>
  <c r="D1332" i="106" s="1"/>
  <c r="F13" i="4"/>
  <c r="B1381" i="106"/>
  <c r="D1381" i="106" s="1"/>
  <c r="K210" i="29"/>
  <c r="K211" i="29" s="1"/>
  <c r="B1389" i="106" s="1"/>
  <c r="D1389" i="106" s="1"/>
  <c r="B5720" i="106"/>
  <c r="D5720" i="106" s="1"/>
  <c r="B2591" i="106"/>
  <c r="D2591" i="106" s="1"/>
  <c r="F8" i="4"/>
  <c r="B1382" i="106"/>
  <c r="D1382" i="106" s="1"/>
  <c r="F15" i="4"/>
  <c r="B2598" i="106" s="1"/>
  <c r="D2598" i="106" s="1"/>
  <c r="F63" i="34"/>
  <c r="G17" i="4"/>
  <c r="B5778" i="106"/>
  <c r="D5778" i="106" s="1"/>
  <c r="G6" i="4"/>
  <c r="B2604" i="106" s="1"/>
  <c r="D2604" i="106" s="1"/>
  <c r="G4" i="4"/>
  <c r="B6024" i="106"/>
  <c r="D6024" i="106" s="1"/>
  <c r="G275" i="5"/>
  <c r="B5869" i="106"/>
  <c r="D5869" i="106" s="1"/>
  <c r="G7" i="4"/>
  <c r="H19" i="4"/>
  <c r="B4141" i="106" s="1"/>
  <c r="D4141" i="106" s="1"/>
  <c r="B2661" i="106"/>
  <c r="D2661" i="106" s="1"/>
  <c r="B6025" i="106"/>
  <c r="D6025" i="106" s="1"/>
  <c r="H4" i="4"/>
  <c r="H275" i="5"/>
  <c r="B2912" i="106"/>
  <c r="D2912" i="106" s="1"/>
  <c r="I41" i="3"/>
  <c r="I275" i="5"/>
  <c r="B5946" i="106" s="1"/>
  <c r="D5946" i="106" s="1"/>
  <c r="I4" i="4"/>
  <c r="B6026" i="106"/>
  <c r="D6026" i="106" s="1"/>
  <c r="J275" i="5"/>
  <c r="J4" i="4"/>
  <c r="B6352" i="106"/>
  <c r="D6352" i="106" s="1"/>
  <c r="J19" i="4"/>
  <c r="B6229" i="106" s="1"/>
  <c r="D6229" i="106" s="1"/>
  <c r="B6227" i="106"/>
  <c r="D6227" i="106" s="1"/>
  <c r="B6215" i="106"/>
  <c r="D6215" i="106" s="1"/>
  <c r="J41" i="3"/>
  <c r="B3572" i="106"/>
  <c r="D3572" i="106" s="1"/>
  <c r="K17" i="4"/>
  <c r="I17" i="11"/>
  <c r="B7624" i="106"/>
  <c r="D7624" i="106" s="1"/>
  <c r="B6028" i="106"/>
  <c r="D6028" i="106" s="1"/>
  <c r="K4" i="4"/>
  <c r="K275" i="5"/>
  <c r="F76" i="34" l="1"/>
  <c r="B2635" i="106"/>
  <c r="D2635" i="106" s="1"/>
  <c r="C17" i="4"/>
  <c r="B9" i="146" s="1"/>
  <c r="B5223" i="106"/>
  <c r="D5223" i="106" s="1"/>
  <c r="C6" i="4"/>
  <c r="C275" i="5"/>
  <c r="C7" i="4"/>
  <c r="B2554" i="106" s="1"/>
  <c r="D2554" i="106" s="1"/>
  <c r="B5326" i="106"/>
  <c r="D5326" i="106" s="1"/>
  <c r="B1152" i="106"/>
  <c r="D1152" i="106" s="1"/>
  <c r="F8" i="34"/>
  <c r="B2573" i="106"/>
  <c r="D2573" i="106" s="1"/>
  <c r="C9" i="146"/>
  <c r="D19" i="4"/>
  <c r="B4137" i="106" s="1"/>
  <c r="D4137" i="106" s="1"/>
  <c r="B5508" i="106"/>
  <c r="D5508" i="106" s="1"/>
  <c r="K152" i="29"/>
  <c r="B1289" i="106" s="1"/>
  <c r="D1289" i="106" s="1"/>
  <c r="B2564" i="106"/>
  <c r="D2564" i="106" s="1"/>
  <c r="D8" i="4"/>
  <c r="B141" i="106"/>
  <c r="D141" i="106" s="1"/>
  <c r="D46" i="36"/>
  <c r="K175" i="29"/>
  <c r="B1333" i="106" s="1"/>
  <c r="D1333" i="106" s="1"/>
  <c r="B5552" i="106"/>
  <c r="D5552" i="106" s="1"/>
  <c r="B2630" i="106"/>
  <c r="D2630" i="106" s="1"/>
  <c r="E8" i="4"/>
  <c r="F10" i="4"/>
  <c r="B4125" i="106" s="1"/>
  <c r="D4125" i="106" s="1"/>
  <c r="D8" i="146"/>
  <c r="B2595" i="106"/>
  <c r="D2595" i="106" s="1"/>
  <c r="F11" i="34"/>
  <c r="B1388" i="106"/>
  <c r="D1388" i="106" s="1"/>
  <c r="B2596" i="106"/>
  <c r="D2596" i="106" s="1"/>
  <c r="F17" i="4"/>
  <c r="K296" i="29"/>
  <c r="B1518" i="106" s="1"/>
  <c r="D1518" i="106" s="1"/>
  <c r="B5870" i="106"/>
  <c r="D5870" i="106" s="1"/>
  <c r="B189" i="106"/>
  <c r="D189" i="106" s="1"/>
  <c r="G41" i="3"/>
  <c r="B2603" i="106"/>
  <c r="D2603" i="106" s="1"/>
  <c r="G8" i="4"/>
  <c r="G19" i="4"/>
  <c r="B4140" i="106" s="1"/>
  <c r="D4140" i="106" s="1"/>
  <c r="B2612" i="106"/>
  <c r="D2612" i="106" s="1"/>
  <c r="B2605" i="106"/>
  <c r="D2605" i="106" s="1"/>
  <c r="B5915" i="106"/>
  <c r="D5915" i="106" s="1"/>
  <c r="K313" i="29"/>
  <c r="B1561" i="106" s="1"/>
  <c r="D1561" i="106" s="1"/>
  <c r="B2655" i="106"/>
  <c r="D2655" i="106" s="1"/>
  <c r="H8" i="4"/>
  <c r="I8" i="4"/>
  <c r="B3225" i="106"/>
  <c r="D3225" i="106" s="1"/>
  <c r="B2913" i="106"/>
  <c r="D2913" i="106" s="1"/>
  <c r="D50" i="36"/>
  <c r="B6216" i="106"/>
  <c r="D6216" i="106" s="1"/>
  <c r="D51" i="36"/>
  <c r="J8" i="4"/>
  <c r="B6220" i="106"/>
  <c r="D6220" i="106" s="1"/>
  <c r="K343" i="29"/>
  <c r="B7225" i="106" s="1"/>
  <c r="D7225" i="106" s="1"/>
  <c r="B7055" i="106"/>
  <c r="D7055" i="106" s="1"/>
  <c r="I18" i="11"/>
  <c r="B7625" i="106"/>
  <c r="D7625" i="106" s="1"/>
  <c r="K19" i="4"/>
  <c r="B4144" i="106" s="1"/>
  <c r="D4144" i="106" s="1"/>
  <c r="B3575" i="106"/>
  <c r="D3575" i="106" s="1"/>
  <c r="B3569" i="106"/>
  <c r="D3569" i="106" s="1"/>
  <c r="K8" i="4"/>
  <c r="B6023" i="106"/>
  <c r="D6023" i="106" s="1"/>
  <c r="K368" i="29"/>
  <c r="B3681" i="106" s="1"/>
  <c r="D3681" i="106" s="1"/>
  <c r="B2561" i="106" l="1"/>
  <c r="D2561" i="106" s="1"/>
  <c r="C19" i="4"/>
  <c r="B4136" i="106" s="1"/>
  <c r="D4136" i="106" s="1"/>
  <c r="D10" i="171"/>
  <c r="D19" i="171" s="1"/>
  <c r="D32" i="171" s="1"/>
  <c r="D49" i="171" s="1"/>
  <c r="F14" i="34"/>
  <c r="F77" i="34" s="1"/>
  <c r="F179" i="34" s="1"/>
  <c r="B5327" i="106"/>
  <c r="D5327" i="106" s="1"/>
  <c r="K115" i="29"/>
  <c r="B1153" i="106" s="1"/>
  <c r="D1153" i="106" s="1"/>
  <c r="B2553" i="106"/>
  <c r="D2553" i="106" s="1"/>
  <c r="C8" i="4"/>
  <c r="D16" i="37" s="1"/>
  <c r="C8" i="146"/>
  <c r="C10" i="146" s="1"/>
  <c r="B2568" i="106"/>
  <c r="D2568" i="106" s="1"/>
  <c r="D20" i="4"/>
  <c r="D10" i="4"/>
  <c r="B4123" i="106" s="1"/>
  <c r="D4123" i="106" s="1"/>
  <c r="B123" i="106"/>
  <c r="D123" i="106" s="1"/>
  <c r="D41" i="3"/>
  <c r="E20" i="4"/>
  <c r="B2632" i="106"/>
  <c r="D2632" i="106" s="1"/>
  <c r="E10" i="4"/>
  <c r="B4124" i="106" s="1"/>
  <c r="D4124" i="106" s="1"/>
  <c r="B282" i="106"/>
  <c r="D282" i="106" s="1"/>
  <c r="N23" i="3"/>
  <c r="D9" i="146"/>
  <c r="F9" i="146" s="1"/>
  <c r="B2600" i="106"/>
  <c r="D2600" i="106" s="1"/>
  <c r="F16" i="37"/>
  <c r="F19" i="4"/>
  <c r="B4139" i="106" s="1"/>
  <c r="D4139" i="106" s="1"/>
  <c r="H17" i="118"/>
  <c r="H25" i="118" s="1"/>
  <c r="K24" i="118" s="1"/>
  <c r="O23" i="118" s="1"/>
  <c r="O25" i="118" s="1"/>
  <c r="F79" i="34"/>
  <c r="F20" i="4"/>
  <c r="B2606" i="106"/>
  <c r="D2606" i="106" s="1"/>
  <c r="G10" i="4"/>
  <c r="B4126" i="106" s="1"/>
  <c r="D4126" i="106" s="1"/>
  <c r="G20" i="4"/>
  <c r="B190" i="106"/>
  <c r="D190" i="106" s="1"/>
  <c r="D48" i="36"/>
  <c r="B212" i="106"/>
  <c r="D212" i="106" s="1"/>
  <c r="H41" i="3"/>
  <c r="B2658" i="106"/>
  <c r="D2658" i="106" s="1"/>
  <c r="H10" i="4"/>
  <c r="B4127" i="106" s="1"/>
  <c r="D4127" i="106" s="1"/>
  <c r="H20" i="4"/>
  <c r="B3226" i="106"/>
  <c r="D3226" i="106" s="1"/>
  <c r="E8" i="146"/>
  <c r="I10" i="4"/>
  <c r="B4128" i="106" s="1"/>
  <c r="D4128" i="106" s="1"/>
  <c r="I20" i="4"/>
  <c r="H13" i="118"/>
  <c r="J20" i="4"/>
  <c r="J10" i="4"/>
  <c r="B6225" i="106" s="1"/>
  <c r="D6225" i="106" s="1"/>
  <c r="B6223" i="106"/>
  <c r="D6223" i="106" s="1"/>
  <c r="B3567" i="106"/>
  <c r="D3567" i="106" s="1"/>
  <c r="K41" i="3"/>
  <c r="B3571" i="106"/>
  <c r="D3571" i="106" s="1"/>
  <c r="K20" i="4"/>
  <c r="K10" i="4"/>
  <c r="B4130" i="106" s="1"/>
  <c r="D4130" i="106" s="1"/>
  <c r="B7631" i="106"/>
  <c r="D7631" i="106" s="1"/>
  <c r="F180" i="34"/>
  <c r="H16" i="37" l="1"/>
  <c r="D10" i="146"/>
  <c r="H18" i="118"/>
  <c r="K17" i="118" s="1"/>
  <c r="K20" i="118" s="1"/>
  <c r="D76" i="36"/>
  <c r="B8" i="146"/>
  <c r="B10" i="146" s="1"/>
  <c r="C20" i="4"/>
  <c r="B2555" i="106"/>
  <c r="D2555" i="106" s="1"/>
  <c r="C10" i="4"/>
  <c r="B4122" i="106" s="1"/>
  <c r="D4122" i="106" s="1"/>
  <c r="B92" i="106"/>
  <c r="D92" i="106" s="1"/>
  <c r="C41" i="3"/>
  <c r="F181" i="34"/>
  <c r="F183" i="34" s="1"/>
  <c r="B124" i="106"/>
  <c r="D124" i="106" s="1"/>
  <c r="D45" i="36"/>
  <c r="B2574" i="106"/>
  <c r="D2574" i="106" s="1"/>
  <c r="D78" i="4"/>
  <c r="B284" i="106"/>
  <c r="D284" i="106" s="1"/>
  <c r="D55" i="36"/>
  <c r="B2636" i="106"/>
  <c r="D2636" i="106" s="1"/>
  <c r="E78" i="4"/>
  <c r="F78" i="4"/>
  <c r="B2601" i="106"/>
  <c r="D2601" i="106" s="1"/>
  <c r="B170" i="106"/>
  <c r="D170" i="106" s="1"/>
  <c r="F41" i="3"/>
  <c r="G78" i="4"/>
  <c r="B2613" i="106"/>
  <c r="D2613" i="106" s="1"/>
  <c r="H78" i="4"/>
  <c r="B2662" i="106"/>
  <c r="D2662" i="106" s="1"/>
  <c r="B213" i="106"/>
  <c r="D213" i="106" s="1"/>
  <c r="D49" i="36"/>
  <c r="B3227" i="106"/>
  <c r="D3227" i="106" s="1"/>
  <c r="I78" i="4"/>
  <c r="E10" i="146"/>
  <c r="F8" i="146"/>
  <c r="F10" i="146" s="1"/>
  <c r="B6230" i="106"/>
  <c r="D6230" i="106" s="1"/>
  <c r="J78" i="4"/>
  <c r="B3576" i="106"/>
  <c r="D3576" i="106" s="1"/>
  <c r="K78" i="4"/>
  <c r="B3568" i="106"/>
  <c r="D3568" i="106" s="1"/>
  <c r="D52" i="36"/>
  <c r="B93" i="106" l="1"/>
  <c r="D93" i="106" s="1"/>
  <c r="D44" i="36"/>
  <c r="B2562" i="106"/>
  <c r="D2562" i="106" s="1"/>
  <c r="C78" i="4"/>
  <c r="J20" i="118"/>
  <c r="O16" i="118"/>
  <c r="B3239" i="106"/>
  <c r="D3239" i="106" s="1"/>
  <c r="D81" i="4"/>
  <c r="E81" i="4"/>
  <c r="B3278" i="106"/>
  <c r="D3278" i="106" s="1"/>
  <c r="B3256" i="106"/>
  <c r="D3256" i="106" s="1"/>
  <c r="F81" i="4"/>
  <c r="B171" i="106"/>
  <c r="D171" i="106" s="1"/>
  <c r="D47" i="36"/>
  <c r="B3262" i="106"/>
  <c r="D3262" i="106" s="1"/>
  <c r="G81" i="4"/>
  <c r="B3300" i="106"/>
  <c r="D3300" i="106" s="1"/>
  <c r="H81" i="4"/>
  <c r="B3320" i="106"/>
  <c r="D3320" i="106" s="1"/>
  <c r="I81" i="4"/>
  <c r="B6263" i="106"/>
  <c r="D6263" i="106" s="1"/>
  <c r="J81" i="4"/>
  <c r="B3588" i="106"/>
  <c r="D3588" i="106" s="1"/>
  <c r="K81" i="4"/>
  <c r="O17" i="118" l="1"/>
  <c r="O20" i="118" s="1"/>
  <c r="B3233" i="106"/>
  <c r="D3233" i="106" s="1"/>
  <c r="C81" i="4"/>
  <c r="J16" i="37" s="1"/>
  <c r="B4269" i="106" s="1"/>
  <c r="D4269" i="106" s="1"/>
  <c r="B1644" i="106"/>
  <c r="D1644" i="106" s="1"/>
  <c r="C11" i="146"/>
  <c r="D82" i="4"/>
  <c r="D58" i="36"/>
  <c r="E82" i="4"/>
  <c r="D59" i="36"/>
  <c r="B1658" i="106"/>
  <c r="D1658" i="106" s="1"/>
  <c r="D11" i="146"/>
  <c r="F82" i="4"/>
  <c r="B1672" i="106"/>
  <c r="D1672" i="106" s="1"/>
  <c r="D60" i="36"/>
  <c r="G82" i="4"/>
  <c r="B1686" i="106"/>
  <c r="D1686" i="106" s="1"/>
  <c r="D61" i="36"/>
  <c r="H82" i="4"/>
  <c r="B1700" i="106"/>
  <c r="D1700" i="106" s="1"/>
  <c r="D62" i="36"/>
  <c r="B3323" i="106"/>
  <c r="D3323" i="106" s="1"/>
  <c r="I82" i="4"/>
  <c r="E11" i="146"/>
  <c r="D63" i="36"/>
  <c r="B6266" i="106"/>
  <c r="D6266" i="106" s="1"/>
  <c r="J82" i="4"/>
  <c r="D64" i="36"/>
  <c r="K82" i="4"/>
  <c r="B3591" i="106"/>
  <c r="D3591" i="106" s="1"/>
  <c r="D65" i="36"/>
  <c r="H12" i="118" l="1"/>
  <c r="K12" i="118" s="1"/>
  <c r="O11" i="118" s="1"/>
  <c r="O13" i="118" s="1"/>
  <c r="O35" i="118" s="1"/>
  <c r="O37" i="118" s="1"/>
  <c r="B11" i="146"/>
  <c r="B1630" i="106"/>
  <c r="D1630" i="106" s="1"/>
  <c r="C82" i="4"/>
  <c r="D57" i="36"/>
  <c r="B6268" i="106"/>
  <c r="D6268" i="106" s="1"/>
  <c r="D83" i="4"/>
  <c r="B6277" i="106" s="1"/>
  <c r="D6277" i="106" s="1"/>
  <c r="B6269" i="106"/>
  <c r="D6269" i="106" s="1"/>
  <c r="E83" i="4"/>
  <c r="B6278" i="106" s="1"/>
  <c r="D6278" i="106" s="1"/>
  <c r="F11" i="146"/>
  <c r="C12" i="146" s="1"/>
  <c r="F83" i="4"/>
  <c r="B6279" i="106" s="1"/>
  <c r="D6279" i="106" s="1"/>
  <c r="B6270" i="106"/>
  <c r="D6270" i="106" s="1"/>
  <c r="B6271" i="106"/>
  <c r="D6271" i="106" s="1"/>
  <c r="G83" i="4"/>
  <c r="B6280" i="106" s="1"/>
  <c r="D6280" i="106" s="1"/>
  <c r="H83" i="4"/>
  <c r="B6281" i="106" s="1"/>
  <c r="D6281" i="106" s="1"/>
  <c r="B6272" i="106"/>
  <c r="D6272" i="106" s="1"/>
  <c r="I83" i="4"/>
  <c r="B6282" i="106" s="1"/>
  <c r="D6282" i="106" s="1"/>
  <c r="B6273" i="106"/>
  <c r="D6273" i="106" s="1"/>
  <c r="J83" i="4"/>
  <c r="B6283" i="106" s="1"/>
  <c r="D6283" i="106" s="1"/>
  <c r="B6274" i="106"/>
  <c r="D6274" i="106" s="1"/>
  <c r="K83" i="4"/>
  <c r="B6284" i="106" s="1"/>
  <c r="D6284" i="106" s="1"/>
  <c r="B6275" i="106"/>
  <c r="D6275" i="106" s="1"/>
  <c r="C83" i="4" l="1"/>
  <c r="B6276" i="106" s="1"/>
  <c r="D6276" i="106" s="1"/>
  <c r="B6267" i="106"/>
  <c r="D6267" i="106" s="1"/>
  <c r="D29" i="36"/>
  <c r="J24" i="24"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<sst xmlns="http://schemas.openxmlformats.org/spreadsheetml/2006/main" count="5368" uniqueCount="2258">
  <si>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</si>
  <si>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</si>
  <si>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</si>
  <si>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</si>
  <si>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</si>
  <si>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</si>
  <si>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</si>
  <si>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</si>
  <si>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</si>
  <si>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</si>
  <si>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</si>
  <si>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</si>
  <si>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</si>
  <si>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</si>
  <si>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</si>
  <si>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</si>
  <si>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</si>
  <si>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</si>
  <si>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</si>
  <si>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</si>
  <si>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</si>
  <si>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</si>
  <si>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</si>
  <si>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</si>
  <si>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</si>
  <si>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</si>
  <si>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</si>
  <si>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</si>
  <si>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</si>
  <si>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</si>
  <si>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</si>
  <si>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</si>
  <si>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</si>
  <si>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</si>
  <si>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</si>
  <si>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</si>
  <si>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</si>
  <si>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</si>
  <si>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</si>
  <si>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</si>
  <si>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</si>
  <si>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</si>
  <si>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</si>
  <si>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</si>
  <si>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</si>
  <si>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</si>
  <si>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</si>
  <si>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</si>
  <si>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</si>
  <si>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</si>
  <si>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</si>
  <si>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</si>
  <si>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</si>
  <si>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</si>
  <si>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</si>
  <si>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</si>
  <si>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</si>
  <si>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</si>
  <si>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</si>
  <si>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</si>
  <si>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</si>
  <si>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</si>
  <si>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</si>
  <si>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</si>
  <si>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</si>
  <si>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</si>
  <si>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</si>
  <si>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</si>
  <si>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</si>
  <si>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</si>
  <si>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</si>
  <si>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</si>
  <si>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</si>
  <si>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</si>
  <si>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</si>
  <si>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</si>
  <si>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</si>
  <si>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</si>
  <si>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</si>
  <si>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</si>
  <si>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</si>
  <si>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</si>
  <si>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</si>
  <si>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</si>
  <si>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</si>
  <si>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</si>
  <si>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</si>
  <si>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</si>
  <si>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</si>
  <si>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</si>
  <si>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</si>
  <si>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</si>
  <si>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</si>
  <si>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</si>
  <si>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</si>
  <si>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</si>
  <si>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</si>
  <si>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</si>
  <si>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</si>
  <si>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</si>
  <si>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</si>
  <si>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</si>
  <si>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</si>
  <si>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</si>
  <si>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</si>
  <si>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</si>
  <si>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</si>
  <si>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</si>
  <si>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</si>
  <si>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</si>
  <si>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</si>
  <si>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</si>
  <si>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</si>
  <si>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</si>
  <si>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</si>
  <si>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</si>
  <si>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</si>
  <si>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</si>
  <si>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</si>
  <si>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</si>
  <si>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</si>
  <si>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</si>
  <si>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</si>
  <si>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</si>
  <si>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</si>
  <si>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</si>
  <si>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</si>
  <si>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</si>
  <si>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</si>
  <si>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</si>
  <si>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</si>
  <si>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</si>
  <si>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</si>
  <si>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</si>
  <si>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</si>
  <si>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</si>
  <si>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</si>
  <si>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</si>
  <si>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</si>
  <si>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</si>
  <si>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</si>
  <si>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</si>
  <si>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</si>
  <si>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</si>
  <si>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</si>
  <si>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</si>
  <si>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</si>
  <si>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</si>
  <si>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</si>
  <si>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</si>
  <si>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</si>
  <si>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</si>
  <si>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</si>
  <si>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</si>
  <si>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</si>
  <si>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</si>
  <si>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</si>
  <si>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</si>
  <si>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</si>
  <si>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</si>
  <si>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</si>
  <si>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</si>
  <si>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</si>
  <si>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</si>
  <si>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</si>
  <si>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</si>
  <si>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</si>
  <si>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</si>
  <si>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</si>
  <si>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</si>
  <si>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</si>
  <si>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</si>
  <si>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</si>
  <si>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</si>
  <si>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</si>
  <si>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</si>
  <si>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</si>
  <si>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</si>
  <si>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</si>
  <si>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</si>
  <si>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</si>
  <si>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</si>
  <si>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</si>
  <si>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</si>
  <si>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</si>
  <si>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</si>
  <si>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</si>
  <si>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</si>
  <si>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</si>
  <si>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</si>
  <si>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</si>
  <si>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</si>
  <si>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</si>
  <si>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</si>
  <si>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</si>
  <si>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</si>
  <si>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</si>
  <si>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</si>
  <si>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</si>
  <si>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</si>
  <si>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</si>
  <si>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</si>
  <si>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</si>
  <si>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</si>
  <si>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</si>
  <si>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</si>
  <si>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</si>
  <si>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</si>
  <si>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</si>
  <si>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</si>
  <si>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</si>
  <si>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</si>
  <si>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</si>
  <si>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</si>
  <si>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</si>
  <si>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</si>
  <si>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</si>
  <si>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</si>
  <si>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</si>
  <si>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</si>
  <si>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</si>
  <si>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</si>
  <si>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</si>
  <si>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</si>
  <si>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</si>
  <si>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</si>
  <si>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</si>
  <si>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</si>
  <si>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</si>
  <si>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</si>
  <si>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</si>
  <si>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</si>
  <si>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</si>
  <si>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</si>
  <si>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</si>
  <si>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</si>
  <si>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</si>
  <si>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</si>
  <si>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</si>
  <si>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</si>
  <si>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</si>
  <si>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</si>
  <si>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</si>
  <si>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</si>
  <si>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</si>
  <si>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</si>
  <si>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</si>
  <si>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</si>
  <si>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</si>
  <si>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</si>
  <si>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</si>
  <si>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</si>
  <si>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</si>
  <si>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</si>
  <si>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</si>
  <si>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</si>
  <si>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</si>
  <si>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</si>
  <si>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</si>
  <si>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</si>
  <si>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</si>
  <si>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</si>
  <si>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</si>
  <si>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</si>
  <si>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</si>
  <si>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</si>
  <si>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</si>
  <si>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</si>
  <si>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</si>
  <si>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</si>
  <si>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</si>
  <si>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</si>
  <si>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</si>
  <si>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</si>
  <si>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</si>
  <si>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</si>
  <si>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</si>
  <si>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</si>
  <si>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</si>
  <si>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</si>
  <si>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</si>
  <si>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</si>
  <si>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</si>
  <si>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</si>
  <si>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</si>
  <si>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</si>
  <si>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</si>
  <si>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</si>
  <si>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</si>
  <si>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</si>
  <si>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</si>
  <si>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</si>
  <si>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</si>
  <si>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</si>
  <si>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</si>
  <si>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</si>
  <si>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</si>
  <si>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</si>
  <si>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</si>
  <si>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</si>
  <si>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</si>
  <si>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</si>
  <si>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</si>
  <si>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</si>
  <si>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</si>
  <si>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</si>
  <si>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</si>
  <si>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</si>
  <si>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</si>
  <si>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</si>
  <si>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</si>
  <si>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</si>
  <si>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</si>
  <si>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</si>
  <si>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</si>
  <si>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</si>
  <si>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</si>
  <si>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</si>
  <si>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</si>
  <si>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</si>
  <si>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</si>
  <si>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</si>
  <si>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</si>
  <si>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</si>
  <si>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</si>
  <si>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</si>
  <si>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</si>
  <si>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</si>
  <si>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</si>
  <si>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</si>
  <si>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</si>
  <si>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</si>
  <si>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</si>
  <si>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</si>
  <si>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</si>
  <si>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</si>
  <si>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</si>
  <si>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</si>
  <si>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</si>
  <si>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</si>
  <si>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</si>
  <si>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</si>
  <si>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</si>
  <si>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</si>
  <si>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</si>
  <si>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</si>
  <si>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</si>
  <si>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</si>
  <si>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</si>
  <si>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</si>
  <si>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</si>
  <si>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</si>
  <si>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</si>
  <si>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</si>
  <si>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</si>
  <si>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</si>
  <si>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</si>
  <si>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</si>
  <si>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</si>
  <si>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</si>
  <si>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</si>
  <si>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</si>
  <si>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</si>
  <si>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</si>
  <si>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</si>
  <si>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</si>
  <si>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</si>
  <si>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</si>
  <si>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</si>
  <si>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</si>
  <si>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</si>
  <si>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</si>
  <si>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</si>
  <si>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</si>
  <si>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</si>
  <si>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</si>
  <si>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</si>
  <si>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</si>
  <si>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</si>
  <si>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</si>
  <si>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</si>
  <si>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</si>
  <si>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</si>
  <si>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</si>
  <si>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</si>
  <si>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</si>
  <si>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</si>
  <si>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</si>
  <si>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</si>
  <si>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</si>
  <si>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</si>
  <si>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</si>
  <si>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</si>
  <si>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</si>
  <si>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</si>
  <si>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</si>
  <si>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</si>
  <si>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</si>
  <si>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</si>
  <si>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</si>
  <si>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</si>
  <si>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</si>
  <si>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</si>
  <si>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</si>
  <si>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</si>
  <si>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</si>
  <si>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</si>
  <si>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</si>
  <si>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</si>
  <si>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</si>
  <si>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</si>
  <si>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</si>
  <si>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</si>
  <si>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</si>
  <si>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</si>
  <si>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</si>
  <si>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</si>
  <si>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</si>
  <si>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</si>
  <si>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</si>
  <si>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</si>
  <si>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</si>
  <si>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</si>
  <si>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</si>
  <si>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</si>
  <si>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</si>
  <si>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</si>
  <si>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</si>
  <si>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</si>
  <si>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</si>
  <si>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</si>
  <si>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</si>
  <si>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</si>
  <si>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</si>
  <si>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</si>
  <si>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</si>
  <si>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</si>
  <si>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</si>
  <si>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</si>
  <si>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</si>
  <si>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</si>
  <si>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</si>
  <si>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</si>
  <si>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</si>
  <si>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</si>
  <si>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</si>
  <si>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</si>
  <si>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</si>
  <si>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</si>
  <si>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</si>
  <si>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</si>
  <si>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</si>
  <si>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</si>
  <si>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</si>
  <si>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</si>
  <si>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</si>
  <si>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</si>
  <si>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</si>
  <si>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</si>
  <si>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</si>
  <si>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</si>
  <si>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</si>
  <si>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</si>
  <si>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</si>
  <si>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</si>
  <si>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</si>
  <si>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</si>
  <si>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</si>
  <si>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</si>
  <si>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</si>
  <si>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</si>
  <si>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</si>
  <si>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</si>
  <si>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</si>
  <si>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</si>
  <si>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</si>
  <si>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</si>
  <si>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</si>
  <si>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</si>
  <si>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</si>
  <si>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</si>
  <si>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</si>
  <si>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</si>
  <si>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</si>
  <si>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</si>
  <si>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</si>
  <si>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</si>
  <si>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</si>
  <si>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</si>
  <si>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</si>
  <si>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</si>
  <si>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</si>
  <si>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</si>
  <si>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</si>
  <si>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</si>
  <si>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</si>
  <si>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</si>
  <si>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</si>
  <si>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</si>
  <si>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</si>
  <si>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</si>
  <si>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</si>
  <si>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</si>
  <si>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</si>
  <si>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</si>
  <si>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</si>
  <si>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</si>
  <si>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</si>
  <si>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</si>
  <si>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</si>
  <si>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</si>
  <si>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</si>
  <si>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</si>
  <si>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</si>
  <si>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</si>
  <si>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</si>
  <si>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</si>
  <si>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</si>
  <si>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</si>
  <si>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</si>
  <si>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</si>
  <si>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</si>
  <si>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</si>
  <si>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</si>
  <si>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</si>
  <si>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</si>
  <si>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</si>
  <si>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</si>
  <si>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</si>
  <si>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</si>
  <si>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</si>
  <si>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</si>
  <si>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</si>
  <si>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</si>
  <si>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</si>
  <si>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</si>
  <si>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</si>
  <si>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</si>
  <si>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</si>
  <si>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</si>
  <si>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</si>
  <si>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</si>
  <si>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</si>
  <si>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</si>
  <si>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</si>
  <si>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</si>
  <si>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</si>
  <si>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</si>
  <si>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</si>
  <si>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</si>
  <si>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</si>
  <si>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</si>
  <si>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</si>
  <si>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</si>
  <si>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</si>
  <si>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</si>
  <si>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</si>
  <si>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</si>
  <si>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</si>
  <si>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</si>
  <si>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</si>
  <si>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</si>
  <si>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</si>
  <si>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</si>
  <si>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</si>
  <si>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</si>
  <si>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</si>
  <si>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</si>
  <si>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</si>
  <si>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</si>
  <si>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</si>
  <si>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</si>
  <si>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</si>
  <si>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</si>
  <si>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</si>
  <si>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</si>
  <si>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</si>
  <si>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</si>
  <si>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</si>
  <si>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</si>
  <si>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</si>
  <si>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</si>
  <si>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</si>
  <si>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</si>
  <si>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</si>
  <si>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</si>
  <si>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</si>
  <si>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</si>
  <si>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</si>
  <si>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</si>
  <si>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</si>
  <si>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</si>
  <si>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</si>
  <si>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</si>
  <si>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</si>
  <si>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</si>
  <si>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</si>
  <si>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</si>
  <si>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</si>
  <si>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</si>
  <si>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</si>
  <si>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</si>
  <si>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</si>
  <si>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</si>
  <si>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</si>
  <si>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</si>
  <si>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</si>
  <si>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</si>
  <si>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</si>
  <si>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</si>
  <si>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</si>
  <si>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</si>
  <si>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</si>
  <si>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</si>
  <si>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</si>
  <si>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</si>
  <si>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</si>
  <si>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</si>
  <si>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</si>
  <si>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</si>
  <si>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</si>
  <si>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</si>
  <si>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</si>
  <si>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</si>
  <si>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</si>
  <si>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</si>
  <si>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</si>
  <si>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</si>
  <si>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</si>
  <si>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</si>
  <si>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</si>
  <si>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</si>
  <si>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</si>
  <si>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</si>
  <si>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</si>
  <si>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</si>
  <si>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</si>
  <si>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</si>
  <si>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</si>
  <si>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</si>
  <si>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</si>
  <si>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</si>
  <si>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</si>
  <si>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</si>
  <si>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</si>
  <si>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</si>
  <si>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</si>
  <si>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</si>
  <si>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</si>
  <si>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</si>
  <si>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</si>
  <si>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</si>
  <si>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</si>
  <si>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</si>
  <si>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</si>
  <si>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</si>
  <si>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</si>
  <si>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</si>
  <si>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</si>
  <si>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</si>
  <si>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</si>
  <si>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</si>
  <si>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</si>
  <si>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</si>
  <si>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</si>
  <si>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</si>
  <si>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</si>
  <si>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</si>
  <si>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</si>
  <si>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</si>
  <si>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</si>
  <si>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</si>
  <si>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</si>
  <si>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</si>
  <si>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</si>
  <si>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</si>
  <si>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</si>
  <si>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</si>
  <si>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</si>
  <si>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</si>
  <si>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</si>
  <si>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</si>
  <si>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</si>
  <si>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</si>
  <si>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</si>
  <si>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</si>
  <si>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</si>
  <si>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</si>
  <si>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</si>
  <si>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</si>
  <si>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</si>
  <si>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</si>
  <si>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</si>
  <si>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</si>
  <si>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</si>
  <si>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</si>
  <si>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</si>
  <si>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</si>
  <si>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</si>
  <si>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</si>
  <si>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</si>
  <si>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</si>
  <si>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</si>
  <si>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</si>
  <si>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</si>
  <si>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</si>
  <si>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</si>
  <si>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</si>
  <si>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</si>
  <si>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</si>
  <si>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</si>
  <si>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</si>
  <si>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</si>
  <si>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</si>
  <si>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</si>
  <si>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</si>
  <si>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</si>
  <si>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</si>
  <si>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</si>
  <si>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</si>
  <si>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</si>
  <si>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</si>
  <si>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</si>
  <si>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</si>
  <si>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</si>
  <si>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</si>
  <si>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</si>
  <si>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</si>
  <si>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</si>
  <si>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</si>
  <si>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</si>
  <si>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</si>
  <si>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</si>
  <si>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</si>
  <si>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</si>
  <si>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</si>
  <si>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</si>
  <si>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</si>
  <si>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</si>
  <si>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</si>
  <si>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</si>
  <si>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</si>
  <si>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</si>
  <si>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</si>
  <si>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</si>
  <si>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</si>
  <si>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</si>
  <si>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</si>
  <si>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</si>
  <si>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</si>
  <si>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</si>
  <si>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</si>
  <si>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</si>
  <si>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</si>
  <si>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</si>
  <si>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</si>
  <si>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</si>
  <si>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</si>
  <si>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</si>
  <si>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</si>
  <si>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</si>
  <si>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</si>
  <si>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</si>
  <si>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</si>
  <si>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</si>
  <si>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</si>
  <si>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</si>
  <si>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</si>
  <si>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</si>
  <si>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</si>
  <si>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</si>
  <si>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</si>
  <si>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</si>
  <si>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</si>
  <si>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</si>
  <si>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</si>
  <si>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</si>
  <si>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</si>
  <si>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</si>
  <si>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</si>
  <si>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</si>
  <si>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</si>
  <si>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</si>
  <si>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</si>
  <si>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</si>
  <si>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</si>
  <si>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</si>
  <si>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</si>
  <si>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</si>
  <si>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</si>
  <si>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</si>
  <si>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</si>
  <si>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</si>
  <si>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</si>
  <si>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</si>
  <si>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</si>
  <si>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</si>
  <si>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</si>
  <si>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</si>
  <si>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</si>
  <si>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</si>
  <si>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</si>
  <si>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</si>
  <si>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</si>
  <si>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</si>
  <si>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</si>
  <si>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</si>
  <si>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</si>
  <si>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</si>
  <si>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</si>
  <si>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</si>
  <si>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</si>
  <si>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</si>
  <si>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</si>
  <si>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</si>
  <si>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</si>
  <si>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</si>
  <si>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</si>
  <si>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</si>
  <si>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</si>
  <si>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</si>
  <si>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</si>
  <si>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</si>
  <si>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</si>
  <si>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</si>
  <si>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</si>
  <si>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</si>
  <si>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</si>
  <si>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</si>
  <si>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</si>
  <si>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</si>
  <si>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</si>
  <si>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</si>
  <si>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</si>
  <si>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</si>
  <si>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</si>
  <si>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</si>
  <si>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</si>
  <si>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</si>
  <si>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</si>
  <si>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</si>
  <si>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</si>
  <si>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</si>
  <si>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</si>
  <si>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</si>
  <si>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</si>
  <si>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</si>
  <si>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</si>
  <si>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</si>
  <si>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</si>
  <si>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</si>
  <si>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</si>
  <si>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</si>
  <si>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</si>
  <si>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</si>
  <si>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</si>
  <si>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</si>
  <si>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</si>
  <si>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</si>
  <si>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</si>
  <si>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</si>
  <si>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</si>
  <si>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</si>
  <si>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</si>
  <si>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</si>
  <si>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</si>
  <si>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</si>
  <si>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</si>
  <si>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</si>
  <si>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</si>
  <si>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</si>
  <si>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</si>
  <si>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</si>
  <si>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</si>
  <si>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</si>
  <si>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</si>
  <si>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</si>
  <si>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</si>
  <si>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</si>
  <si>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</si>
  <si>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</si>
  <si>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</si>
  <si>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</si>
  <si>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</si>
  <si>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</si>
  <si>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</si>
  <si>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</si>
  <si>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</si>
  <si>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</si>
  <si>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</si>
  <si>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</si>
  <si>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</si>
  <si>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</si>
  <si>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</si>
  <si>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</si>
  <si>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</si>
  <si>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</si>
  <si>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</si>
  <si>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</si>
  <si>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</si>
  <si>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</si>
  <si>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</si>
  <si>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</si>
  <si>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</si>
  <si>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</si>
  <si>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</si>
  <si>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</si>
  <si>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</si>
  <si>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</si>
  <si>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</si>
  <si>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</si>
  <si>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</si>
  <si>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</si>
  <si>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</si>
  <si>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</si>
  <si>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</si>
  <si>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</si>
  <si>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</si>
  <si>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</si>
  <si>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</si>
  <si>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</si>
  <si>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</si>
  <si>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</si>
  <si>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</si>
  <si>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</si>
  <si>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</si>
  <si>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</si>
  <si>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</si>
  <si>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</si>
  <si>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</si>
  <si>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</si>
  <si>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</si>
  <si>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</si>
  <si>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</si>
  <si>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</si>
  <si>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</si>
  <si>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</si>
  <si>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</si>
  <si>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</si>
  <si>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</si>
  <si>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</si>
  <si>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</si>
  <si>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</si>
  <si>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</si>
  <si>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</si>
  <si>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</si>
  <si>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</si>
  <si>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</si>
  <si>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</si>
  <si>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</si>
  <si>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</si>
  <si>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</si>
  <si>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</si>
  <si>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</si>
  <si>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</si>
  <si>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</si>
  <si>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</si>
  <si>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</si>
  <si>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</si>
  <si>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</si>
  <si>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</si>
  <si>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</si>
  <si>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</si>
  <si>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</si>
  <si>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</si>
  <si>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</si>
  <si>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</si>
  <si>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</si>
  <si>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</si>
  <si>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</si>
  <si>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</si>
  <si>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</si>
  <si>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</si>
  <si>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</si>
  <si>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</si>
  <si>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</si>
  <si>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</si>
  <si>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</si>
  <si>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</si>
  <si>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</si>
  <si>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</si>
  <si>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</si>
  <si>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</si>
  <si>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</si>
  <si>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</si>
  <si>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</si>
  <si>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</si>
  <si>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</si>
  <si>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</si>
  <si>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</si>
  <si>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</si>
  <si>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</si>
  <si>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</si>
  <si>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</si>
  <si>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</si>
  <si>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</si>
  <si>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</si>
  <si>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</si>
  <si>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</si>
  <si>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</si>
  <si>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</si>
  <si>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</si>
  <si>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</si>
  <si>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</si>
  <si>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</si>
  <si>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</si>
  <si>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</si>
  <si>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</si>
  <si>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</si>
  <si>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</si>
  <si>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</si>
  <si>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</si>
  <si>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</si>
  <si>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</si>
  <si>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</si>
  <si>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</si>
  <si>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</si>
  <si>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</si>
  <si>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</si>
  <si>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</si>
  <si>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</si>
  <si>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</si>
  <si>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</si>
  <si>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</si>
  <si>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</si>
  <si>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</si>
  <si>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</si>
  <si>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</si>
  <si>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</si>
  <si>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</si>
  <si>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</si>
  <si>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</si>
  <si>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</si>
  <si>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</si>
  <si>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</si>
  <si>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</si>
  <si>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</si>
  <si>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</si>
  <si>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</si>
  <si>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</si>
  <si>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</si>
  <si>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</si>
  <si>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</si>
  <si>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</si>
  <si>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</si>
  <si>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</si>
  <si>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</si>
  <si>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</si>
  <si>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</si>
  <si>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</si>
  <si>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</si>
  <si>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</si>
  <si>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</si>
  <si>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</si>
  <si>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</si>
  <si>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</si>
  <si>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</si>
  <si>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</si>
  <si>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</si>
  <si>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</si>
  <si>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</si>
  <si>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</si>
  <si>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</si>
  <si>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</si>
  <si>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</si>
  <si>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</si>
  <si>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</si>
  <si>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</si>
  <si>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</si>
  <si>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</si>
  <si>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</si>
  <si>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</si>
  <si>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</si>
  <si>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</si>
  <si>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</si>
  <si>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</si>
  <si>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</si>
  <si>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</si>
  <si>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</si>
  <si>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</si>
  <si>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</si>
  <si>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</si>
  <si>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</si>
  <si>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</si>
  <si>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</si>
  <si>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</si>
  <si>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</si>
  <si>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</si>
  <si>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</si>
  <si>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</si>
  <si>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</si>
  <si>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</si>
  <si>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</si>
  <si>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</si>
  <si>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</si>
  <si>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</si>
  <si>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</si>
  <si>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</si>
  <si>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</si>
  <si>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</si>
  <si>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</si>
  <si>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</si>
  <si>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</si>
  <si>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</si>
  <si>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</si>
  <si>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</si>
  <si>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</si>
  <si>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</si>
  <si>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</si>
  <si>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</si>
  <si>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</si>
  <si>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</si>
  <si>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</si>
  <si>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</si>
  <si>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</si>
  <si>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</si>
  <si>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</si>
  <si>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</si>
  <si>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</si>
  <si>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</si>
  <si>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</si>
  <si>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</si>
  <si>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</si>
  <si>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</si>
  <si>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</si>
  <si>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</si>
  <si>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</si>
  <si>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</si>
  <si>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</si>
  <si>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</si>
  <si>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</si>
  <si>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</si>
  <si>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</si>
  <si>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</si>
  <si>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</si>
  <si>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</si>
  <si>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</si>
  <si>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</si>
  <si>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</si>
  <si>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</si>
  <si>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</si>
  <si>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</si>
  <si>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</si>
  <si>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</si>
  <si>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</si>
  <si>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</si>
  <si>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</si>
  <si>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</si>
  <si>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</si>
  <si>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</si>
  <si>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</si>
  <si>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</si>
  <si>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</si>
  <si>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</si>
  <si>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</si>
  <si>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</si>
  <si>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</si>
  <si>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</si>
  <si>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</si>
  <si>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</si>
  <si>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</si>
  <si>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</si>
  <si>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</si>
  <si>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</si>
  <si>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</si>
  <si>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</si>
  <si>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</si>
  <si>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</si>
  <si>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</si>
  <si>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</si>
  <si>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</si>
  <si>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</si>
  <si>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</si>
  <si>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</si>
  <si>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</si>
  <si>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</si>
  <si>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</si>
  <si>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</si>
  <si>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</si>
  <si>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</si>
  <si>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</si>
  <si>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</si>
  <si>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</si>
  <si>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</si>
  <si>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</si>
  <si>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</si>
  <si>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</si>
  <si>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</si>
  <si>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</si>
  <si>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</si>
  <si>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</si>
  <si>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</si>
  <si>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</si>
  <si>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</si>
  <si>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</si>
  <si>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</si>
  <si>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</si>
  <si>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</si>
  <si>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</si>
  <si>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</si>
  <si>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</si>
  <si>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</si>
  <si>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</si>
  <si>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</si>
  <si>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</si>
  <si>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</si>
  <si>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</si>
  <si>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</si>
  <si>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</si>
  <si>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</si>
  <si>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</si>
  <si>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</si>
  <si>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</si>
  <si>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</si>
  <si>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</si>
  <si>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</si>
  <si>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</si>
  <si>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</si>
  <si>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</si>
  <si>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</si>
  <si>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</si>
  <si>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</si>
  <si>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</si>
  <si>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</si>
  <si>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</si>
  <si>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</si>
  <si>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</si>
  <si>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</si>
  <si>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</si>
  <si>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</si>
  <si>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</si>
  <si>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</si>
  <si>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</si>
  <si>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</si>
  <si>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</si>
  <si>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</si>
  <si>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</si>
  <si>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</si>
  <si>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</si>
  <si>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</si>
  <si>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</si>
  <si>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</si>
  <si>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</si>
  <si>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</si>
  <si>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</si>
  <si>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</si>
  <si>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</si>
  <si>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</si>
  <si>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</si>
  <si>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</si>
  <si>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</si>
  <si>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</si>
  <si>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</si>
  <si>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</si>
  <si>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</si>
  <si>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</si>
  <si>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</si>
  <si>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</si>
  <si>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</si>
  <si>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</si>
  <si>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</si>
  <si>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</si>
  <si>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</si>
  <si>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</si>
  <si>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</si>
  <si>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</si>
  <si>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</si>
  <si>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</si>
  <si>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</si>
  <si>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</si>
  <si>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</si>
  <si>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</si>
  <si>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</si>
  <si>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</si>
  <si>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</si>
  <si>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</si>
  <si>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</si>
  <si>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</si>
  <si>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</si>
  <si>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</si>
  <si>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</si>
  <si>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</si>
  <si>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</si>
  <si>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</si>
  <si>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</si>
  <si>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</si>
  <si>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</si>
  <si>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</si>
  <si>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</si>
  <si>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</si>
  <si>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</si>
  <si>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</si>
  <si>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</si>
  <si>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</si>
  <si>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</si>
  <si>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</si>
  <si>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</si>
  <si>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</si>
  <si>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</si>
  <si>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</si>
  <si>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</si>
  <si>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</si>
  <si>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</si>
  <si>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</si>
  <si>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</si>
  <si>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</si>
  <si>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</si>
  <si>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</si>
  <si>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</si>
  <si>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</si>
  <si>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</si>
  <si>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</si>
  <si>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</si>
  <si>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</si>
  <si>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</si>
  <si>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</si>
  <si>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</si>
  <si>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</si>
  <si>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</si>
  <si>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</si>
  <si>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</si>
  <si>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</si>
  <si>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</si>
  <si>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</si>
  <si>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</si>
  <si>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</si>
  <si>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</si>
  <si>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</si>
  <si>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</si>
  <si>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</si>
  <si>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</si>
  <si>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</si>
  <si>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</si>
  <si>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</si>
  <si>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</si>
  <si>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</si>
  <si>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</si>
  <si>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</si>
  <si>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</si>
  <si>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</si>
  <si>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</si>
  <si>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</si>
  <si>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</si>
  <si>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</si>
  <si>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</si>
  <si>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</si>
  <si>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</si>
  <si>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</si>
  <si>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</si>
  <si>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</si>
  <si>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</si>
  <si>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</si>
  <si>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</si>
  <si>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</si>
  <si>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</si>
  <si>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</si>
  <si>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</si>
  <si>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</si>
  <si>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</si>
  <si>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</si>
  <si>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</si>
  <si>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</si>
  <si>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</si>
  <si>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</si>
  <si>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</si>
  <si>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</si>
  <si>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</si>
  <si>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</si>
  <si>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</si>
  <si>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</si>
  <si>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</si>
  <si>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</si>
  <si>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</si>
  <si>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</si>
  <si>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</si>
  <si>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</si>
  <si>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</si>
  <si>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</si>
  <si>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</si>
  <si>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</si>
  <si>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</si>
  <si>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</si>
  <si>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</si>
  <si>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</si>
  <si>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</si>
  <si>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</si>
  <si>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</si>
  <si>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</si>
  <si>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</si>
  <si>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</si>
  <si>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</si>
  <si>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</si>
  <si>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</si>
  <si>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</si>
  <si>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</si>
  <si>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</si>
  <si>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</si>
  <si>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</si>
  <si>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</si>
  <si>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</si>
  <si>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</si>
  <si>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</si>
  <si>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</si>
  <si>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</si>
  <si>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</si>
  <si>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</si>
  <si>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</si>
  <si>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</si>
  <si>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</si>
  <si>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</si>
  <si>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</si>
  <si>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</si>
  <si>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</si>
  <si>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</si>
  <si>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</si>
  <si>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</si>
  <si>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</si>
  <si>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</si>
  <si>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</si>
  <si>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</si>
  <si>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</si>
  <si>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</si>
  <si>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</si>
  <si>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</si>
  <si>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</si>
  <si>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</si>
  <si>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</si>
  <si>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</si>
  <si>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</si>
  <si>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</si>
  <si>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</si>
  <si>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</si>
  <si>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</si>
  <si>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</si>
  <si>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</si>
  <si>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</si>
  <si>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</si>
  <si>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</si>
  <si>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</si>
  <si>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</si>
  <si>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</si>
  <si>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</si>
  <si>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</si>
  <si>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</si>
  <si>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</si>
  <si>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</si>
  <si>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</si>
  <si>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</si>
  <si>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</si>
  <si>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</si>
  <si>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</si>
  <si>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</si>
  <si>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</si>
  <si>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</si>
  <si>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</si>
  <si>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</si>
  <si>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</si>
  <si>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</si>
  <si>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</si>
  <si>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</si>
  <si>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</si>
  <si>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</si>
  <si>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</si>
  <si>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</si>
  <si>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</si>
  <si>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</si>
  <si>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</si>
  <si>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</si>
  <si>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</si>
  <si>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</si>
  <si>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</si>
  <si>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</si>
  <si>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</si>
  <si>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</si>
  <si>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</si>
  <si>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</si>
  <si>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</si>
  <si>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</si>
  <si>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</si>
  <si>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</si>
  <si>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</si>
  <si>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</si>
  <si>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</si>
  <si>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</si>
  <si>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</si>
  <si>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</si>
  <si>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</si>
  <si>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</si>
  <si>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</si>
  <si>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</si>
  <si>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</si>
  <si>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</si>
  <si>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</si>
  <si>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</si>
  <si>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</si>
  <si>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</si>
  <si>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</si>
  <si>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</si>
  <si>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</si>
  <si>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</si>
  <si>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</si>
  <si>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</si>
  <si>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</si>
  <si>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</si>
  <si>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</si>
  <si>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</si>
  <si>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</si>
  <si>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</si>
  <si>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</si>
  <si>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</si>
  <si>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</si>
  <si>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</si>
  <si>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</si>
  <si>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</si>
  <si>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</si>
  <si>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</si>
  <si>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</si>
  <si>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</si>
  <si>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</si>
  <si>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</si>
  <si>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</si>
  <si>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</si>
  <si>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</si>
  <si>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</si>
  <si>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</si>
  <si>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</si>
  <si>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</si>
  <si>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</si>
  <si>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</si>
  <si>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</si>
  <si>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</si>
  <si>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</si>
  <si>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</si>
  <si>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</si>
  <si>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</si>
  <si>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</si>
  <si>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</si>
  <si>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</si>
  <si>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</si>
  <si>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</si>
  <si>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</si>
  <si>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</si>
  <si>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</si>
  <si>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</si>
  <si>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</si>
  <si>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</si>
  <si>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</si>
  <si>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</si>
  <si>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</si>
  <si>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</si>
  <si>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</si>
  <si>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</si>
  <si>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</si>
  <si>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</si>
  <si>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</si>
  <si>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</si>
  <si>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</si>
  <si>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</si>
  <si>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</si>
  <si>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</si>
  <si>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</si>
  <si>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</si>
  <si>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</si>
  <si>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</si>
  <si>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</si>
  <si>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</si>
  <si>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</si>
  <si>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</si>
  <si>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</si>
  <si>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</si>
  <si>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</si>
  <si>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</si>
  <si>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</si>
  <si>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</si>
  <si>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</si>
  <si>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</si>
  <si>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</si>
  <si>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</si>
  <si>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</si>
  <si>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</si>
  <si>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</si>
  <si>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</si>
  <si>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</si>
  <si>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</si>
  <si>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</si>
  <si>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</si>
  <si>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</si>
  <si>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</si>
  <si>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</si>
  <si>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</si>
  <si>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</si>
  <si>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</si>
  <si>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</si>
  <si>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</si>
  <si>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</si>
  <si>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</si>
  <si>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</si>
  <si>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</si>
  <si>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</si>
  <si>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</si>
  <si>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</si>
  <si>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</si>
  <si>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</si>
  <si>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</si>
  <si>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</si>
  <si>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</si>
  <si>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</si>
  <si>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</si>
  <si>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</si>
  <si>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</si>
  <si>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</si>
  <si>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</si>
  <si>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</si>
  <si>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</si>
  <si>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</si>
  <si>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</si>
  <si>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</si>
  <si>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</si>
  <si>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</si>
  <si>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</si>
  <si>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</si>
  <si>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</si>
  <si>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</si>
  <si>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</si>
  <si>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</si>
  <si>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</si>
  <si>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</si>
  <si>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</si>
  <si>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</si>
  <si>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</si>
  <si>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</si>
  <si>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</si>
  <si>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</si>
  <si>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</si>
  <si>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</si>
  <si>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</si>
  <si>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</si>
  <si>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</si>
  <si>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</si>
  <si>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</si>
  <si>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</si>
  <si>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</si>
  <si>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</si>
  <si>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</si>
  <si>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</si>
  <si>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</si>
  <si>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</si>
  <si>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</si>
  <si>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</si>
  <si>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</si>
  <si>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</si>
  <si>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</si>
  <si>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</si>
  <si>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</si>
  <si>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</si>
  <si>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</si>
  <si>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</si>
  <si>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</si>
  <si>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</si>
  <si>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</si>
  <si>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</si>
  <si>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</si>
  <si>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</si>
  <si>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</si>
  <si>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</si>
  <si>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</si>
  <si>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</si>
  <si>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</si>
  <si>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</si>
  <si>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</si>
  <si>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</si>
  <si>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</si>
  <si>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</si>
  <si>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</si>
  <si>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</si>
  <si>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</si>
  <si>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</si>
  <si>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</si>
  <si>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</si>
  <si>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</si>
  <si>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</si>
  <si>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</si>
  <si>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</si>
  <si>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</si>
  <si>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</si>
  <si>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</si>
  <si>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</si>
  <si>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</si>
  <si>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</si>
  <si>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</si>
  <si>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</si>
  <si>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</si>
  <si>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</si>
  <si>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</si>
  <si>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</si>
  <si>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</si>
  <si>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</si>
  <si>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</si>
  <si>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</si>
  <si>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</si>
  <si>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</si>
  <si>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</si>
  <si>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</si>
  <si>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</si>
  <si>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</si>
  <si>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</si>
  <si>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</si>
  <si>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</si>
  <si>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</si>
  <si>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</si>
  <si>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</si>
  <si>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</si>
  <si>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</si>
  <si>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</si>
  <si>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</si>
  <si>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</si>
  <si>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</si>
  <si>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</si>
  <si>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</si>
  <si>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</si>
  <si>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</si>
  <si>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</si>
  <si>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</si>
  <si>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</si>
  <si>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</si>
  <si>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</si>
  <si>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</si>
  <si>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</si>
  <si>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</si>
  <si>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</si>
  <si>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</si>
  <si>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</si>
  <si>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</si>
  <si>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</si>
  <si>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</si>
  <si>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</si>
  <si>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</si>
  <si>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</si>
  <si>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</si>
  <si>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</si>
  <si>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</si>
  <si>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</si>
  <si>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</si>
  <si>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</si>
  <si>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</si>
  <si>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</si>
  <si>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</si>
  <si>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</si>
  <si>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</si>
  <si>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</si>
  <si>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</si>
  <si>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</si>
  <si>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</si>
  <si>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</si>
  <si>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</si>
  <si>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</si>
  <si>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</si>
  <si>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</si>
  <si>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</si>
  <si>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</si>
  <si>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</si>
  <si>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</si>
  <si>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</si>
  <si>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</si>
  <si>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</si>
  <si>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</si>
  <si>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</si>
  <si>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</si>
  <si>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</si>
  <si>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</si>
  <si>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</si>
  <si>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</si>
  <si>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</si>
  <si>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</si>
  <si>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</si>
  <si>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</si>
  <si>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</si>
  <si>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</si>
  <si>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</si>
  <si>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</si>
  <si>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</si>
  <si>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</si>
  <si>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</si>
  <si>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</si>
  <si>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</si>
  <si>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</si>
  <si>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</si>
  <si>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</si>
  <si>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</si>
  <si>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</si>
  <si>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</si>
  <si>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</si>
  <si>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</si>
  <si>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</si>
  <si>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</si>
  <si>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</si>
  <si>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</si>
  <si>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</si>
  <si>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</si>
  <si>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</si>
  <si>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</si>
  <si>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</si>
  <si>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</si>
  <si>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</si>
  <si>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</si>
  <si>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</si>
  <si>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</si>
  <si>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</si>
  <si>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</si>
  <si>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</si>
  <si>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</si>
  <si>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</si>
  <si>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</si>
  <si>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</si>
  <si>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</si>
  <si>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</si>
  <si>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</si>
  <si>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</si>
  <si>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</si>
  <si>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</si>
  <si>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</si>
  <si>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</si>
  <si>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</si>
  <si>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</si>
  <si>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</si>
  <si>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</si>
  <si>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</si>
  <si>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</si>
  <si>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</si>
  <si>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</si>
  <si>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</si>
  <si>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</si>
  <si>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</si>
  <si>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</si>
  <si>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</si>
  <si>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</si>
  <si>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</si>
  <si>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</si>
  <si>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</si>
  <si>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</si>
  <si>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</si>
  <si>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</si>
  <si>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</si>
  <si>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</si>
  <si>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</si>
  <si>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</si>
  <si>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</si>
  <si>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</si>
  <si>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</si>
  <si>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</si>
  <si>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</si>
  <si>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</si>
  <si>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</si>
  <si>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</si>
  <si>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</si>
  <si>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</si>
  <si>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</si>
  <si>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</si>
  <si>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</si>
  <si>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</si>
  <si>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</si>
  <si>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</si>
  <si>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</si>
  <si>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</si>
  <si>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</si>
  <si>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</si>
  <si>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</si>
  <si>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</si>
  <si>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</si>
  <si>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</si>
  <si>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</si>
  <si>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</si>
  <si>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</si>
  <si>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</si>
  <si>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</si>
  <si>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</si>
  <si>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</si>
  <si>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</si>
  <si>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</si>
  <si>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</si>
  <si>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</si>
  <si>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</si>
  <si>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</si>
  <si>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</si>
  <si>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</si>
  <si>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</si>
  <si>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</si>
  <si>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</si>
  <si>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</si>
  <si>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</si>
  <si>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</si>
  <si>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</si>
  <si>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</si>
  <si>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</si>
  <si>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</si>
  <si>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</si>
  <si>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</si>
  <si>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</si>
  <si>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</si>
  <si>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</si>
  <si>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</si>
  <si>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</si>
  <si>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</si>
  <si>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</si>
  <si>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</si>
  <si>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</si>
  <si>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</si>
  <si>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</si>
  <si>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</si>
  <si>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</si>
  <si>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</si>
  <si>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</si>
  <si>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</si>
  <si>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</si>
  <si>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</si>
  <si>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</si>
  <si>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</si>
  <si>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</si>
  <si>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</si>
  <si>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</si>
  <si>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</si>
  <si>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</si>
  <si>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</si>
  <si>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</si>
  <si>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</si>
  <si>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</si>
  <si>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</si>
  <si>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</si>
  <si>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</si>
  <si>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</si>
  <si>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</si>
  <si>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</si>
  <si>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</si>
  <si>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</si>
  <si>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</si>
  <si>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</si>
  <si>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</si>
  <si>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</si>
  <si>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</si>
  <si>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</si>
  <si>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</si>
  <si>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</si>
  <si>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</si>
  <si>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</si>
  <si>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</si>
  <si>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</si>
  <si>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</si>
  <si>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</si>
  <si>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</si>
  <si>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</si>
  <si>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</si>
  <si>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</si>
  <si>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</si>
  <si>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</si>
  <si>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</si>
  <si>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</si>
  <si>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</si>
  <si>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</si>
  <si>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</si>
  <si>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</si>
  <si>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</si>
  <si>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</si>
  <si>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</si>
  <si>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</si>
  <si>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</si>
  <si>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</si>
  <si>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</si>
  <si>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</si>
  <si>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</si>
  <si>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</si>
  <si>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</si>
  <si>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</si>
  <si>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</si>
  <si>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</si>
  <si>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</si>
  <si>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</si>
  <si>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</si>
  <si>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</si>
  <si>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</si>
  <si>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</si>
  <si>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</si>
  <si>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</si>
  <si>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</si>
  <si>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</si>
  <si>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</si>
  <si>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</si>
  <si>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</si>
  <si>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</si>
  <si>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</si>
  <si>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</si>
  <si>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</si>
  <si>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</si>
  <si>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</si>
  <si>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</si>
  <si>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</si>
  <si>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</si>
  <si>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</si>
  <si>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</si>
  <si>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</si>
  <si>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</si>
  <si>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</si>
  <si>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</si>
  <si>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</si>
  <si>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</si>
  <si>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</si>
  <si>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</si>
  <si>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</si>
  <si>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</si>
  <si>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</si>
  <si>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</si>
  <si>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</si>
  <si>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</si>
  <si>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</si>
  <si>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</si>
  <si>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</si>
  <si>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</si>
  <si>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</si>
  <si>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</si>
  <si>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</si>
  <si>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</si>
  <si>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</si>
  <si>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</si>
  <si>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</si>
  <si>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</si>
  <si>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</si>
  <si>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</si>
  <si>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</si>
  <si>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</si>
  <si>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</si>
  <si>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</si>
  <si>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</si>
  <si>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</si>
  <si>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</si>
  <si>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</si>
  <si>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</si>
  <si>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</si>
  <si>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</si>
  <si>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</si>
  <si>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</si>
  <si>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</si>
  <si>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</si>
  <si>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</si>
  <si>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</si>
  <si>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</si>
  <si>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</si>
  <si>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</si>
  <si>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</si>
  <si>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</si>
  <si>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</si>
  <si>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</si>
  <si>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</si>
  <si>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</si>
  <si>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</si>
  <si>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</si>
  <si>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</si>
  <si>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</si>
  <si>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</si>
  <si>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</si>
  <si>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</si>
  <si>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</si>
  <si>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</si>
  <si>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</si>
  <si>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</si>
  <si>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</si>
  <si>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</si>
  <si>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</si>
  <si>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</si>
  <si>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</si>
  <si>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</si>
  <si>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</si>
  <si>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</si>
  <si>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</si>
  <si>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</si>
  <si>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</si>
  <si>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</si>
  <si>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</si>
  <si>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</si>
  <si>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</si>
  <si>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</si>
  <si>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</si>
  <si>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</si>
  <si>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x</t>
  </si>
  <si>
    <t>53-060-1910-26</t>
  </si>
  <si>
    <t>Tazewell and Mason</t>
  </si>
  <si>
    <t>Midwest Central Community Unit School District No. 191</t>
  </si>
  <si>
    <t>1010 S. Washington Street</t>
  </si>
  <si>
    <t>Manito</t>
  </si>
  <si>
    <t>toddh@midwestcentral.org</t>
  </si>
  <si>
    <t>Todd Hellrigel</t>
  </si>
  <si>
    <t>309-968-6868</t>
  </si>
  <si>
    <t>309-968-7916</t>
  </si>
  <si>
    <t>Thomas R. Peffer, CPA</t>
  </si>
  <si>
    <t>tpeffer@gorenzcpa.com</t>
  </si>
  <si>
    <t>General Obligation Bonds, Series 2010</t>
  </si>
  <si>
    <t>Alternative Revenue Bond, Series 2015</t>
  </si>
  <si>
    <t>Alternative Revenue Bond</t>
  </si>
  <si>
    <t>Mid Illini Education Co-op</t>
  </si>
  <si>
    <t>Western Area Schools Health Plan Co-op</t>
  </si>
  <si>
    <t>ISDLAF</t>
  </si>
  <si>
    <t>Tazewell Mason Special Education Co-op</t>
  </si>
  <si>
    <t>Peoria ROE</t>
  </si>
  <si>
    <t>Western Area Puchasing Co-op</t>
  </si>
  <si>
    <t>Education for Employment</t>
  </si>
  <si>
    <t>Delevan CUSD #703 (in sports), Havana CUSD (sports)</t>
  </si>
  <si>
    <t>2017-001</t>
  </si>
  <si>
    <t>Lack of segregation of duties</t>
  </si>
  <si>
    <t>The opinion is adverse due to the use of the Regulatory Basis of Accounting.</t>
  </si>
  <si>
    <t>For the Year Ended June 30, 2018</t>
  </si>
  <si>
    <t>ISBE</t>
  </si>
  <si>
    <t>Expenditures/Disbursements</t>
  </si>
  <si>
    <t>Project</t>
  </si>
  <si>
    <t xml:space="preserve">Prior to </t>
  </si>
  <si>
    <t>7/01/2017</t>
  </si>
  <si>
    <t>Prior to</t>
  </si>
  <si>
    <t>Final</t>
  </si>
  <si>
    <t>Federal Grantor/Pass-Through Grantor,</t>
  </si>
  <si>
    <t>Number</t>
  </si>
  <si>
    <t>Encumbrances</t>
  </si>
  <si>
    <t>Program Title &amp; Major Program Designation</t>
  </si>
  <si>
    <t xml:space="preserve">U.S. Department of Agriculture - </t>
  </si>
  <si>
    <t>Pass-through program from</t>
  </si>
  <si>
    <t>Illinois State Board of Education</t>
  </si>
  <si>
    <t>(M)</t>
  </si>
  <si>
    <t>17-4210-00</t>
  </si>
  <si>
    <t>N/A</t>
  </si>
  <si>
    <t>18-4210-00</t>
  </si>
  <si>
    <t>17-4220-00</t>
  </si>
  <si>
    <t>18-4220-00</t>
  </si>
  <si>
    <t>NSLP Equipment Assistance Grant</t>
  </si>
  <si>
    <t>15-4260-00</t>
  </si>
  <si>
    <t>Department of Defense:</t>
  </si>
  <si>
    <t>08-4220-00</t>
  </si>
  <si>
    <t>09-4220-00</t>
  </si>
  <si>
    <t>Child Nutrition Commodity/Salvage</t>
  </si>
  <si>
    <t>08-4250-00</t>
  </si>
  <si>
    <t>Fruits and Vegetables (2)</t>
  </si>
  <si>
    <t>FY 2010</t>
  </si>
  <si>
    <t>FY 2017</t>
  </si>
  <si>
    <t>FY 2018</t>
  </si>
  <si>
    <t>Food Donation (2)</t>
  </si>
  <si>
    <t>Total U.S. Department of Agriculture - Pass-through programs from ISBE</t>
  </si>
  <si>
    <t xml:space="preserve">U.S. Department of Education - </t>
  </si>
  <si>
    <t>84.010</t>
  </si>
  <si>
    <t>17-4300-00</t>
  </si>
  <si>
    <t>18-4300-00</t>
  </si>
  <si>
    <t>Title IV - Drug Free Schools - Formula</t>
  </si>
  <si>
    <t>10-4400-00</t>
  </si>
  <si>
    <t>11-4400-00</t>
  </si>
  <si>
    <t>ARRA - General State Aid - Education SFSF</t>
  </si>
  <si>
    <t>10-4850-00</t>
  </si>
  <si>
    <t>ARRA - General State Aid - Government SFSF</t>
  </si>
  <si>
    <t>10-4870-00</t>
  </si>
  <si>
    <t>ARRA - Technology Enhancing Education</t>
  </si>
  <si>
    <t>10-4861-00</t>
  </si>
  <si>
    <t>11-4861-00</t>
  </si>
  <si>
    <t>17-4932-00</t>
  </si>
  <si>
    <t>18-4932-00</t>
  </si>
  <si>
    <t>Technology - Enhancing Education -Competitive</t>
  </si>
  <si>
    <t>84.318X</t>
  </si>
  <si>
    <t>13-4972-00</t>
  </si>
  <si>
    <t>Technology - Enhancing Education - Formula</t>
  </si>
  <si>
    <t>11-4971-00</t>
  </si>
  <si>
    <t>Total U.S. Department of Education - Pass-through programs from ISBE</t>
  </si>
  <si>
    <t>Quad City Career and Technical Education Consortium</t>
  </si>
  <si>
    <t>Tech Prep</t>
  </si>
  <si>
    <t>10-4770-01</t>
  </si>
  <si>
    <t>11-4770-01</t>
  </si>
  <si>
    <t>Total - Pass-through programs from Quad City Career and Technical Ed Consortium</t>
  </si>
  <si>
    <t xml:space="preserve">  Lee/Ogle Regional Office of Education</t>
  </si>
  <si>
    <t>ARRA - McKinney Vento Homeless</t>
  </si>
  <si>
    <t>84.387A</t>
  </si>
  <si>
    <t>10-4862-00</t>
  </si>
  <si>
    <t>Tazewell Mason County Special Education Association</t>
  </si>
  <si>
    <t>IDEA - Part B - Pre-School</t>
  </si>
  <si>
    <t>84.027A</t>
  </si>
  <si>
    <t>10-4600-00</t>
  </si>
  <si>
    <t>84.173A</t>
  </si>
  <si>
    <t>17-4600-00</t>
  </si>
  <si>
    <t>18-4600-00</t>
  </si>
  <si>
    <t>IDEA - Flow Through</t>
  </si>
  <si>
    <t>17-4620-00</t>
  </si>
  <si>
    <t>18-4620-00</t>
  </si>
  <si>
    <t xml:space="preserve">        ARRA - IDEA - Flow Through</t>
  </si>
  <si>
    <t>84.391A</t>
  </si>
  <si>
    <t>10-4857-00</t>
  </si>
  <si>
    <t>ARRA - IDEA - Flow Through</t>
  </si>
  <si>
    <t>11-4857-00</t>
  </si>
  <si>
    <t>Total U.S. Department of Education - Pass-through programs-Tazewell Mason</t>
  </si>
  <si>
    <t xml:space="preserve">U.S. Department of Labor - </t>
  </si>
  <si>
    <t>United Workforce Development Board, Inc.</t>
  </si>
  <si>
    <t>Careers for America's Rural Youth (CARY)</t>
  </si>
  <si>
    <t>17-4998</t>
  </si>
  <si>
    <t>18-4998</t>
  </si>
  <si>
    <t>Total U.S. Department of Labor - Pass-through program</t>
  </si>
  <si>
    <t>from United Workforce Development Board, Inc.</t>
  </si>
  <si>
    <t xml:space="preserve">U.S. Department of Health &amp; Human Services - </t>
  </si>
  <si>
    <t>Illinois Department of Healthcare and Family Services</t>
  </si>
  <si>
    <t>Medicaid Administrative Outreach</t>
  </si>
  <si>
    <t>17-4991-00</t>
  </si>
  <si>
    <t>18-4991-00</t>
  </si>
  <si>
    <t>Peoria School District 150 and Henry Stark Special Ed</t>
  </si>
  <si>
    <t>09-4991-00</t>
  </si>
  <si>
    <t>08-4991-00</t>
  </si>
  <si>
    <t>10-4991-00</t>
  </si>
  <si>
    <t>Total U.S. Department of Health &amp; Human Services - Pass-through program</t>
  </si>
  <si>
    <t>from Illinois Department of Healthcare and Family Services</t>
  </si>
  <si>
    <t>Total Federal Awards</t>
  </si>
  <si>
    <t>Total Federal Awards Passed Through Illinois State Board of Education</t>
  </si>
  <si>
    <t>Total Federal Awards Passed Through Other Entities</t>
  </si>
  <si>
    <t>(M)  Indicates Major Federal Financial Assistance Program.</t>
  </si>
  <si>
    <t>(1) Carry over funds from the prior year program per ISBE.</t>
  </si>
  <si>
    <t>(2) Nonmonetary assistance is reported in the schedule at the fair market value of the commodities received and disbursed.</t>
  </si>
  <si>
    <t>(3) Project Not Complete as of June 30, 2018</t>
  </si>
  <si>
    <t>No subrecipients during FY18</t>
  </si>
  <si>
    <t>The accompanying Schedule of Expenditures of Federal Awards includes the federal grant activity of Midwest Central Community Unit School District No. 191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</si>
  <si>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Midwest Central Community Unit School District No. 191 provided federal awards to subrecipients as follows:</t>
  </si>
  <si>
    <t>The following amounts were expended in the form of non-cash assistance by Midwest Central Community Unit School District No. 191 and should be included in the Schedule of Expenditures of Federal Awards:</t>
  </si>
  <si>
    <t>Note 5:  Relationship to Basic Financial Statements and Program Financial Reports</t>
  </si>
  <si>
    <t>Note 6:  Other Information</t>
  </si>
  <si>
    <t>Federal awards received are reflected in the District's financial statements within the Educational Fund as receipts from federal sources.  Amounts reported in the accompanying Schedule of Federal Awards agree with the amounts reported in the Program Financial Reports for programs which have filed final reports as of June 30, 2018, with ISBE.</t>
  </si>
  <si>
    <t>Unmodified</t>
  </si>
  <si>
    <t>10.553, 10.555</t>
  </si>
  <si>
    <t>Child Nutrition Cluster</t>
  </si>
  <si>
    <t>Page 10 - Line 74 - Food service commodity rebates</t>
  </si>
  <si>
    <t>Page 14 - Line 272 - CARY Grant</t>
  </si>
  <si>
    <t>Page 11 - Line 107 - Education Fund - Convenience Fees, STEM stipend, misc. reimbursements, TMCSEA Tuition Reimbursement</t>
  </si>
  <si>
    <t>Page 11 - Line 107 - Operations and Maintenance Fund - Grainger Refund</t>
  </si>
  <si>
    <t>Page 11 - Line 107 - Transportation Fund - bus rebates, receipt for sharing transportation director w/ new Holland-Middleton, misc. receipts &amp; reimbursements</t>
  </si>
  <si>
    <t>Page 12 - Line 171 - State Library Grant</t>
  </si>
  <si>
    <t>Unresolved - See Finding 2018-001</t>
  </si>
  <si>
    <t>None known</t>
  </si>
  <si>
    <t xml:space="preserve">Page 11 - Line 107 - Municpal Retirement &amp; Social Security Fund - reimbursements from STEM stipend   </t>
  </si>
  <si>
    <t>New Holland-Middleton</t>
  </si>
  <si>
    <t>Manito, IL</t>
  </si>
  <si>
    <t xml:space="preserve">     61546</t>
  </si>
  <si>
    <t xml:space="preserve">    Title I - Low Income</t>
  </si>
  <si>
    <t>20. Finding 2018-001: Segregation of Duties</t>
  </si>
  <si>
    <t>066-005027</t>
  </si>
  <si>
    <t>General Obligation Bonds, Series 2015</t>
  </si>
  <si>
    <t>Tran-Transportation-Purchase Services</t>
  </si>
  <si>
    <t>40-2550-300</t>
  </si>
  <si>
    <t>Commerce Bank</t>
  </si>
  <si>
    <t>Cash Basis - Value of Commodities Received</t>
  </si>
  <si>
    <t>Page 18 - Line 171 - Bond Fees</t>
  </si>
  <si>
    <t>Page 25 - Line 20 - Bond Service Fees</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</si>
  <si>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</si>
  <si>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</si>
  <si>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two individuals.</t>
  </si>
  <si>
    <t>Certain individuals have the ability to complete and record accounting functions which ideally would be segregated.</t>
  </si>
  <si>
    <t>The Board of Education has determined that two individuals is sufficient to perform the required duties.</t>
  </si>
  <si>
    <t>The Board should take steps it considers necessary to limit the risks that a lack of segregation of duties presents; such as but not limits to hiring additional staff.</t>
  </si>
  <si>
    <t>The district will take the auditors' recommendations under consideration.</t>
  </si>
  <si>
    <t>ED-Food Service-Purchase Services</t>
  </si>
  <si>
    <t>10-2560-300</t>
  </si>
  <si>
    <t>Arbor Management</t>
  </si>
  <si>
    <t>IL Education Job Bank</t>
  </si>
  <si>
    <t>see embedded PDF version</t>
  </si>
  <si>
    <t>Midwest Central CUSD 191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</si>
</sst>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0.000_);\(#,##0.000\)"/>
    <numFmt numFmtId="184" formatCode="_(* #,##0.0000_);_(* \(#,##0.0000\);_(* &quot; &quot;_);_(@_)"/>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sz val="10"/>
      <name val="Courier"/>
      <family val="3"/>
    </font>
    <font>
      <b/>
      <sz val="12"/>
      <name val="Times New Roman"/>
      <family val="1"/>
    </font>
    <font>
      <b/>
      <sz val="11"/>
      <name val="Times New Roman"/>
      <family val="1"/>
    </font>
    <font>
      <u val="singleAccounting"/>
      <sz val="10"/>
      <name val="Times New Roman"/>
      <family val="1"/>
    </font>
    <font>
      <u/>
      <sz val="10"/>
      <name val="Times New Roman"/>
      <family val="1"/>
    </font>
    <font>
      <b/>
      <sz val="10"/>
      <name val="Times New Roman"/>
      <family val="1"/>
    </font>
    <font>
      <b/>
      <sz val="10"/>
      <name val="Times New Roman"/>
      <family val="1"/>
    </font>
    <font>
      <u val="doubleAccounting"/>
      <sz val="10"/>
      <name val="Times New Roman"/>
      <family val="1"/>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7" fillId="0" borderId="0"/>
    <xf numFmtId="37" fontId="138" fillId="0" borderId="0"/>
    <xf numFmtId="43" fontId="44" fillId="0" borderId="0" applyFont="0" applyFill="0" applyBorder="0" applyAlignment="0" applyProtection="0"/>
  </cellStyleXfs>
  <cellXfs count="264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7" fontId="137" fillId="0" borderId="0" xfId="19"/>
    <xf numFmtId="37" fontId="137" fillId="0" borderId="0" xfId="19" applyAlignment="1">
      <alignment vertical="center"/>
    </xf>
    <xf numFmtId="37" fontId="44" fillId="0" borderId="0" xfId="19" applyFont="1"/>
    <xf numFmtId="37" fontId="44" fillId="0" borderId="0" xfId="19" applyFont="1" applyAlignment="1">
      <alignment horizontal="centerContinuous"/>
    </xf>
    <xf numFmtId="37" fontId="44" fillId="0" borderId="0" xfId="19" applyFont="1" applyAlignment="1">
      <alignment horizontal="left"/>
    </xf>
    <xf numFmtId="37" fontId="44" fillId="0" borderId="0" xfId="19" applyFont="1" applyAlignment="1">
      <alignment horizontal="center"/>
    </xf>
    <xf numFmtId="37" fontId="44" fillId="0" borderId="142" xfId="19" applyFont="1" applyBorder="1" applyAlignment="1">
      <alignment horizontal="centerContinuous"/>
    </xf>
    <xf numFmtId="37" fontId="44" fillId="0" borderId="142" xfId="19" applyFont="1" applyBorder="1" applyAlignment="1">
      <alignment horizontal="left"/>
    </xf>
    <xf numFmtId="37" fontId="44" fillId="0" borderId="142" xfId="19" applyFont="1" applyBorder="1"/>
    <xf numFmtId="37" fontId="44" fillId="0" borderId="142" xfId="19" applyFont="1" applyBorder="1" applyAlignment="1">
      <alignment horizontal="center"/>
    </xf>
    <xf numFmtId="37" fontId="44" fillId="0" borderId="0" xfId="19" applyFont="1" applyBorder="1" applyAlignment="1">
      <alignment horizontal="left"/>
    </xf>
    <xf numFmtId="37" fontId="44" fillId="0" borderId="0" xfId="19" applyFont="1" applyBorder="1" applyAlignment="1">
      <alignment horizontal="center" vertical="center"/>
    </xf>
    <xf numFmtId="37" fontId="141" fillId="0" borderId="0" xfId="19" applyFont="1" applyBorder="1" applyAlignment="1">
      <alignment horizontal="center" vertical="center"/>
    </xf>
    <xf numFmtId="37" fontId="44" fillId="0" borderId="0" xfId="19" applyFont="1" applyAlignment="1">
      <alignment horizontal="center" vertical="center"/>
    </xf>
    <xf numFmtId="37" fontId="44" fillId="0" borderId="0" xfId="19" quotePrefix="1" applyFont="1" applyAlignment="1">
      <alignment horizontal="center" vertical="center"/>
    </xf>
    <xf numFmtId="37" fontId="44" fillId="0" borderId="0" xfId="19" applyFont="1" applyAlignment="1">
      <alignment vertical="center"/>
    </xf>
    <xf numFmtId="14" fontId="44" fillId="0" borderId="0" xfId="19" applyNumberFormat="1" applyFont="1" applyAlignment="1">
      <alignment horizontal="center" vertical="center"/>
    </xf>
    <xf numFmtId="37" fontId="142" fillId="0" borderId="0" xfId="19" quotePrefix="1" applyFont="1" applyAlignment="1">
      <alignment vertical="center"/>
    </xf>
    <xf numFmtId="37" fontId="141" fillId="0" borderId="0" xfId="19" applyFont="1" applyAlignment="1">
      <alignment horizontal="center" vertical="center"/>
    </xf>
    <xf numFmtId="37" fontId="44" fillId="0" borderId="0" xfId="19" applyNumberFormat="1" applyFont="1" applyAlignment="1" applyProtection="1">
      <alignment horizontal="center" vertical="center"/>
    </xf>
    <xf numFmtId="37" fontId="142" fillId="0" borderId="0" xfId="19" applyFont="1" applyAlignment="1">
      <alignment horizontal="center"/>
    </xf>
    <xf numFmtId="37" fontId="142" fillId="0" borderId="0" xfId="19" applyNumberFormat="1" applyFont="1" applyAlignment="1" applyProtection="1">
      <alignment horizontal="center"/>
    </xf>
    <xf numFmtId="37" fontId="44" fillId="0" borderId="0" xfId="19" applyNumberFormat="1" applyFont="1" applyProtection="1"/>
    <xf numFmtId="37" fontId="44" fillId="0" borderId="0" xfId="19" applyNumberFormat="1" applyFont="1" applyAlignment="1" applyProtection="1">
      <alignment horizontal="center"/>
    </xf>
    <xf numFmtId="37" fontId="143" fillId="0" borderId="0" xfId="19" applyFont="1" applyAlignment="1">
      <alignment horizontal="left"/>
    </xf>
    <xf numFmtId="37" fontId="143" fillId="0" borderId="0" xfId="19" applyFont="1" applyAlignment="1">
      <alignment horizontal="left" indent="1"/>
    </xf>
    <xf numFmtId="37" fontId="142" fillId="0" borderId="0" xfId="19" applyNumberFormat="1" applyFont="1" applyFill="1" applyAlignment="1" applyProtection="1">
      <alignment horizontal="center"/>
    </xf>
    <xf numFmtId="37" fontId="44" fillId="0" borderId="0" xfId="19" applyNumberFormat="1" applyFont="1" applyFill="1" applyProtection="1"/>
    <xf numFmtId="37" fontId="44" fillId="0" borderId="0" xfId="19" applyNumberFormat="1" applyFont="1" applyFill="1" applyAlignment="1" applyProtection="1">
      <alignment horizontal="center"/>
    </xf>
    <xf numFmtId="37" fontId="44" fillId="0" borderId="0" xfId="19" applyFont="1" applyFill="1"/>
    <xf numFmtId="37" fontId="44" fillId="0" borderId="0" xfId="19" applyFont="1" applyFill="1" applyAlignment="1">
      <alignment horizontal="center"/>
    </xf>
    <xf numFmtId="37" fontId="44" fillId="0" borderId="0" xfId="19" applyFont="1" applyAlignment="1">
      <alignment horizontal="right"/>
    </xf>
    <xf numFmtId="37" fontId="44" fillId="0" borderId="0" xfId="19" applyFont="1" applyFill="1" applyAlignment="1">
      <alignment horizontal="center" vertical="top"/>
    </xf>
    <xf numFmtId="37" fontId="44" fillId="0" borderId="0" xfId="19" applyFont="1" applyAlignment="1">
      <alignment horizontal="left" indent="1"/>
    </xf>
    <xf numFmtId="181" fontId="44" fillId="0" borderId="0" xfId="19" applyNumberFormat="1" applyFont="1" applyAlignment="1" applyProtection="1">
      <alignment horizontal="center"/>
    </xf>
    <xf numFmtId="182" fontId="44" fillId="0" borderId="0" xfId="19" applyNumberFormat="1" applyFont="1" applyFill="1"/>
    <xf numFmtId="182" fontId="44" fillId="0" borderId="0" xfId="19" applyNumberFormat="1" applyFont="1" applyFill="1" applyProtection="1"/>
    <xf numFmtId="182" fontId="44" fillId="0" borderId="0" xfId="19" applyNumberFormat="1" applyFont="1" applyAlignment="1" applyProtection="1">
      <alignment horizontal="right"/>
    </xf>
    <xf numFmtId="37" fontId="44" fillId="0" borderId="0" xfId="19" applyFont="1" applyFill="1" applyAlignment="1">
      <alignment horizontal="left" indent="1"/>
    </xf>
    <xf numFmtId="181" fontId="44" fillId="0" borderId="0" xfId="19" applyNumberFormat="1" applyFont="1" applyFill="1" applyAlignment="1" applyProtection="1">
      <alignment horizontal="center"/>
    </xf>
    <xf numFmtId="182" fontId="44" fillId="0" borderId="0" xfId="19" applyNumberFormat="1" applyFont="1" applyFill="1" applyAlignment="1" applyProtection="1">
      <alignment horizontal="right"/>
    </xf>
    <xf numFmtId="37" fontId="137" fillId="0" borderId="0" xfId="19" applyFill="1" applyAlignment="1">
      <alignment vertical="center"/>
    </xf>
    <xf numFmtId="37" fontId="44" fillId="0" borderId="0" xfId="19" applyFont="1" applyAlignment="1">
      <alignment horizontal="left" indent="2"/>
    </xf>
    <xf numFmtId="37" fontId="138" fillId="0" borderId="0" xfId="19" applyFont="1" applyFill="1" applyAlignment="1">
      <alignment vertical="center"/>
    </xf>
    <xf numFmtId="37" fontId="138" fillId="0" borderId="0" xfId="19" applyFont="1" applyAlignment="1">
      <alignment vertical="center"/>
    </xf>
    <xf numFmtId="182" fontId="44" fillId="0" borderId="0" xfId="19" applyNumberFormat="1" applyFont="1" applyFill="1" applyBorder="1"/>
    <xf numFmtId="182" fontId="44" fillId="0" borderId="0" xfId="19" applyNumberFormat="1" applyFont="1" applyFill="1" applyAlignment="1">
      <alignment horizontal="center"/>
    </xf>
    <xf numFmtId="41" fontId="44" fillId="0" borderId="0" xfId="19" applyNumberFormat="1" applyFont="1" applyFill="1" applyBorder="1"/>
    <xf numFmtId="182" fontId="141" fillId="0" borderId="0" xfId="19" applyNumberFormat="1" applyFont="1" applyFill="1"/>
    <xf numFmtId="182" fontId="141" fillId="0" borderId="0" xfId="19" applyNumberFormat="1" applyFont="1"/>
    <xf numFmtId="182" fontId="44" fillId="0" borderId="0" xfId="19" applyNumberFormat="1" applyFont="1"/>
    <xf numFmtId="182" fontId="44" fillId="0" borderId="0" xfId="19" applyNumberFormat="1" applyFont="1" applyAlignment="1">
      <alignment horizontal="center"/>
    </xf>
    <xf numFmtId="182" fontId="44" fillId="0" borderId="0" xfId="19" applyNumberFormat="1" applyFont="1" applyProtection="1"/>
    <xf numFmtId="37" fontId="44" fillId="0" borderId="0" xfId="19" quotePrefix="1" applyFont="1" applyFill="1" applyAlignment="1">
      <alignment horizontal="left"/>
    </xf>
    <xf numFmtId="37" fontId="137" fillId="0" borderId="0" xfId="19" quotePrefix="1" applyAlignment="1">
      <alignment horizontal="right" vertical="center"/>
    </xf>
    <xf numFmtId="37" fontId="44" fillId="0" borderId="0" xfId="19" applyFont="1" applyFill="1" applyAlignment="1">
      <alignment horizontal="right"/>
    </xf>
    <xf numFmtId="37" fontId="44" fillId="0" borderId="0" xfId="19" quotePrefix="1" applyFont="1" applyFill="1" applyAlignment="1">
      <alignment horizontal="left" indent="1"/>
    </xf>
    <xf numFmtId="182" fontId="141" fillId="0" borderId="0" xfId="19" applyNumberFormat="1" applyFont="1" applyFill="1" applyProtection="1"/>
    <xf numFmtId="182" fontId="142" fillId="0" borderId="0" xfId="19" applyNumberFormat="1" applyFont="1" applyFill="1"/>
    <xf numFmtId="182" fontId="141" fillId="0" borderId="0" xfId="19" applyNumberFormat="1" applyFont="1" applyFill="1" applyBorder="1" applyProtection="1"/>
    <xf numFmtId="37" fontId="144" fillId="0" borderId="0" xfId="19" applyFont="1" applyAlignment="1"/>
    <xf numFmtId="183" fontId="44" fillId="0" borderId="0" xfId="19" applyNumberFormat="1" applyFont="1" applyProtection="1"/>
    <xf numFmtId="182" fontId="141" fillId="0" borderId="0" xfId="19" applyNumberFormat="1" applyFont="1" applyProtection="1"/>
    <xf numFmtId="182" fontId="44" fillId="0" borderId="0" xfId="19" applyNumberFormat="1" applyFont="1" applyAlignment="1" applyProtection="1">
      <alignment horizontal="left"/>
    </xf>
    <xf numFmtId="181" fontId="44" fillId="0" borderId="0" xfId="19" applyNumberFormat="1" applyFont="1" applyAlignment="1" applyProtection="1">
      <alignment horizontal="center" vertical="center"/>
    </xf>
    <xf numFmtId="182" fontId="44" fillId="0" borderId="0" xfId="19" applyNumberFormat="1" applyFont="1" applyFill="1" applyAlignment="1">
      <alignment vertical="center"/>
    </xf>
    <xf numFmtId="182" fontId="44" fillId="0" borderId="0" xfId="19" applyNumberFormat="1" applyFont="1" applyAlignment="1">
      <alignment vertical="center"/>
    </xf>
    <xf numFmtId="182" fontId="44" fillId="0" borderId="0" xfId="19" applyNumberFormat="1" applyFont="1" applyAlignment="1">
      <alignment horizontal="center" vertical="center"/>
    </xf>
    <xf numFmtId="182" fontId="44" fillId="0" borderId="0" xfId="19" applyNumberFormat="1" applyFont="1" applyAlignment="1" applyProtection="1">
      <alignment vertical="center"/>
    </xf>
    <xf numFmtId="37" fontId="143" fillId="0" borderId="0" xfId="19" applyFont="1" applyFill="1" applyAlignment="1">
      <alignment horizontal="left" vertical="center" indent="1"/>
    </xf>
    <xf numFmtId="183" fontId="44" fillId="0" borderId="0" xfId="19" applyNumberFormat="1" applyFont="1" applyFill="1" applyAlignment="1">
      <alignment horizontal="center"/>
    </xf>
    <xf numFmtId="37" fontId="137" fillId="0" borderId="0" xfId="19" applyAlignment="1">
      <alignment horizontal="center" vertical="center"/>
    </xf>
    <xf numFmtId="182" fontId="141" fillId="0" borderId="0" xfId="19" applyNumberFormat="1" applyFont="1" applyFill="1" applyAlignment="1" applyProtection="1">
      <alignment vertical="center"/>
    </xf>
    <xf numFmtId="182" fontId="44" fillId="0" borderId="0" xfId="19" applyNumberFormat="1" applyFont="1" applyAlignment="1" applyProtection="1">
      <alignment horizontal="left" vertical="center"/>
    </xf>
    <xf numFmtId="182" fontId="141" fillId="0" borderId="0" xfId="19" applyNumberFormat="1" applyFont="1" applyAlignment="1" applyProtection="1">
      <alignment vertical="center"/>
    </xf>
    <xf numFmtId="182" fontId="44" fillId="0" borderId="0" xfId="19" applyNumberFormat="1" applyFont="1" applyAlignment="1" applyProtection="1">
      <alignment horizontal="center" vertical="center"/>
    </xf>
    <xf numFmtId="182" fontId="44" fillId="0" borderId="0" xfId="19" applyNumberFormat="1" applyFont="1" applyFill="1" applyAlignment="1">
      <alignment horizontal="center" vertical="center"/>
    </xf>
    <xf numFmtId="37" fontId="143" fillId="0" borderId="0" xfId="19" applyFont="1" applyAlignment="1">
      <alignment horizontal="left" vertical="center"/>
    </xf>
    <xf numFmtId="37" fontId="143" fillId="0" borderId="0" xfId="19" applyFont="1" applyAlignment="1">
      <alignment horizontal="left" vertical="center" indent="1"/>
    </xf>
    <xf numFmtId="37" fontId="44" fillId="0" borderId="0" xfId="19" applyFont="1" applyAlignment="1">
      <alignment horizontal="left" vertical="center" indent="1"/>
    </xf>
    <xf numFmtId="181" fontId="44" fillId="0" borderId="0" xfId="19" applyNumberFormat="1" applyFont="1" applyFill="1" applyAlignment="1" applyProtection="1">
      <alignment horizontal="center" vertical="center"/>
    </xf>
    <xf numFmtId="182" fontId="44" fillId="0" borderId="0" xfId="19" applyNumberFormat="1" applyFont="1" applyFill="1" applyAlignment="1" applyProtection="1">
      <alignment vertical="center"/>
    </xf>
    <xf numFmtId="37" fontId="44" fillId="0" borderId="0" xfId="19" quotePrefix="1" applyFont="1" applyAlignment="1">
      <alignment horizontal="left" vertical="center" indent="1"/>
    </xf>
    <xf numFmtId="37" fontId="44" fillId="0" borderId="0" xfId="19" quotePrefix="1" applyFont="1" applyFill="1" applyAlignment="1">
      <alignment horizontal="center" vertical="center"/>
    </xf>
    <xf numFmtId="37" fontId="44" fillId="0" borderId="0" xfId="19" applyFont="1" applyFill="1" applyAlignment="1">
      <alignment horizontal="center" vertical="center"/>
    </xf>
    <xf numFmtId="182" fontId="141" fillId="0" borderId="0" xfId="19" applyNumberFormat="1" applyFont="1" applyFill="1" applyAlignment="1">
      <alignment vertical="center"/>
    </xf>
    <xf numFmtId="182" fontId="141" fillId="0" borderId="0" xfId="19" applyNumberFormat="1" applyFont="1" applyAlignment="1">
      <alignment vertical="center"/>
    </xf>
    <xf numFmtId="182" fontId="141" fillId="0" borderId="0" xfId="19" applyNumberFormat="1" applyFont="1" applyAlignment="1">
      <alignment horizontal="center" vertical="center"/>
    </xf>
    <xf numFmtId="37" fontId="143" fillId="0" borderId="0" xfId="19" applyFont="1" applyAlignment="1">
      <alignment vertical="center"/>
    </xf>
    <xf numFmtId="37" fontId="143" fillId="0" borderId="0" xfId="19" applyFont="1" applyFill="1" applyAlignment="1">
      <alignment horizontal="left" vertical="center"/>
    </xf>
    <xf numFmtId="182" fontId="44" fillId="0" borderId="0" xfId="19" applyNumberFormat="1" applyFont="1" applyFill="1" applyAlignment="1" applyProtection="1">
      <alignment horizontal="left" vertical="center"/>
    </xf>
    <xf numFmtId="182" fontId="44" fillId="0" borderId="0" xfId="19" applyNumberFormat="1" applyFont="1" applyFill="1" applyAlignment="1" applyProtection="1">
      <alignment horizontal="center" vertical="center"/>
    </xf>
    <xf numFmtId="37" fontId="143" fillId="0" borderId="0" xfId="19" applyFont="1" applyAlignment="1">
      <alignment horizontal="left" vertical="center" indent="2"/>
    </xf>
    <xf numFmtId="184" fontId="44" fillId="0" borderId="0" xfId="19" applyNumberFormat="1" applyFont="1" applyAlignment="1">
      <alignment vertical="center"/>
    </xf>
    <xf numFmtId="182" fontId="44" fillId="8" borderId="0" xfId="19" applyNumberFormat="1" applyFont="1" applyFill="1" applyAlignment="1" applyProtection="1">
      <alignment vertical="center"/>
    </xf>
    <xf numFmtId="182" fontId="44" fillId="8" borderId="0" xfId="19" applyNumberFormat="1" applyFont="1" applyFill="1" applyAlignment="1" applyProtection="1">
      <alignment horizontal="left" vertical="center"/>
    </xf>
    <xf numFmtId="182" fontId="141" fillId="8" borderId="0" xfId="19" applyNumberFormat="1" applyFont="1" applyFill="1" applyAlignment="1" applyProtection="1">
      <alignment vertical="center"/>
    </xf>
    <xf numFmtId="182" fontId="44" fillId="8" borderId="0" xfId="19" applyNumberFormat="1" applyFont="1" applyFill="1" applyAlignment="1" applyProtection="1">
      <alignment horizontal="center" vertical="center"/>
    </xf>
    <xf numFmtId="182" fontId="145" fillId="0" borderId="0" xfId="19" applyNumberFormat="1" applyFont="1"/>
    <xf numFmtId="37" fontId="44" fillId="0" borderId="0" xfId="19" applyFont="1" applyAlignment="1"/>
    <xf numFmtId="181" fontId="44" fillId="0" borderId="0" xfId="19" applyNumberFormat="1" applyFont="1" applyProtection="1"/>
    <xf numFmtId="37" fontId="44" fillId="0" borderId="0" xfId="19" quotePrefix="1" applyFont="1" applyAlignment="1">
      <alignment horizontal="left"/>
    </xf>
    <xf numFmtId="37" fontId="137" fillId="0" borderId="0" xfId="19" applyAlignment="1">
      <alignment horizontal="center"/>
    </xf>
    <xf numFmtId="182" fontId="137" fillId="0" borderId="0" xfId="19" applyNumberFormat="1" applyAlignment="1">
      <alignment horizontal="left"/>
    </xf>
    <xf numFmtId="182" fontId="137" fillId="0" borderId="0" xfId="19" applyNumberFormat="1"/>
    <xf numFmtId="182" fontId="137" fillId="0" borderId="0" xfId="19" applyNumberFormat="1" applyAlignment="1">
      <alignment horizontal="center"/>
    </xf>
    <xf numFmtId="37" fontId="44" fillId="0" borderId="0" xfId="19" applyFont="1" applyAlignment="1">
      <alignment horizontal="left" vertical="center"/>
    </xf>
    <xf numFmtId="181" fontId="137" fillId="0" borderId="0" xfId="19" applyNumberFormat="1" applyAlignment="1" applyProtection="1">
      <alignment vertical="center"/>
    </xf>
    <xf numFmtId="182" fontId="137" fillId="0" borderId="0" xfId="19" applyNumberFormat="1" applyAlignment="1">
      <alignment vertical="center"/>
    </xf>
    <xf numFmtId="182" fontId="137" fillId="0" borderId="0" xfId="19" applyNumberFormat="1" applyAlignment="1">
      <alignment horizontal="center" vertical="center"/>
    </xf>
    <xf numFmtId="37" fontId="146" fillId="0" borderId="0" xfId="19" applyFont="1" applyAlignment="1" applyProtection="1">
      <alignment wrapText="1"/>
    </xf>
    <xf numFmtId="37" fontId="137" fillId="0" borderId="0" xfId="19" applyAlignment="1" applyProtection="1">
      <alignment horizontal="left"/>
    </xf>
    <xf numFmtId="37" fontId="10" fillId="0" borderId="0" xfId="19" applyFont="1" applyAlignment="1" applyProtection="1">
      <alignment horizontal="left" indent="1"/>
    </xf>
    <xf numFmtId="37" fontId="10" fillId="0" borderId="0" xfId="19" applyFont="1" applyAlignment="1" applyProtection="1">
      <alignment wrapText="1"/>
    </xf>
    <xf numFmtId="37" fontId="146" fillId="0" borderId="0" xfId="19" applyFont="1" applyAlignment="1" applyProtection="1">
      <alignment horizontal="left"/>
    </xf>
    <xf numFmtId="37" fontId="10" fillId="0" borderId="0" xfId="19" applyFont="1" applyAlignment="1" applyProtection="1"/>
    <xf numFmtId="1" fontId="10" fillId="0" borderId="0" xfId="19" applyNumberFormat="1" applyFont="1" applyAlignment="1" applyProtection="1">
      <alignment horizontal="left"/>
    </xf>
    <xf numFmtId="37" fontId="10" fillId="0" borderId="0" xfId="19" applyFont="1" applyAlignment="1" applyProtection="1">
      <alignment horizontal="left"/>
    </xf>
    <xf numFmtId="1" fontId="137" fillId="0" borderId="0" xfId="19" applyNumberFormat="1" applyAlignment="1" applyProtection="1">
      <alignment horizontal="left"/>
    </xf>
    <xf numFmtId="169" fontId="137" fillId="0" borderId="0" xfId="19" applyNumberFormat="1" applyProtection="1">
      <protection locked="0"/>
    </xf>
    <xf numFmtId="1" fontId="137" fillId="0" borderId="0" xfId="19" applyNumberFormat="1" applyProtection="1">
      <protection locked="0"/>
    </xf>
    <xf numFmtId="37" fontId="137" fillId="0" borderId="0" xfId="19" applyProtection="1">
      <protection locked="0"/>
    </xf>
    <xf numFmtId="37" fontId="137" fillId="0" borderId="0" xfId="19" applyAlignment="1" applyProtection="1">
      <alignment horizontal="center"/>
      <protection locked="0"/>
    </xf>
    <xf numFmtId="5" fontId="54" fillId="0" borderId="0" xfId="3" applyNumberFormat="1" applyFont="1" applyBorder="1" applyAlignment="1" applyProtection="1">
      <protection locked="0"/>
    </xf>
    <xf numFmtId="5" fontId="64" fillId="0" borderId="0" xfId="3" applyNumberFormat="1" applyFont="1" applyBorder="1" applyAlignment="1" applyProtection="1">
      <protection locked="0"/>
    </xf>
    <xf numFmtId="0" fontId="64" fillId="0" borderId="0" xfId="3" applyFont="1" applyBorder="1" applyAlignment="1" applyProtection="1">
      <protection locked="0"/>
    </xf>
    <xf numFmtId="179" fontId="56" fillId="0" borderId="0" xfId="3" applyNumberFormat="1" applyFont="1" applyBorder="1" applyAlignment="1" applyProtection="1">
      <alignment horizontal="center"/>
      <protection locked="0"/>
    </xf>
    <xf numFmtId="0" fontId="56" fillId="0" borderId="0" xfId="3" applyFont="1" applyBorder="1" applyAlignment="1" applyProtection="1">
      <alignment horizontal="center"/>
      <protection locked="0"/>
    </xf>
    <xf numFmtId="0" fontId="56" fillId="0" borderId="0" xfId="0" applyFont="1" applyAlignment="1">
      <alignment horizontal="left" wrapText="1"/>
    </xf>
    <xf numFmtId="164" fontId="61" fillId="0" borderId="0" xfId="0" applyNumberFormat="1" applyFont="1" applyAlignment="1">
      <alignment vertical="top"/>
    </xf>
    <xf numFmtId="0" fontId="53" fillId="0" borderId="0" xfId="3" applyFont="1" applyAlignment="1" applyProtection="1">
      <alignment horizontal="center"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quotePrefix="1" applyFont="1" applyBorder="1" applyAlignment="1" applyProtection="1">
      <alignment horizontal="left"/>
    </xf>
    <xf numFmtId="0" fontId="64" fillId="0" borderId="0" xfId="3" applyFont="1" applyBorder="1" applyAlignment="1" applyProtection="1">
      <alignment horizontal="left"/>
    </xf>
    <xf numFmtId="0" fontId="64" fillId="0" borderId="40" xfId="3" applyFont="1" applyBorder="1" applyAlignment="1" applyProtection="1">
      <alignment horizontal="left"/>
    </xf>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4"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37" fontId="140" fillId="0" borderId="0" xfId="19" applyFont="1" applyAlignment="1">
      <alignment horizontal="center"/>
    </xf>
    <xf numFmtId="37" fontId="137" fillId="0" borderId="0" xfId="19" applyAlignment="1"/>
    <xf numFmtId="37" fontId="141" fillId="0" borderId="0" xfId="19" applyFont="1" applyBorder="1" applyAlignment="1">
      <alignment horizontal="center" vertical="center"/>
    </xf>
    <xf numFmtId="37" fontId="139" fillId="0" borderId="0" xfId="20" applyFont="1" applyAlignment="1">
      <alignment horizontal="center"/>
    </xf>
    <xf numFmtId="37" fontId="139" fillId="0" borderId="0" xfId="19" applyFont="1" applyAlignment="1">
      <alignment horizontal="center"/>
    </xf>
    <xf numFmtId="37" fontId="139" fillId="0" borderId="0" xfId="19" applyFont="1" applyAlignment="1">
      <alignment horizontal="center" vertical="center"/>
    </xf>
    <xf numFmtId="37" fontId="137" fillId="0" borderId="0" xfId="19" applyAlignment="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 08 PVS" xfId="20"/>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133" t="s">
        <v>425</v>
      </c>
      <c r="J1" s="2134"/>
      <c r="K1" s="2134"/>
      <c r="L1" s="2134"/>
      <c r="M1" s="2134"/>
      <c r="N1" s="2134"/>
      <c r="O1" s="2134"/>
      <c r="P1" s="2134"/>
      <c r="Q1" s="2134"/>
      <c r="R1" s="2134"/>
      <c r="S1" s="2134"/>
    </row>
    <row r="2" spans="1:28" ht="12" customHeight="1" x14ac:dyDescent="0.2">
      <c r="A2" s="47" t="s">
        <v>1683</v>
      </c>
      <c r="D2" s="48"/>
      <c r="I2" s="2135" t="s">
        <v>1036</v>
      </c>
      <c r="J2" s="2134"/>
      <c r="K2" s="2134"/>
      <c r="L2" s="2134"/>
      <c r="M2" s="2134"/>
      <c r="N2" s="2134"/>
      <c r="O2" s="2134"/>
      <c r="P2" s="2134"/>
      <c r="Q2" s="2134"/>
      <c r="R2" s="2134"/>
      <c r="S2" s="2134"/>
    </row>
    <row r="3" spans="1:28" ht="12" customHeight="1" x14ac:dyDescent="0.2">
      <c r="A3" s="155" t="s">
        <v>1684</v>
      </c>
      <c r="B3" s="156"/>
      <c r="C3" s="156"/>
      <c r="D3" s="157"/>
      <c r="I3" s="2135" t="s">
        <v>54</v>
      </c>
      <c r="J3" s="2134"/>
      <c r="K3" s="2134"/>
      <c r="L3" s="2134"/>
      <c r="M3" s="2134"/>
      <c r="N3" s="2134"/>
      <c r="O3" s="2134"/>
      <c r="P3" s="2134"/>
      <c r="Q3" s="2134"/>
      <c r="R3" s="2134"/>
      <c r="S3" s="2134"/>
    </row>
    <row r="4" spans="1:28" ht="12" customHeight="1" x14ac:dyDescent="0.2">
      <c r="A4" s="37"/>
      <c r="I4" s="2135" t="s">
        <v>545</v>
      </c>
      <c r="J4" s="2134"/>
      <c r="K4" s="2134"/>
      <c r="L4" s="2134"/>
      <c r="M4" s="2134"/>
      <c r="N4" s="2134"/>
      <c r="O4" s="2134"/>
      <c r="P4" s="2134"/>
      <c r="Q4" s="2134"/>
      <c r="R4" s="2134"/>
      <c r="S4" s="2134"/>
    </row>
    <row r="5" spans="1:28" ht="14.1" customHeight="1" x14ac:dyDescent="0.2">
      <c r="B5" s="104" t="s">
        <v>2081</v>
      </c>
      <c r="C5" s="26" t="s">
        <v>966</v>
      </c>
      <c r="D5" s="84"/>
      <c r="E5" s="84"/>
      <c r="H5" s="38"/>
      <c r="I5" s="2143" t="s">
        <v>701</v>
      </c>
      <c r="J5" s="2142"/>
      <c r="K5" s="2142"/>
      <c r="L5" s="2142"/>
      <c r="M5" s="2142"/>
      <c r="N5" s="2142"/>
      <c r="O5" s="2142"/>
      <c r="P5" s="2142"/>
      <c r="Q5" s="2142"/>
      <c r="R5" s="2142"/>
      <c r="S5" s="2142"/>
    </row>
    <row r="6" spans="1:28" ht="14.1" customHeight="1" x14ac:dyDescent="0.2">
      <c r="B6" s="104"/>
      <c r="C6" s="26" t="s">
        <v>967</v>
      </c>
      <c r="D6" s="84"/>
      <c r="E6" s="84"/>
      <c r="I6" s="2141" t="s">
        <v>938</v>
      </c>
      <c r="J6" s="2142"/>
      <c r="K6" s="2142"/>
      <c r="L6" s="2142"/>
      <c r="M6" s="2142"/>
      <c r="N6" s="2142"/>
      <c r="O6" s="2142"/>
      <c r="P6" s="2142"/>
      <c r="Q6" s="2142"/>
      <c r="R6" s="2142"/>
      <c r="S6" s="2142"/>
    </row>
    <row r="7" spans="1:28" ht="12.2" customHeight="1" x14ac:dyDescent="0.2">
      <c r="I7" s="2136">
        <v>43281</v>
      </c>
      <c r="J7" s="2137"/>
      <c r="K7" s="2137"/>
      <c r="L7" s="2137"/>
      <c r="M7" s="2137"/>
      <c r="N7" s="2137"/>
      <c r="O7" s="2137"/>
      <c r="P7" s="2137"/>
      <c r="Q7" s="2137"/>
      <c r="R7" s="2137"/>
      <c r="S7" s="21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38" t="s">
        <v>695</v>
      </c>
      <c r="J9" s="2139"/>
      <c r="K9" s="2139"/>
      <c r="L9" s="2139"/>
      <c r="M9" s="2139"/>
      <c r="N9" s="2139"/>
      <c r="O9" s="2139"/>
      <c r="P9" s="2139"/>
      <c r="Q9" s="2139"/>
      <c r="R9" s="2139"/>
      <c r="S9" s="2140"/>
      <c r="T9" s="2154" t="s">
        <v>554</v>
      </c>
      <c r="U9" s="2155"/>
      <c r="V9" s="2155"/>
      <c r="W9" s="2155"/>
      <c r="X9" s="2155"/>
      <c r="Y9" s="2155"/>
      <c r="Z9" s="2155"/>
      <c r="AA9" s="2156"/>
    </row>
    <row r="10" spans="1:28" ht="13.5" customHeight="1" x14ac:dyDescent="0.2">
      <c r="A10" s="2161" t="s">
        <v>696</v>
      </c>
      <c r="B10" s="2162"/>
      <c r="C10" s="2162"/>
      <c r="D10" s="2162"/>
      <c r="E10" s="2162"/>
      <c r="F10" s="2162"/>
      <c r="G10" s="2162"/>
      <c r="H10" s="2163"/>
      <c r="I10" s="29"/>
      <c r="J10" s="30"/>
      <c r="K10" s="28"/>
      <c r="R10" s="30"/>
      <c r="S10" s="30"/>
      <c r="T10" s="2157"/>
      <c r="U10" s="2142"/>
      <c r="V10" s="2142"/>
      <c r="W10" s="2142"/>
      <c r="X10" s="2142"/>
      <c r="Y10" s="2142"/>
      <c r="Z10" s="2142"/>
      <c r="AA10" s="2148"/>
    </row>
    <row r="11" spans="1:28" ht="14.25" customHeight="1" x14ac:dyDescent="0.2">
      <c r="A11" s="2164" t="s">
        <v>1012</v>
      </c>
      <c r="B11" s="2165"/>
      <c r="C11" s="2165"/>
      <c r="D11" s="2165"/>
      <c r="E11" s="2165"/>
      <c r="F11" s="2165"/>
      <c r="G11" s="2165"/>
      <c r="H11" s="2166"/>
      <c r="I11" s="27"/>
      <c r="J11" s="74"/>
      <c r="K11" s="27"/>
      <c r="O11" s="148" t="s">
        <v>2072</v>
      </c>
      <c r="P11" s="100" t="s">
        <v>210</v>
      </c>
      <c r="Q11" s="30"/>
      <c r="R11" s="28"/>
      <c r="S11" s="27"/>
      <c r="T11" s="2158"/>
      <c r="U11" s="2159"/>
      <c r="V11" s="2159"/>
      <c r="W11" s="2159"/>
      <c r="X11" s="2159"/>
      <c r="Y11" s="2159"/>
      <c r="Z11" s="2159"/>
      <c r="AA11" s="216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68">
        <v>53060191026</v>
      </c>
      <c r="B13" s="2169"/>
      <c r="C13" s="2169"/>
      <c r="D13" s="2169"/>
      <c r="E13" s="2169"/>
      <c r="F13" s="2169"/>
      <c r="G13" s="2169"/>
      <c r="H13" s="2170"/>
      <c r="I13" s="31"/>
      <c r="J13" s="30"/>
      <c r="K13" s="28"/>
      <c r="L13" s="30"/>
      <c r="M13" s="30"/>
      <c r="N13" s="30"/>
      <c r="O13" s="30"/>
      <c r="P13" s="30"/>
      <c r="Q13" s="30"/>
      <c r="R13" s="30"/>
      <c r="S13" s="30"/>
      <c r="T13" s="2173" t="s">
        <v>2073</v>
      </c>
      <c r="U13" s="2174"/>
      <c r="V13" s="2174"/>
      <c r="W13" s="2174"/>
      <c r="X13" s="2174"/>
      <c r="Y13" s="2175"/>
      <c r="Z13" s="2175"/>
      <c r="AA13" s="217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67" t="s">
        <v>2083</v>
      </c>
      <c r="B15" s="2171"/>
      <c r="C15" s="2171"/>
      <c r="D15" s="2171"/>
      <c r="E15" s="2171"/>
      <c r="F15" s="2171"/>
      <c r="G15" s="2171"/>
      <c r="H15" s="2172"/>
      <c r="T15" s="2177" t="s">
        <v>2091</v>
      </c>
      <c r="U15" s="2121"/>
      <c r="V15" s="2121"/>
      <c r="W15" s="2121"/>
      <c r="X15" s="2121"/>
      <c r="Y15" s="2178"/>
      <c r="Z15" s="2178"/>
      <c r="AA15" s="217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127" t="s">
        <v>2257</v>
      </c>
      <c r="B17" s="2128"/>
      <c r="C17" s="2128"/>
      <c r="D17" s="2128"/>
      <c r="E17" s="2128"/>
      <c r="F17" s="2128"/>
      <c r="G17" s="2128"/>
      <c r="H17" s="2153"/>
      <c r="T17" s="2184" t="s">
        <v>2074</v>
      </c>
      <c r="U17" s="2185"/>
      <c r="V17" s="2185"/>
      <c r="W17" s="2185"/>
      <c r="X17" s="2185"/>
      <c r="Y17" s="2185"/>
      <c r="Z17" s="2185"/>
      <c r="AA17" s="2186"/>
    </row>
    <row r="18" spans="1:27" ht="13.5" customHeight="1" x14ac:dyDescent="0.2">
      <c r="A18" s="85" t="s">
        <v>551</v>
      </c>
      <c r="B18" s="76"/>
      <c r="C18" s="72"/>
      <c r="D18" s="76"/>
      <c r="E18" s="76"/>
      <c r="F18" s="76"/>
      <c r="G18" s="76"/>
      <c r="H18" s="56"/>
      <c r="I18" s="2152" t="s">
        <v>697</v>
      </c>
      <c r="J18" s="2103"/>
      <c r="K18" s="2103"/>
      <c r="L18" s="2103"/>
      <c r="M18" s="2103"/>
      <c r="N18" s="2103"/>
      <c r="O18" s="2103"/>
      <c r="P18" s="2103"/>
      <c r="Q18" s="2103"/>
      <c r="R18" s="2103"/>
      <c r="S18" s="2104"/>
      <c r="T18" s="85" t="s">
        <v>735</v>
      </c>
      <c r="U18" s="51"/>
      <c r="V18" s="72"/>
      <c r="W18" s="50"/>
      <c r="X18" s="85" t="s">
        <v>284</v>
      </c>
      <c r="Y18" s="81"/>
      <c r="Z18" s="159" t="s">
        <v>698</v>
      </c>
      <c r="AA18" s="46"/>
    </row>
    <row r="19" spans="1:27" ht="13.5" customHeight="1" x14ac:dyDescent="0.2">
      <c r="A19" s="2167" t="s">
        <v>2085</v>
      </c>
      <c r="B19" s="2113"/>
      <c r="C19" s="2113"/>
      <c r="D19" s="2113"/>
      <c r="E19" s="2113"/>
      <c r="F19" s="2113"/>
      <c r="G19" s="2113"/>
      <c r="H19" s="2093"/>
      <c r="I19" s="30"/>
      <c r="J19" s="99"/>
      <c r="K19" s="40"/>
      <c r="L19" s="38"/>
      <c r="M19" s="112" t="s">
        <v>333</v>
      </c>
      <c r="P19" s="27"/>
      <c r="Q19" s="27"/>
      <c r="R19" s="27"/>
      <c r="S19" s="31"/>
      <c r="T19" s="2167" t="s">
        <v>2075</v>
      </c>
      <c r="U19" s="2092"/>
      <c r="V19" s="2092"/>
      <c r="W19" s="2093"/>
      <c r="X19" s="2182" t="s">
        <v>2076</v>
      </c>
      <c r="Y19" s="2183"/>
      <c r="Z19" s="2180">
        <v>61614</v>
      </c>
      <c r="AA19" s="218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91" t="s">
        <v>2086</v>
      </c>
      <c r="B21" s="2092"/>
      <c r="C21" s="2092"/>
      <c r="D21" s="2092"/>
      <c r="E21" s="2092"/>
      <c r="F21" s="2092"/>
      <c r="G21" s="2092"/>
      <c r="H21" s="2093"/>
      <c r="I21" s="2147" t="s">
        <v>699</v>
      </c>
      <c r="J21" s="2142"/>
      <c r="K21" s="2142"/>
      <c r="L21" s="2142"/>
      <c r="M21" s="2142"/>
      <c r="N21" s="2142"/>
      <c r="O21" s="2142"/>
      <c r="P21" s="2142"/>
      <c r="Q21" s="2142"/>
      <c r="R21" s="2142"/>
      <c r="S21" s="2148"/>
      <c r="T21" s="2191" t="s">
        <v>2077</v>
      </c>
      <c r="U21" s="2192"/>
      <c r="V21" s="2192"/>
      <c r="W21" s="2192"/>
      <c r="X21" s="2197" t="s">
        <v>2078</v>
      </c>
      <c r="Y21" s="2198"/>
      <c r="Z21" s="2198"/>
      <c r="AA21" s="2199"/>
    </row>
    <row r="22" spans="1:27" ht="13.5" customHeight="1" x14ac:dyDescent="0.2">
      <c r="A22" s="87" t="s">
        <v>552</v>
      </c>
      <c r="B22" s="59"/>
      <c r="C22" s="59"/>
      <c r="D22" s="59"/>
      <c r="E22" s="59"/>
      <c r="F22" s="59"/>
      <c r="G22" s="59"/>
      <c r="H22" s="60"/>
      <c r="I22" s="2149" t="s">
        <v>1504</v>
      </c>
      <c r="J22" s="2150"/>
      <c r="K22" s="2150"/>
      <c r="L22" s="2150"/>
      <c r="M22" s="2150"/>
      <c r="N22" s="2150"/>
      <c r="O22" s="2150"/>
      <c r="P22" s="2150"/>
      <c r="Q22" s="2150"/>
      <c r="R22" s="2150"/>
      <c r="S22" s="2151"/>
      <c r="T22" s="85" t="s">
        <v>1596</v>
      </c>
      <c r="U22" s="51"/>
      <c r="V22" s="72"/>
      <c r="W22" s="51"/>
      <c r="X22" s="160" t="s">
        <v>1385</v>
      </c>
      <c r="Z22" s="45"/>
      <c r="AA22" s="46"/>
    </row>
    <row r="23" spans="1:27" ht="13.5" customHeight="1" x14ac:dyDescent="0.2">
      <c r="A23" s="2144" t="s">
        <v>2087</v>
      </c>
      <c r="B23" s="2145"/>
      <c r="C23" s="2145"/>
      <c r="D23" s="2145"/>
      <c r="E23" s="2145"/>
      <c r="F23" s="2145"/>
      <c r="G23" s="2145"/>
      <c r="H23" s="2146"/>
      <c r="T23" s="2127" t="s">
        <v>2237</v>
      </c>
      <c r="U23" s="2190"/>
      <c r="V23" s="2190"/>
      <c r="W23" s="2190"/>
      <c r="X23" s="2194">
        <v>44530</v>
      </c>
      <c r="Y23" s="2195"/>
      <c r="Z23" s="2195"/>
      <c r="AA23" s="2196"/>
    </row>
    <row r="24" spans="1:27" ht="14.1" customHeight="1" x14ac:dyDescent="0.2">
      <c r="A24" s="88" t="s">
        <v>698</v>
      </c>
      <c r="B24" s="49"/>
      <c r="C24" s="49"/>
      <c r="D24" s="49"/>
      <c r="E24" s="49"/>
      <c r="F24" s="49"/>
      <c r="G24" s="49"/>
      <c r="H24" s="61"/>
      <c r="J24" s="2114">
        <f>IF(B5="x",IF(AUDITCHECK!D29="AFR form Incomplete.","",IF(AUDITCHECK!D29="Deficit reduction plan is required.","School District must complete a deficit reduction plan in the 2018-2019 Budget",)),"")</f>
        <v>0</v>
      </c>
      <c r="K24" s="2114"/>
      <c r="L24" s="2114"/>
      <c r="M24" s="2114"/>
      <c r="N24" s="2114"/>
      <c r="O24" s="2114"/>
      <c r="P24" s="2114"/>
      <c r="Q24" s="2114"/>
      <c r="R24" s="2114"/>
      <c r="S24" s="2115"/>
      <c r="T24" s="105" t="s">
        <v>552</v>
      </c>
      <c r="U24" s="106"/>
      <c r="V24" s="106"/>
      <c r="W24" s="106"/>
      <c r="X24" s="107"/>
      <c r="Y24" s="107"/>
      <c r="Z24" s="107"/>
      <c r="AA24" s="108"/>
    </row>
    <row r="25" spans="1:27" ht="14.1" customHeight="1" x14ac:dyDescent="0.2">
      <c r="A25" s="2091">
        <v>61546</v>
      </c>
      <c r="B25" s="2092"/>
      <c r="C25" s="2092"/>
      <c r="D25" s="2092"/>
      <c r="E25" s="2092"/>
      <c r="F25" s="2092"/>
      <c r="G25" s="2092"/>
      <c r="H25" s="2093"/>
      <c r="I25" s="113"/>
      <c r="J25" s="2116"/>
      <c r="K25" s="2116"/>
      <c r="L25" s="2116"/>
      <c r="M25" s="2116"/>
      <c r="N25" s="2116"/>
      <c r="O25" s="2116"/>
      <c r="P25" s="2116"/>
      <c r="Q25" s="2116"/>
      <c r="R25" s="2116"/>
      <c r="S25" s="2117"/>
      <c r="T25" s="2187" t="s">
        <v>2092</v>
      </c>
      <c r="U25" s="2188"/>
      <c r="V25" s="2188"/>
      <c r="W25" s="2188"/>
      <c r="X25" s="2188"/>
      <c r="Y25" s="2188"/>
      <c r="Z25" s="2188"/>
      <c r="AA25" s="218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02" t="s">
        <v>1591</v>
      </c>
      <c r="J27" s="2103"/>
      <c r="K27" s="2103"/>
      <c r="L27" s="2103"/>
      <c r="M27" s="2103"/>
      <c r="N27" s="2103"/>
      <c r="O27" s="2103"/>
      <c r="P27" s="2103"/>
      <c r="Q27" s="2103"/>
      <c r="R27" s="2103"/>
      <c r="S27" s="210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2081</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2072</v>
      </c>
      <c r="C30" s="124" t="s">
        <v>1226</v>
      </c>
      <c r="D30" s="28"/>
      <c r="E30" s="28"/>
      <c r="F30" s="140"/>
      <c r="G30" s="114"/>
      <c r="H30" s="114"/>
      <c r="I30" s="54"/>
      <c r="J30" s="148" t="s">
        <v>2081</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2081</v>
      </c>
      <c r="K31" s="40" t="s">
        <v>940</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113"/>
      <c r="Q35" s="2092"/>
      <c r="R35" s="209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127" t="s">
        <v>2088</v>
      </c>
      <c r="B38" s="2128"/>
      <c r="C38" s="2128"/>
      <c r="D38" s="2128"/>
      <c r="E38" s="2128"/>
      <c r="F38" s="2092"/>
      <c r="G38" s="2092"/>
      <c r="H38" s="2093"/>
      <c r="I38" s="2120"/>
      <c r="J38" s="2121"/>
      <c r="K38" s="2121"/>
      <c r="L38" s="2121"/>
      <c r="M38" s="2121"/>
      <c r="N38" s="2121"/>
      <c r="O38" s="2121"/>
      <c r="P38" s="2122"/>
      <c r="Q38" s="2122"/>
      <c r="R38" s="2122"/>
      <c r="S38" s="2123"/>
      <c r="T38" s="2177"/>
      <c r="U38" s="2121"/>
      <c r="V38" s="2121"/>
      <c r="W38" s="2121"/>
      <c r="X38" s="2122"/>
      <c r="Y38" s="2122"/>
      <c r="Z38" s="2122"/>
      <c r="AA38" s="2123"/>
    </row>
    <row r="39" spans="1:27" ht="12" customHeight="1" x14ac:dyDescent="0.2">
      <c r="A39" s="2097" t="s">
        <v>552</v>
      </c>
      <c r="B39" s="2098"/>
      <c r="C39" s="72"/>
      <c r="D39" s="69"/>
      <c r="E39" s="69"/>
      <c r="F39" s="79"/>
      <c r="G39" s="69"/>
      <c r="H39" s="56"/>
      <c r="I39" s="2097" t="s">
        <v>552</v>
      </c>
      <c r="J39" s="2098"/>
      <c r="K39" s="2098"/>
      <c r="L39" s="2098"/>
      <c r="M39" s="2098"/>
      <c r="N39" s="67"/>
      <c r="O39" s="72"/>
      <c r="P39" s="72"/>
      <c r="Q39" s="78"/>
      <c r="R39" s="72"/>
      <c r="S39" s="56"/>
      <c r="T39" s="72" t="s">
        <v>552</v>
      </c>
      <c r="U39" s="51"/>
      <c r="V39" s="72"/>
      <c r="W39" s="50"/>
      <c r="X39" s="78"/>
      <c r="Y39" s="45"/>
      <c r="Z39" s="45"/>
      <c r="AA39" s="46"/>
    </row>
    <row r="40" spans="1:27" ht="13.5" customHeight="1" x14ac:dyDescent="0.2">
      <c r="A40" s="2105" t="s">
        <v>2087</v>
      </c>
      <c r="B40" s="2106"/>
      <c r="C40" s="2107"/>
      <c r="D40" s="2107"/>
      <c r="E40" s="2107"/>
      <c r="F40" s="2108"/>
      <c r="G40" s="2108"/>
      <c r="H40" s="2109"/>
      <c r="I40" s="2130"/>
      <c r="J40" s="2131"/>
      <c r="K40" s="2131"/>
      <c r="L40" s="2131"/>
      <c r="M40" s="2131"/>
      <c r="N40" s="2131"/>
      <c r="O40" s="2131"/>
      <c r="P40" s="2131"/>
      <c r="Q40" s="2131"/>
      <c r="R40" s="2131"/>
      <c r="S40" s="2132"/>
      <c r="T40" s="2130"/>
      <c r="U40" s="2193"/>
      <c r="V40" s="2131"/>
      <c r="W40" s="2131"/>
      <c r="X40" s="2131"/>
      <c r="Y40" s="2131"/>
      <c r="Z40" s="2131"/>
      <c r="AA40" s="213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19" t="s">
        <v>2089</v>
      </c>
      <c r="B42" s="2111"/>
      <c r="C42" s="2112"/>
      <c r="D42" s="2110" t="s">
        <v>2090</v>
      </c>
      <c r="E42" s="2111"/>
      <c r="F42" s="2111"/>
      <c r="G42" s="2111"/>
      <c r="H42" s="2112"/>
      <c r="I42" s="2094"/>
      <c r="J42" s="2095"/>
      <c r="K42" s="2095"/>
      <c r="L42" s="2095"/>
      <c r="M42" s="2095"/>
      <c r="N42" s="2095"/>
      <c r="O42" s="2096"/>
      <c r="P42" s="2129"/>
      <c r="Q42" s="2095"/>
      <c r="R42" s="2095"/>
      <c r="S42" s="2096"/>
      <c r="T42" s="2094"/>
      <c r="U42" s="2095"/>
      <c r="V42" s="2095"/>
      <c r="W42" s="2096"/>
      <c r="X42" s="2129"/>
      <c r="Y42" s="2095"/>
      <c r="Z42" s="2095"/>
      <c r="AA42" s="209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24"/>
      <c r="B44" s="2125"/>
      <c r="C44" s="2125"/>
      <c r="D44" s="2125"/>
      <c r="E44" s="2125"/>
      <c r="F44" s="2125"/>
      <c r="G44" s="2125"/>
      <c r="H44" s="2126"/>
      <c r="I44" s="2099"/>
      <c r="J44" s="2100"/>
      <c r="K44" s="2100"/>
      <c r="L44" s="2100"/>
      <c r="M44" s="2100"/>
      <c r="N44" s="2100"/>
      <c r="O44" s="2100"/>
      <c r="P44" s="2100"/>
      <c r="Q44" s="2100"/>
      <c r="R44" s="2100"/>
      <c r="S44" s="2101"/>
      <c r="T44" s="2099"/>
      <c r="U44" s="2118"/>
      <c r="V44" s="2118"/>
      <c r="W44" s="2118"/>
      <c r="X44" s="2118"/>
      <c r="Y44" s="2118"/>
      <c r="Z44" s="2100"/>
      <c r="AA44" s="210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1686</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333" t="s">
        <v>1900</v>
      </c>
      <c r="B2" s="1548" t="s">
        <v>2032</v>
      </c>
      <c r="C2" s="713" t="s">
        <v>1905</v>
      </c>
      <c r="D2" s="713" t="s">
        <v>1906</v>
      </c>
      <c r="E2" s="713" t="s">
        <v>1907</v>
      </c>
      <c r="F2" s="713" t="s">
        <v>1908</v>
      </c>
    </row>
    <row r="3" spans="1:6" ht="12" customHeight="1" x14ac:dyDescent="0.2">
      <c r="A3" s="2334"/>
      <c r="B3" s="1545"/>
      <c r="C3" s="1546"/>
      <c r="D3" s="1547" t="s">
        <v>274</v>
      </c>
      <c r="E3" s="1546"/>
      <c r="F3" s="1547" t="s">
        <v>275</v>
      </c>
    </row>
    <row r="4" spans="1:6" ht="13.7" customHeight="1" x14ac:dyDescent="0.2">
      <c r="A4" s="714" t="s">
        <v>1217</v>
      </c>
      <c r="B4" s="1769">
        <f>'Revenues 9-14'!C5</f>
        <v>1960299</v>
      </c>
      <c r="C4" s="1544"/>
      <c r="D4" s="1772">
        <f>B4-C4</f>
        <v>1960299</v>
      </c>
      <c r="E4" s="1544">
        <v>2010004</v>
      </c>
      <c r="F4" s="1772">
        <f>E4-C4</f>
        <v>2010004</v>
      </c>
    </row>
    <row r="5" spans="1:6" ht="13.7" customHeight="1" x14ac:dyDescent="0.2">
      <c r="A5" s="714" t="s">
        <v>925</v>
      </c>
      <c r="B5" s="1770">
        <f>'Revenues 9-14'!D5</f>
        <v>445522</v>
      </c>
      <c r="C5" s="583"/>
      <c r="D5" s="1773">
        <f t="shared" ref="D5:D18" si="0">B5-C5</f>
        <v>445522</v>
      </c>
      <c r="E5" s="583">
        <v>466306</v>
      </c>
      <c r="F5" s="1773">
        <f>E5-C5</f>
        <v>466306</v>
      </c>
    </row>
    <row r="6" spans="1:6" ht="13.7" customHeight="1" x14ac:dyDescent="0.2">
      <c r="A6" s="714" t="s">
        <v>431</v>
      </c>
      <c r="B6" s="1770">
        <f>'Revenues 9-14'!E5</f>
        <v>877931</v>
      </c>
      <c r="C6" s="583"/>
      <c r="D6" s="1773">
        <f t="shared" si="0"/>
        <v>877931</v>
      </c>
      <c r="E6" s="583">
        <v>911312</v>
      </c>
      <c r="F6" s="1773">
        <f t="shared" ref="F6:F18" si="1">E6-C6</f>
        <v>911312</v>
      </c>
    </row>
    <row r="7" spans="1:6" ht="13.7" customHeight="1" x14ac:dyDescent="0.2">
      <c r="A7" s="714" t="s">
        <v>157</v>
      </c>
      <c r="B7" s="1770">
        <f>'Revenues 9-14'!F5</f>
        <v>178209</v>
      </c>
      <c r="C7" s="583"/>
      <c r="D7" s="1773">
        <f t="shared" si="0"/>
        <v>178209</v>
      </c>
      <c r="E7" s="583">
        <v>186523</v>
      </c>
      <c r="F7" s="1773">
        <f t="shared" si="1"/>
        <v>186523</v>
      </c>
    </row>
    <row r="8" spans="1:6" ht="13.7" customHeight="1" x14ac:dyDescent="0.2">
      <c r="A8" s="714" t="s">
        <v>1241</v>
      </c>
      <c r="B8" s="1770">
        <f>'Revenues 9-14'!G5</f>
        <v>199882</v>
      </c>
      <c r="C8" s="583"/>
      <c r="D8" s="1773">
        <f t="shared" si="0"/>
        <v>199882</v>
      </c>
      <c r="E8" s="583">
        <v>100004</v>
      </c>
      <c r="F8" s="1773">
        <f t="shared" si="1"/>
        <v>100004</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44553</v>
      </c>
      <c r="C10" s="583"/>
      <c r="D10" s="1773">
        <f t="shared" si="0"/>
        <v>44553</v>
      </c>
      <c r="E10" s="583">
        <v>46631</v>
      </c>
      <c r="F10" s="1773">
        <f t="shared" si="1"/>
        <v>46631</v>
      </c>
    </row>
    <row r="11" spans="1:6" x14ac:dyDescent="0.2">
      <c r="A11" s="714" t="s">
        <v>429</v>
      </c>
      <c r="B11" s="1770">
        <f>'Revenues 9-14'!J5</f>
        <v>579596</v>
      </c>
      <c r="C11" s="583"/>
      <c r="D11" s="1773">
        <f t="shared" si="0"/>
        <v>579596</v>
      </c>
      <c r="E11" s="583">
        <v>565005</v>
      </c>
      <c r="F11" s="1773">
        <f t="shared" si="1"/>
        <v>565005</v>
      </c>
    </row>
    <row r="12" spans="1:6" ht="13.7" customHeight="1" x14ac:dyDescent="0.2">
      <c r="A12" s="714" t="s">
        <v>159</v>
      </c>
      <c r="B12" s="1770">
        <f>'Revenues 9-14'!K5</f>
        <v>44553</v>
      </c>
      <c r="C12" s="583"/>
      <c r="D12" s="1773">
        <f t="shared" si="0"/>
        <v>44553</v>
      </c>
      <c r="E12" s="583">
        <v>46631</v>
      </c>
      <c r="F12" s="1773">
        <f t="shared" si="1"/>
        <v>46631</v>
      </c>
    </row>
    <row r="13" spans="1:6" ht="13.7" customHeight="1" x14ac:dyDescent="0.2">
      <c r="A13" s="714" t="s">
        <v>993</v>
      </c>
      <c r="B13" s="1770">
        <f>SUM('Revenues 9-14'!C6:D6)</f>
        <v>44550</v>
      </c>
      <c r="C13" s="583"/>
      <c r="D13" s="1773">
        <f t="shared" si="0"/>
        <v>44550</v>
      </c>
      <c r="E13" s="583">
        <v>46631</v>
      </c>
      <c r="F13" s="1773">
        <f t="shared" si="1"/>
        <v>46631</v>
      </c>
    </row>
    <row r="14" spans="1:6" ht="13.7" customHeight="1" x14ac:dyDescent="0.2">
      <c r="A14" s="714" t="s">
        <v>430</v>
      </c>
      <c r="B14" s="1770">
        <f>SUM('Revenues 9-14'!C7:D7,'Revenues 9-14'!F7:H7)</f>
        <v>35642</v>
      </c>
      <c r="C14" s="583"/>
      <c r="D14" s="1773">
        <f t="shared" si="0"/>
        <v>35642</v>
      </c>
      <c r="E14" s="583">
        <v>37305</v>
      </c>
      <c r="F14" s="1773">
        <f t="shared" si="1"/>
        <v>37305</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249875</v>
      </c>
      <c r="C16" s="583"/>
      <c r="D16" s="1773">
        <f t="shared" si="0"/>
        <v>249875</v>
      </c>
      <c r="E16" s="583">
        <v>100004</v>
      </c>
      <c r="F16" s="1773">
        <f t="shared" si="1"/>
        <v>100004</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4660612</v>
      </c>
      <c r="C19" s="1771">
        <f>SUM(C4:C18)</f>
        <v>0</v>
      </c>
      <c r="D19" s="1771">
        <f>SUM(D4:D18)</f>
        <v>4660612</v>
      </c>
      <c r="E19" s="1771">
        <f>SUM(E4:E18)</f>
        <v>4516356</v>
      </c>
      <c r="F19" s="1771">
        <f>SUM(F4:F18)</f>
        <v>4516356</v>
      </c>
    </row>
    <row r="20" spans="1:6" ht="13.5" thickTop="1" x14ac:dyDescent="0.2">
      <c r="B20" s="712"/>
      <c r="F20" s="715"/>
    </row>
    <row r="21" spans="1:6" x14ac:dyDescent="0.2">
      <c r="A21" s="716" t="s">
        <v>1910</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55" t="s">
        <v>650</v>
      </c>
      <c r="B1" s="2353"/>
      <c r="C1" s="720"/>
    </row>
    <row r="2" spans="1:7" ht="33.75" x14ac:dyDescent="0.2">
      <c r="A2" s="2360" t="s">
        <v>1900</v>
      </c>
      <c r="B2" s="2361"/>
      <c r="C2" s="1907" t="s">
        <v>2033</v>
      </c>
      <c r="D2" s="722" t="s">
        <v>2040</v>
      </c>
      <c r="E2" s="722" t="s">
        <v>2041</v>
      </c>
      <c r="F2" s="1907" t="s">
        <v>2034</v>
      </c>
    </row>
    <row r="3" spans="1:7" ht="15.75" customHeight="1" x14ac:dyDescent="0.2">
      <c r="A3" s="2362" t="s">
        <v>1176</v>
      </c>
      <c r="B3" s="2363"/>
      <c r="C3" s="2356"/>
      <c r="D3" s="2357"/>
      <c r="E3" s="2357"/>
      <c r="F3" s="2358"/>
    </row>
    <row r="4" spans="1:7" ht="12.75" customHeight="1" thickBot="1" x14ac:dyDescent="0.25">
      <c r="A4" s="2350" t="s">
        <v>651</v>
      </c>
      <c r="B4" s="2351"/>
      <c r="C4" s="579"/>
      <c r="D4" s="579"/>
      <c r="E4" s="579"/>
      <c r="F4" s="1775">
        <f>SUM(C4+D4)-E4</f>
        <v>0</v>
      </c>
    </row>
    <row r="5" spans="1:7" ht="15.75" customHeight="1" thickTop="1" x14ac:dyDescent="0.2">
      <c r="A5" s="2354" t="s">
        <v>1172</v>
      </c>
      <c r="B5" s="2349"/>
      <c r="C5" s="2343"/>
      <c r="D5" s="2344"/>
      <c r="E5" s="2344"/>
      <c r="F5" s="2345"/>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346" t="s">
        <v>652</v>
      </c>
      <c r="B15" s="2347"/>
      <c r="C15" s="1775">
        <f>SUM(C6:C14)</f>
        <v>0</v>
      </c>
      <c r="D15" s="1775">
        <f>SUM(D6:D14)</f>
        <v>0</v>
      </c>
      <c r="E15" s="1775">
        <f>SUM(E6:E14)</f>
        <v>0</v>
      </c>
      <c r="F15" s="1775">
        <f>SUM(F6:F14)</f>
        <v>0</v>
      </c>
      <c r="G15" s="550"/>
    </row>
    <row r="16" spans="1:7" s="202" customFormat="1" ht="15.75" customHeight="1" thickTop="1" x14ac:dyDescent="0.2">
      <c r="A16" s="2359" t="s">
        <v>1173</v>
      </c>
      <c r="B16" s="2349"/>
      <c r="C16" s="2343"/>
      <c r="D16" s="2344"/>
      <c r="E16" s="2344"/>
      <c r="F16" s="2345"/>
    </row>
    <row r="17" spans="1:11" ht="12.75" customHeight="1" thickBot="1" x14ac:dyDescent="0.25">
      <c r="A17" s="2341" t="s">
        <v>66</v>
      </c>
      <c r="B17" s="2342"/>
      <c r="C17" s="725"/>
      <c r="D17" s="583"/>
      <c r="E17" s="725"/>
      <c r="F17" s="1775">
        <f>SUM(C17+D17)-E17</f>
        <v>0</v>
      </c>
    </row>
    <row r="18" spans="1:11" ht="12.75" customHeight="1" thickTop="1" thickBot="1" x14ac:dyDescent="0.25">
      <c r="A18" s="2341" t="s">
        <v>6</v>
      </c>
      <c r="B18" s="2342"/>
      <c r="C18" s="725"/>
      <c r="D18" s="583"/>
      <c r="E18" s="725"/>
      <c r="F18" s="1775">
        <f>SUM(C18+D18)-E18</f>
        <v>0</v>
      </c>
    </row>
    <row r="19" spans="1:11" ht="12.75" customHeight="1" thickTop="1" thickBot="1" x14ac:dyDescent="0.25">
      <c r="A19" s="2341" t="s">
        <v>406</v>
      </c>
      <c r="B19" s="2342"/>
      <c r="C19" s="725"/>
      <c r="D19" s="583"/>
      <c r="E19" s="725"/>
      <c r="F19" s="1775">
        <f>SUM(C19+D19)-E19</f>
        <v>0</v>
      </c>
    </row>
    <row r="20" spans="1:11" ht="12.75" customHeight="1" thickTop="1" thickBot="1" x14ac:dyDescent="0.25">
      <c r="A20" s="2341" t="s">
        <v>468</v>
      </c>
      <c r="B20" s="2342"/>
      <c r="C20" s="725"/>
      <c r="D20" s="583"/>
      <c r="E20" s="725"/>
      <c r="F20" s="1775">
        <f>SUM(C20+D20)-E20</f>
        <v>0</v>
      </c>
    </row>
    <row r="21" spans="1:11" ht="14.25" thickTop="1" thickBot="1" x14ac:dyDescent="0.25">
      <c r="A21" s="2346" t="s">
        <v>653</v>
      </c>
      <c r="B21" s="2347"/>
      <c r="C21" s="1775">
        <f>SUM(C17:C20)</f>
        <v>0</v>
      </c>
      <c r="D21" s="1775">
        <f>SUM(D17:D20)</f>
        <v>0</v>
      </c>
      <c r="E21" s="1775">
        <f>SUM(E17:E20)</f>
        <v>0</v>
      </c>
      <c r="F21" s="1775">
        <f>SUM(F17:F20)</f>
        <v>0</v>
      </c>
      <c r="G21" s="550"/>
    </row>
    <row r="22" spans="1:11" ht="15.75" customHeight="1" thickTop="1" x14ac:dyDescent="0.2">
      <c r="A22" s="2348" t="s">
        <v>1174</v>
      </c>
      <c r="B22" s="2349"/>
      <c r="C22" s="2343"/>
      <c r="D22" s="2344"/>
      <c r="E22" s="2344"/>
      <c r="F22" s="2345"/>
    </row>
    <row r="23" spans="1:11" ht="13.5" thickBot="1" x14ac:dyDescent="0.25">
      <c r="A23" s="2350" t="s">
        <v>654</v>
      </c>
      <c r="B23" s="2351"/>
      <c r="C23" s="579"/>
      <c r="D23" s="579"/>
      <c r="E23" s="579"/>
      <c r="F23" s="1775">
        <f>SUM(C23+D23)-E23</f>
        <v>0</v>
      </c>
      <c r="G23" s="550"/>
    </row>
    <row r="24" spans="1:11" ht="15.75" customHeight="1" thickTop="1" x14ac:dyDescent="0.2">
      <c r="A24" s="2348" t="s">
        <v>1175</v>
      </c>
      <c r="B24" s="2349"/>
      <c r="C24" s="2343"/>
      <c r="D24" s="2344"/>
      <c r="E24" s="2344"/>
      <c r="F24" s="2345"/>
    </row>
    <row r="25" spans="1:11" ht="13.5" thickBot="1" x14ac:dyDescent="0.25">
      <c r="A25" s="2350" t="s">
        <v>655</v>
      </c>
      <c r="B25" s="2351"/>
      <c r="C25" s="579"/>
      <c r="D25" s="579"/>
      <c r="E25" s="579"/>
      <c r="F25" s="1775">
        <f>SUM(C25+D25)-E25</f>
        <v>0</v>
      </c>
      <c r="G25" s="550"/>
    </row>
    <row r="26" spans="1:11" ht="15.75" customHeight="1" thickTop="1" x14ac:dyDescent="0.2">
      <c r="A26" s="2354" t="s">
        <v>678</v>
      </c>
      <c r="B26" s="2349"/>
      <c r="C26" s="726"/>
      <c r="D26" s="726"/>
      <c r="E26" s="726"/>
      <c r="F26" s="727"/>
    </row>
    <row r="27" spans="1:11" ht="13.5" thickBot="1" x14ac:dyDescent="0.25">
      <c r="A27" s="2346" t="s">
        <v>1130</v>
      </c>
      <c r="B27" s="2347"/>
      <c r="C27" s="583"/>
      <c r="D27" s="583"/>
      <c r="E27" s="583"/>
      <c r="F27" s="1775">
        <f>SUM(C27+D27)-E27</f>
        <v>0</v>
      </c>
      <c r="G27" s="550"/>
    </row>
    <row r="28" spans="1:11" ht="7.5" customHeight="1" thickTop="1" x14ac:dyDescent="0.2">
      <c r="A28" s="592"/>
    </row>
    <row r="29" spans="1:11" ht="23.25" customHeight="1" x14ac:dyDescent="0.2">
      <c r="A29" s="2352" t="s">
        <v>603</v>
      </c>
      <c r="B29" s="2353"/>
      <c r="C29" s="728"/>
      <c r="D29" s="728"/>
      <c r="E29" s="728"/>
      <c r="F29" s="728"/>
      <c r="G29" s="728"/>
      <c r="H29" s="728"/>
      <c r="I29" s="728"/>
      <c r="J29" s="728"/>
    </row>
    <row r="30" spans="1:11" ht="33.75" x14ac:dyDescent="0.2">
      <c r="A30" s="1549" t="s">
        <v>1131</v>
      </c>
      <c r="B30" s="729" t="s">
        <v>1186</v>
      </c>
      <c r="C30" s="1908" t="s">
        <v>604</v>
      </c>
      <c r="D30" s="1908" t="s">
        <v>1771</v>
      </c>
      <c r="E30" s="1908" t="s">
        <v>2035</v>
      </c>
      <c r="F30" s="1908" t="s">
        <v>2036</v>
      </c>
      <c r="G30" s="1908" t="s">
        <v>2039</v>
      </c>
      <c r="H30" s="1908" t="s">
        <v>2037</v>
      </c>
      <c r="I30" s="1908" t="s">
        <v>2038</v>
      </c>
      <c r="J30" s="1909" t="s">
        <v>2</v>
      </c>
      <c r="K30" s="730"/>
    </row>
    <row r="31" spans="1:11" ht="12" customHeight="1" x14ac:dyDescent="0.2">
      <c r="A31" s="731" t="s">
        <v>2093</v>
      </c>
      <c r="B31" s="732">
        <v>40360</v>
      </c>
      <c r="C31" s="733">
        <v>1390000</v>
      </c>
      <c r="D31" s="734">
        <v>1</v>
      </c>
      <c r="E31" s="733">
        <v>1390000</v>
      </c>
      <c r="F31" s="733"/>
      <c r="G31" s="733"/>
      <c r="H31" s="733"/>
      <c r="I31" s="1776">
        <f>((E31+F31)-H31)+G31</f>
        <v>1390000</v>
      </c>
      <c r="J31" s="733">
        <f>1390000-88952</f>
        <v>1301048</v>
      </c>
      <c r="K31" s="735"/>
    </row>
    <row r="32" spans="1:11" ht="12" customHeight="1" x14ac:dyDescent="0.2">
      <c r="A32" s="731" t="s">
        <v>2094</v>
      </c>
      <c r="B32" s="732">
        <v>42212</v>
      </c>
      <c r="C32" s="733">
        <v>895000</v>
      </c>
      <c r="D32" s="734">
        <v>7</v>
      </c>
      <c r="E32" s="733">
        <v>570000</v>
      </c>
      <c r="F32" s="733"/>
      <c r="G32" s="733"/>
      <c r="H32" s="733">
        <v>135000</v>
      </c>
      <c r="I32" s="1776">
        <f>((E32+F32)-H32)+G32</f>
        <v>435000</v>
      </c>
      <c r="J32" s="733">
        <f>435000-115759</f>
        <v>319241</v>
      </c>
      <c r="K32" s="735"/>
    </row>
    <row r="33" spans="1:11" ht="12" customHeight="1" x14ac:dyDescent="0.2">
      <c r="A33" s="731" t="s">
        <v>2238</v>
      </c>
      <c r="B33" s="732">
        <v>42277</v>
      </c>
      <c r="C33" s="733">
        <v>1620000</v>
      </c>
      <c r="D33" s="734">
        <v>3</v>
      </c>
      <c r="E33" s="733">
        <v>790000</v>
      </c>
      <c r="F33" s="733"/>
      <c r="G33" s="733"/>
      <c r="H33" s="733">
        <v>790000</v>
      </c>
      <c r="I33" s="1776">
        <f t="shared" ref="I33:I48" si="1">((E33+F33)-H33)+G33</f>
        <v>0</v>
      </c>
      <c r="J33" s="733">
        <v>0</v>
      </c>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3905000</v>
      </c>
      <c r="D49" s="744"/>
      <c r="E49" s="1776">
        <f t="shared" ref="E49:J49" si="2">SUM(E31:E48)</f>
        <v>2750000</v>
      </c>
      <c r="F49" s="1776">
        <f t="shared" si="2"/>
        <v>0</v>
      </c>
      <c r="G49" s="1776">
        <f t="shared" si="2"/>
        <v>0</v>
      </c>
      <c r="H49" s="1776">
        <f t="shared" si="2"/>
        <v>925000</v>
      </c>
      <c r="I49" s="1776">
        <f t="shared" si="2"/>
        <v>1825000</v>
      </c>
      <c r="J49" s="1776">
        <f t="shared" si="2"/>
        <v>1620289</v>
      </c>
      <c r="K49" s="736"/>
    </row>
    <row r="50" spans="1:11" ht="6" customHeight="1" x14ac:dyDescent="0.2">
      <c r="A50" s="745"/>
      <c r="B50" s="735"/>
      <c r="C50" s="735"/>
      <c r="D50" s="735"/>
      <c r="E50" s="735"/>
      <c r="F50" s="735"/>
      <c r="G50" s="735"/>
      <c r="H50" s="735"/>
      <c r="I50" s="735"/>
      <c r="J50" s="745"/>
    </row>
    <row r="51" spans="1:11" x14ac:dyDescent="0.2">
      <c r="A51" s="746" t="s">
        <v>1909</v>
      </c>
      <c r="B51" s="745"/>
      <c r="C51" s="736"/>
      <c r="D51" s="736"/>
      <c r="E51" s="736"/>
      <c r="F51" s="736"/>
      <c r="G51" s="736"/>
      <c r="H51" s="735"/>
      <c r="I51" s="735"/>
      <c r="J51" s="745"/>
    </row>
    <row r="52" spans="1:11" ht="11.25" customHeight="1" x14ac:dyDescent="0.2">
      <c r="A52" s="747" t="s">
        <v>968</v>
      </c>
      <c r="B52" s="2335" t="s">
        <v>605</v>
      </c>
      <c r="C52" s="2336"/>
      <c r="D52" s="2336"/>
      <c r="E52" s="748" t="s">
        <v>900</v>
      </c>
      <c r="F52" s="2337" t="s">
        <v>2095</v>
      </c>
      <c r="G52" s="2338"/>
      <c r="H52" s="735"/>
      <c r="I52" s="735"/>
      <c r="J52" s="745"/>
    </row>
    <row r="53" spans="1:11" ht="11.25" customHeight="1" x14ac:dyDescent="0.2">
      <c r="A53" s="749" t="s">
        <v>969</v>
      </c>
      <c r="B53" s="750" t="s">
        <v>1008</v>
      </c>
      <c r="C53" s="745"/>
      <c r="D53" s="736"/>
      <c r="E53" s="748" t="s">
        <v>518</v>
      </c>
      <c r="F53" s="2339"/>
      <c r="G53" s="2340"/>
      <c r="H53" s="735"/>
      <c r="I53" s="735"/>
      <c r="J53" s="745"/>
    </row>
    <row r="54" spans="1:11" ht="11.25" customHeight="1" x14ac:dyDescent="0.2">
      <c r="A54" s="751" t="s">
        <v>970</v>
      </c>
      <c r="B54" s="746" t="s">
        <v>1009</v>
      </c>
      <c r="C54" s="745"/>
      <c r="D54" s="736"/>
      <c r="E54" s="748" t="s">
        <v>519</v>
      </c>
      <c r="F54" s="2339"/>
      <c r="G54" s="2340"/>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64" t="s">
        <v>911</v>
      </c>
      <c r="B1" s="2365"/>
      <c r="C1" s="2365"/>
      <c r="D1" s="2365"/>
      <c r="E1" s="2365"/>
      <c r="F1" s="2365"/>
      <c r="G1" s="2366"/>
      <c r="H1" s="1550"/>
      <c r="I1" s="759"/>
      <c r="J1" s="433"/>
    </row>
    <row r="2" spans="1:11" ht="26.25" x14ac:dyDescent="0.2">
      <c r="A2" s="2383" t="s">
        <v>1775</v>
      </c>
      <c r="B2" s="2384"/>
      <c r="C2" s="2384"/>
      <c r="D2" s="2384"/>
      <c r="E2" s="2385"/>
      <c r="F2" s="760" t="s">
        <v>960</v>
      </c>
      <c r="G2" s="761" t="s">
        <v>1772</v>
      </c>
      <c r="H2" s="761" t="s">
        <v>430</v>
      </c>
      <c r="I2" s="761" t="s">
        <v>1220</v>
      </c>
      <c r="J2" s="761" t="s">
        <v>1914</v>
      </c>
      <c r="K2" s="761" t="s">
        <v>140</v>
      </c>
    </row>
    <row r="3" spans="1:11" x14ac:dyDescent="0.2">
      <c r="A3" s="2386" t="s">
        <v>1697</v>
      </c>
      <c r="B3" s="2387"/>
      <c r="C3" s="2387"/>
      <c r="D3" s="2387"/>
      <c r="E3" s="2388"/>
      <c r="F3" s="762"/>
      <c r="G3" s="763"/>
      <c r="H3" s="763"/>
      <c r="I3" s="763"/>
      <c r="J3" s="764">
        <v>77959</v>
      </c>
      <c r="K3" s="764"/>
    </row>
    <row r="4" spans="1:11" x14ac:dyDescent="0.2">
      <c r="A4" s="2389" t="s">
        <v>387</v>
      </c>
      <c r="B4" s="2390"/>
      <c r="C4" s="2390"/>
      <c r="D4" s="2390"/>
      <c r="E4" s="2336"/>
      <c r="F4" s="765"/>
      <c r="G4" s="766"/>
      <c r="H4" s="767"/>
      <c r="I4" s="766"/>
      <c r="J4" s="768"/>
      <c r="K4" s="768"/>
    </row>
    <row r="5" spans="1:11" x14ac:dyDescent="0.2">
      <c r="A5" s="2367" t="s">
        <v>1129</v>
      </c>
      <c r="B5" s="2368"/>
      <c r="C5" s="2368"/>
      <c r="D5" s="2368"/>
      <c r="E5" s="2369"/>
      <c r="F5" s="769" t="s">
        <v>903</v>
      </c>
      <c r="G5" s="770"/>
      <c r="H5" s="763">
        <v>35642</v>
      </c>
      <c r="I5" s="771"/>
      <c r="J5" s="772"/>
      <c r="K5" s="772"/>
    </row>
    <row r="6" spans="1:11" x14ac:dyDescent="0.2">
      <c r="A6" s="773" t="s">
        <v>744</v>
      </c>
      <c r="B6" s="774"/>
      <c r="C6" s="774"/>
      <c r="D6" s="774"/>
      <c r="E6" s="775"/>
      <c r="F6" s="776" t="s">
        <v>904</v>
      </c>
      <c r="G6" s="763"/>
      <c r="H6" s="763">
        <v>1</v>
      </c>
      <c r="I6" s="763"/>
      <c r="J6" s="764">
        <v>2432</v>
      </c>
      <c r="K6" s="764"/>
    </row>
    <row r="7" spans="1:11" x14ac:dyDescent="0.2">
      <c r="A7" s="777" t="s">
        <v>264</v>
      </c>
      <c r="B7" s="778"/>
      <c r="C7" s="778"/>
      <c r="D7" s="778"/>
      <c r="E7" s="779"/>
      <c r="F7" s="769" t="s">
        <v>905</v>
      </c>
      <c r="G7" s="766"/>
      <c r="H7" s="766"/>
      <c r="I7" s="766"/>
      <c r="J7" s="780"/>
      <c r="K7" s="764">
        <v>6025</v>
      </c>
    </row>
    <row r="8" spans="1:11" x14ac:dyDescent="0.2">
      <c r="A8" s="777" t="s">
        <v>363</v>
      </c>
      <c r="B8" s="778"/>
      <c r="C8" s="778"/>
      <c r="D8" s="778"/>
      <c r="E8" s="779"/>
      <c r="F8" s="769" t="s">
        <v>906</v>
      </c>
      <c r="G8" s="781"/>
      <c r="H8" s="781"/>
      <c r="I8" s="781"/>
      <c r="J8" s="764">
        <f>183118</f>
        <v>183118</v>
      </c>
      <c r="K8" s="768"/>
    </row>
    <row r="9" spans="1:11" x14ac:dyDescent="0.2">
      <c r="A9" s="777" t="s">
        <v>140</v>
      </c>
      <c r="B9" s="778"/>
      <c r="C9" s="778"/>
      <c r="D9" s="778"/>
      <c r="E9" s="779"/>
      <c r="F9" s="776" t="s">
        <v>908</v>
      </c>
      <c r="G9" s="781"/>
      <c r="H9" s="770"/>
      <c r="I9" s="770"/>
      <c r="J9" s="780"/>
      <c r="K9" s="764">
        <v>12213</v>
      </c>
    </row>
    <row r="10" spans="1:11" x14ac:dyDescent="0.2">
      <c r="A10" s="2367" t="s">
        <v>1915</v>
      </c>
      <c r="B10" s="2368"/>
      <c r="C10" s="2368"/>
      <c r="D10" s="2368"/>
      <c r="E10" s="2370"/>
      <c r="F10" s="782" t="s">
        <v>917</v>
      </c>
      <c r="G10" s="781"/>
      <c r="H10" s="783"/>
      <c r="I10" s="763"/>
      <c r="J10" s="764"/>
      <c r="K10" s="764"/>
    </row>
    <row r="11" spans="1:11" x14ac:dyDescent="0.2">
      <c r="A11" s="2367" t="s">
        <v>162</v>
      </c>
      <c r="B11" s="2368"/>
      <c r="C11" s="2368"/>
      <c r="D11" s="2368"/>
      <c r="E11" s="2369"/>
      <c r="F11" s="769" t="s">
        <v>907</v>
      </c>
      <c r="G11" s="770"/>
      <c r="H11" s="763"/>
      <c r="I11" s="763"/>
      <c r="J11" s="764"/>
      <c r="K11" s="772"/>
    </row>
    <row r="12" spans="1:11" ht="13.5" thickBot="1" x14ac:dyDescent="0.25">
      <c r="A12" s="2394" t="s">
        <v>961</v>
      </c>
      <c r="B12" s="2395"/>
      <c r="C12" s="2395"/>
      <c r="D12" s="2395"/>
      <c r="E12" s="2396"/>
      <c r="F12" s="1777"/>
      <c r="G12" s="1778">
        <f>SUM(G5:G11)</f>
        <v>0</v>
      </c>
      <c r="H12" s="1778">
        <f>SUM(H5:H11)</f>
        <v>35643</v>
      </c>
      <c r="I12" s="1778">
        <f>SUM(I5:I11)</f>
        <v>0</v>
      </c>
      <c r="J12" s="1778">
        <f>SUM(J5:J11)</f>
        <v>185550</v>
      </c>
      <c r="K12" s="1778">
        <f>SUM(K5:K11)</f>
        <v>18238</v>
      </c>
    </row>
    <row r="13" spans="1:11" ht="13.5" thickTop="1" x14ac:dyDescent="0.2">
      <c r="A13" s="2391" t="s">
        <v>388</v>
      </c>
      <c r="B13" s="2392"/>
      <c r="C13" s="2392"/>
      <c r="D13" s="2392"/>
      <c r="E13" s="2393"/>
      <c r="F13" s="784"/>
      <c r="G13" s="785"/>
      <c r="H13" s="786"/>
      <c r="I13" s="787"/>
      <c r="J13" s="787"/>
      <c r="K13" s="787"/>
    </row>
    <row r="14" spans="1:11" x14ac:dyDescent="0.2">
      <c r="A14" s="2374" t="s">
        <v>476</v>
      </c>
      <c r="B14" s="2374"/>
      <c r="C14" s="2374"/>
      <c r="D14" s="2374"/>
      <c r="E14" s="2375"/>
      <c r="F14" s="788" t="s">
        <v>909</v>
      </c>
      <c r="G14" s="781"/>
      <c r="H14" s="763">
        <v>35643</v>
      </c>
      <c r="I14" s="770"/>
      <c r="J14" s="772"/>
      <c r="K14" s="764">
        <v>18238</v>
      </c>
    </row>
    <row r="15" spans="1:11" x14ac:dyDescent="0.2">
      <c r="A15" s="2368" t="s">
        <v>4</v>
      </c>
      <c r="B15" s="2368"/>
      <c r="C15" s="2368"/>
      <c r="D15" s="2368"/>
      <c r="E15" s="2369"/>
      <c r="F15" s="788" t="s">
        <v>910</v>
      </c>
      <c r="G15" s="770"/>
      <c r="H15" s="763"/>
      <c r="I15" s="763"/>
      <c r="J15" s="764"/>
      <c r="K15" s="764"/>
    </row>
    <row r="16" spans="1:11" x14ac:dyDescent="0.2">
      <c r="A16" s="2368" t="s">
        <v>316</v>
      </c>
      <c r="B16" s="2368"/>
      <c r="C16" s="2368"/>
      <c r="D16" s="2368"/>
      <c r="E16" s="2369"/>
      <c r="F16" s="788" t="s">
        <v>980</v>
      </c>
      <c r="G16" s="771"/>
      <c r="H16" s="766"/>
      <c r="I16" s="766"/>
      <c r="J16" s="768"/>
      <c r="K16" s="768"/>
    </row>
    <row r="17" spans="1:11" x14ac:dyDescent="0.2">
      <c r="A17" s="2399" t="s">
        <v>992</v>
      </c>
      <c r="B17" s="2399"/>
      <c r="C17" s="2399"/>
      <c r="D17" s="2399"/>
      <c r="E17" s="2400"/>
      <c r="F17" s="789"/>
      <c r="G17" s="790"/>
      <c r="H17" s="791"/>
      <c r="I17" s="791"/>
      <c r="J17" s="792"/>
      <c r="K17" s="793"/>
    </row>
    <row r="18" spans="1:11" x14ac:dyDescent="0.2">
      <c r="A18" s="2378" t="s">
        <v>386</v>
      </c>
      <c r="B18" s="2379"/>
      <c r="C18" s="2379"/>
      <c r="D18" s="2379"/>
      <c r="E18" s="2380"/>
      <c r="F18" s="788" t="s">
        <v>989</v>
      </c>
      <c r="G18" s="781"/>
      <c r="H18" s="781"/>
      <c r="I18" s="781"/>
      <c r="J18" s="764">
        <v>12250</v>
      </c>
      <c r="K18" s="794"/>
    </row>
    <row r="19" spans="1:11" ht="21.75" customHeight="1" x14ac:dyDescent="0.2">
      <c r="A19" s="2376" t="s">
        <v>1911</v>
      </c>
      <c r="B19" s="2376"/>
      <c r="C19" s="2376"/>
      <c r="D19" s="2376"/>
      <c r="E19" s="2377"/>
      <c r="F19" s="788" t="s">
        <v>990</v>
      </c>
      <c r="G19" s="781"/>
      <c r="H19" s="781"/>
      <c r="I19" s="781"/>
      <c r="J19" s="764">
        <v>135000</v>
      </c>
      <c r="K19" s="794"/>
    </row>
    <row r="20" spans="1:11" x14ac:dyDescent="0.2">
      <c r="A20" s="2378" t="s">
        <v>1916</v>
      </c>
      <c r="B20" s="2379"/>
      <c r="C20" s="2379"/>
      <c r="D20" s="2379"/>
      <c r="E20" s="2380"/>
      <c r="F20" s="788" t="s">
        <v>991</v>
      </c>
      <c r="G20" s="781"/>
      <c r="H20" s="781"/>
      <c r="I20" s="781"/>
      <c r="J20" s="764">
        <v>500</v>
      </c>
      <c r="K20" s="794"/>
    </row>
    <row r="21" spans="1:11" ht="13.5" thickBot="1" x14ac:dyDescent="0.25">
      <c r="A21" s="2397" t="s">
        <v>659</v>
      </c>
      <c r="B21" s="2397"/>
      <c r="C21" s="2397"/>
      <c r="D21" s="2397"/>
      <c r="E21" s="2397"/>
      <c r="F21" s="1779"/>
      <c r="G21" s="791"/>
      <c r="H21" s="795"/>
      <c r="I21" s="795"/>
      <c r="J21" s="1780">
        <f>SUM(J18:J20)</f>
        <v>147750</v>
      </c>
      <c r="K21" s="792"/>
    </row>
    <row r="22" spans="1:11" ht="13.5" thickTop="1" x14ac:dyDescent="0.2">
      <c r="A22" s="2368" t="s">
        <v>1917</v>
      </c>
      <c r="B22" s="2368"/>
      <c r="C22" s="2368"/>
      <c r="D22" s="2368"/>
      <c r="E22" s="2369"/>
      <c r="F22" s="788" t="s">
        <v>917</v>
      </c>
      <c r="G22" s="781"/>
      <c r="H22" s="763"/>
      <c r="I22" s="763"/>
      <c r="J22" s="796"/>
      <c r="K22" s="764"/>
    </row>
    <row r="23" spans="1:11" ht="13.5" thickBot="1" x14ac:dyDescent="0.25">
      <c r="A23" s="2398" t="s">
        <v>962</v>
      </c>
      <c r="B23" s="2397"/>
      <c r="C23" s="2397"/>
      <c r="D23" s="2397"/>
      <c r="E23" s="2397"/>
      <c r="F23" s="1781"/>
      <c r="G23" s="1778">
        <f>SUM(G14:G16,G21,G22)</f>
        <v>0</v>
      </c>
      <c r="H23" s="1778">
        <f>SUM(H14:H16,H21,H22)</f>
        <v>35643</v>
      </c>
      <c r="I23" s="1778">
        <f>SUM(I14:I16,I21,I22)</f>
        <v>0</v>
      </c>
      <c r="J23" s="1778">
        <f>SUM(J14:J16,J21,J22)</f>
        <v>147750</v>
      </c>
      <c r="K23" s="1778">
        <f>SUM(K14:K16,K21,K22)</f>
        <v>18238</v>
      </c>
    </row>
    <row r="24" spans="1:11" ht="14.25" thickTop="1" thickBot="1" x14ac:dyDescent="0.25">
      <c r="A24" s="2398" t="s">
        <v>2021</v>
      </c>
      <c r="B24" s="2397"/>
      <c r="C24" s="2397"/>
      <c r="D24" s="2397"/>
      <c r="E24" s="2397"/>
      <c r="F24" s="1782"/>
      <c r="G24" s="1783">
        <f>SUM(G3,G12)-G23</f>
        <v>0</v>
      </c>
      <c r="H24" s="1783">
        <f>SUM(H3,H12)-H23</f>
        <v>0</v>
      </c>
      <c r="I24" s="1783">
        <f>SUM(I3,I12)-I23</f>
        <v>0</v>
      </c>
      <c r="J24" s="1783">
        <f>SUM(J3,J12)-J23</f>
        <v>115759</v>
      </c>
      <c r="K24" s="1783">
        <f>SUM(K3,K12)-K23</f>
        <v>0</v>
      </c>
    </row>
    <row r="25" spans="1:11" ht="13.5" thickTop="1" x14ac:dyDescent="0.2">
      <c r="A25" s="797" t="s">
        <v>440</v>
      </c>
      <c r="B25" s="798"/>
      <c r="C25" s="798"/>
      <c r="D25" s="798"/>
      <c r="E25" s="799"/>
      <c r="F25" s="800">
        <v>714</v>
      </c>
      <c r="G25" s="801"/>
      <c r="H25" s="801"/>
      <c r="I25" s="801"/>
      <c r="J25" s="796">
        <v>115759</v>
      </c>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2031</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371"/>
      <c r="I31" s="2372"/>
      <c r="J31" s="2372"/>
      <c r="K31" s="2372"/>
    </row>
    <row r="32" spans="1:11" x14ac:dyDescent="0.2">
      <c r="A32" s="808"/>
      <c r="B32" s="237"/>
      <c r="C32" s="237"/>
      <c r="D32" s="237"/>
      <c r="E32" s="804"/>
      <c r="F32" s="810" t="s">
        <v>561</v>
      </c>
      <c r="G32" s="763"/>
      <c r="H32" s="2373"/>
      <c r="I32" s="2372"/>
      <c r="J32" s="2372"/>
      <c r="K32" s="2372"/>
    </row>
    <row r="33" spans="1:11" ht="1.5" customHeight="1" x14ac:dyDescent="0.2">
      <c r="A33" s="811" t="s">
        <v>1231</v>
      </c>
      <c r="B33" s="364"/>
      <c r="C33" s="364"/>
      <c r="D33" s="364"/>
      <c r="E33" s="364"/>
      <c r="F33" s="364"/>
      <c r="G33" s="812"/>
      <c r="H33" s="2373"/>
      <c r="I33" s="2372"/>
      <c r="J33" s="2372"/>
      <c r="K33" s="2372"/>
    </row>
    <row r="34" spans="1:11" x14ac:dyDescent="0.2">
      <c r="A34" s="813" t="s">
        <v>1918</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368" t="s">
        <v>562</v>
      </c>
      <c r="B41" s="2381"/>
      <c r="C41" s="2381"/>
      <c r="D41" s="2381"/>
      <c r="E41" s="2381"/>
      <c r="F41" s="2382"/>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1912</v>
      </c>
      <c r="B46" s="408" t="s">
        <v>1773</v>
      </c>
    </row>
    <row r="47" spans="1:11" s="822" customFormat="1" ht="12.75" customHeight="1" x14ac:dyDescent="0.2">
      <c r="A47" s="820"/>
      <c r="B47" s="821" t="s">
        <v>1774</v>
      </c>
      <c r="E47" s="821"/>
      <c r="K47" s="823"/>
    </row>
    <row r="48" spans="1:11" ht="12.75" customHeight="1" x14ac:dyDescent="0.2">
      <c r="A48" s="1552" t="s">
        <v>1913</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03" t="s">
        <v>2030</v>
      </c>
      <c r="B1" s="2404"/>
      <c r="C1" s="2405"/>
      <c r="D1" s="825"/>
      <c r="E1" s="826"/>
      <c r="F1" s="826"/>
      <c r="G1" s="827"/>
      <c r="H1" s="828"/>
      <c r="I1" s="829"/>
      <c r="J1" s="2401"/>
      <c r="K1" s="2402"/>
      <c r="L1" s="2402"/>
    </row>
    <row r="2" spans="1:14" ht="69.75" customHeight="1" x14ac:dyDescent="0.2">
      <c r="A2" s="830" t="s">
        <v>1776</v>
      </c>
      <c r="B2" s="831" t="s">
        <v>396</v>
      </c>
      <c r="C2" s="832" t="s">
        <v>2025</v>
      </c>
      <c r="D2" s="832" t="s">
        <v>2022</v>
      </c>
      <c r="E2" s="832" t="s">
        <v>2023</v>
      </c>
      <c r="F2" s="832" t="s">
        <v>2024</v>
      </c>
      <c r="G2" s="832" t="s">
        <v>626</v>
      </c>
      <c r="H2" s="832" t="s">
        <v>2026</v>
      </c>
      <c r="I2" s="832" t="s">
        <v>2027</v>
      </c>
      <c r="J2" s="832" t="s">
        <v>2042</v>
      </c>
      <c r="K2" s="832" t="s">
        <v>2028</v>
      </c>
      <c r="L2" s="832" t="s">
        <v>2029</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121076</v>
      </c>
      <c r="D5" s="840"/>
      <c r="E5" s="840"/>
      <c r="F5" s="1780">
        <f>(C5+D5)-E5</f>
        <v>121076</v>
      </c>
      <c r="G5" s="836"/>
      <c r="H5" s="841"/>
      <c r="I5" s="841"/>
      <c r="J5" s="841"/>
      <c r="K5" s="792"/>
      <c r="L5" s="1789">
        <f>F5-K5</f>
        <v>121076</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15166982</v>
      </c>
      <c r="D8" s="843"/>
      <c r="E8" s="843"/>
      <c r="F8" s="1780">
        <f>(C8+D8)-E8</f>
        <v>15166982</v>
      </c>
      <c r="G8" s="842">
        <v>50</v>
      </c>
      <c r="H8" s="764">
        <v>7926033</v>
      </c>
      <c r="I8" s="764">
        <v>296440</v>
      </c>
      <c r="J8" s="764"/>
      <c r="K8" s="1789">
        <f>(H8+I8)-J8</f>
        <v>8222473</v>
      </c>
      <c r="L8" s="1789">
        <f>F8-K8</f>
        <v>6944509</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1566885</v>
      </c>
      <c r="D10" s="845"/>
      <c r="E10" s="845"/>
      <c r="F10" s="1784">
        <f>(C10+D10)-E10</f>
        <v>1566885</v>
      </c>
      <c r="G10" s="842">
        <v>20</v>
      </c>
      <c r="H10" s="846">
        <v>813850</v>
      </c>
      <c r="I10" s="846">
        <v>77084</v>
      </c>
      <c r="J10" s="846"/>
      <c r="K10" s="1789">
        <f>(H10+I10)-J10</f>
        <v>890934</v>
      </c>
      <c r="L10" s="1789">
        <f>F10-K10</f>
        <v>675951</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1152271</v>
      </c>
      <c r="D12" s="843">
        <v>57627</v>
      </c>
      <c r="E12" s="843">
        <v>105796</v>
      </c>
      <c r="F12" s="1780">
        <f>(C12+D12)-E12</f>
        <v>1104102</v>
      </c>
      <c r="G12" s="842">
        <v>10</v>
      </c>
      <c r="H12" s="764">
        <v>614211</v>
      </c>
      <c r="I12" s="764">
        <v>110411</v>
      </c>
      <c r="J12" s="764">
        <v>105796</v>
      </c>
      <c r="K12" s="1789">
        <f>(H12+I12)-J12</f>
        <v>618826</v>
      </c>
      <c r="L12" s="1789">
        <f>F12-K12</f>
        <v>485276</v>
      </c>
    </row>
    <row r="13" spans="1:14" ht="14.25" thickTop="1" thickBot="1" x14ac:dyDescent="0.25">
      <c r="A13" s="847" t="s">
        <v>1184</v>
      </c>
      <c r="B13" s="839">
        <v>252</v>
      </c>
      <c r="C13" s="843">
        <v>187176</v>
      </c>
      <c r="D13" s="843"/>
      <c r="E13" s="843"/>
      <c r="F13" s="1780">
        <f>(C13+D13)-E13</f>
        <v>187176</v>
      </c>
      <c r="G13" s="842">
        <v>5</v>
      </c>
      <c r="H13" s="764">
        <v>168390</v>
      </c>
      <c r="I13" s="764">
        <v>4697</v>
      </c>
      <c r="J13" s="764"/>
      <c r="K13" s="1789">
        <f>(H13+I13)-J13</f>
        <v>173087</v>
      </c>
      <c r="L13" s="1789">
        <f>F13-K13</f>
        <v>14089</v>
      </c>
    </row>
    <row r="14" spans="1:14" ht="14.25" thickTop="1" thickBot="1" x14ac:dyDescent="0.25">
      <c r="A14" s="847" t="s">
        <v>1185</v>
      </c>
      <c r="B14" s="839">
        <v>253</v>
      </c>
      <c r="C14" s="764">
        <v>198</v>
      </c>
      <c r="D14" s="764">
        <v>17384</v>
      </c>
      <c r="E14" s="764"/>
      <c r="F14" s="1780">
        <f>(C14+D14)-E14</f>
        <v>17582</v>
      </c>
      <c r="G14" s="842">
        <v>3</v>
      </c>
      <c r="H14" s="764">
        <v>198</v>
      </c>
      <c r="I14" s="764">
        <v>5795</v>
      </c>
      <c r="J14" s="764"/>
      <c r="K14" s="1789">
        <f>(H14+I14)-J14</f>
        <v>5993</v>
      </c>
      <c r="L14" s="1789">
        <f>F14-K14</f>
        <v>11589</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18194588</v>
      </c>
      <c r="D16" s="1780">
        <f>SUM(D3,D5:D6,D8:D10,D12:D15)</f>
        <v>75011</v>
      </c>
      <c r="E16" s="1780">
        <f>SUM(E3,E5:E6,E8:E10,E12:E15)</f>
        <v>105796</v>
      </c>
      <c r="F16" s="1780">
        <f>SUM(F3,F5:F6,F8:F10,F12:F15)</f>
        <v>18163803</v>
      </c>
      <c r="G16" s="842"/>
      <c r="H16" s="1780">
        <f>SUM(H3,H6,H8:H10,H12:H14,)</f>
        <v>9522682</v>
      </c>
      <c r="I16" s="1780">
        <f>SUM(I3,I6,I8:I10,I12:I14,)</f>
        <v>494427</v>
      </c>
      <c r="J16" s="1780">
        <f>SUM(J3,J6,J8:J10,J12:J14,)</f>
        <v>105796</v>
      </c>
      <c r="K16" s="1780">
        <f>(H16+I16)-J16</f>
        <v>9911313</v>
      </c>
      <c r="L16" s="1780">
        <f>F16-K16</f>
        <v>8252490</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494427</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29" sqref="A29:XFD29"/>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409" t="s">
        <v>1698</v>
      </c>
      <c r="B1" s="2410"/>
      <c r="C1" s="2410"/>
      <c r="D1" s="2410"/>
      <c r="E1" s="2410"/>
      <c r="F1" s="2411"/>
      <c r="G1" s="854"/>
    </row>
    <row r="2" spans="1:7" ht="15" customHeight="1" thickBot="1" x14ac:dyDescent="0.25">
      <c r="A2" s="2412" t="s">
        <v>498</v>
      </c>
      <c r="B2" s="2413"/>
      <c r="C2" s="2413"/>
      <c r="D2" s="2413"/>
      <c r="E2" s="2413"/>
      <c r="F2" s="2414"/>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415"/>
      <c r="B5" s="2416"/>
      <c r="C5" s="2416"/>
      <c r="D5" s="2416"/>
      <c r="E5" s="2416"/>
      <c r="F5" s="2416"/>
    </row>
    <row r="6" spans="1:7" ht="13.5" customHeight="1" thickBot="1" x14ac:dyDescent="0.25">
      <c r="A6" s="2406" t="s">
        <v>1166</v>
      </c>
      <c r="B6" s="2407"/>
      <c r="C6" s="2407"/>
      <c r="D6" s="2407"/>
      <c r="E6" s="2407"/>
      <c r="F6" s="2408"/>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7151047</v>
      </c>
      <c r="G8" s="864"/>
    </row>
    <row r="9" spans="1:7" x14ac:dyDescent="0.2">
      <c r="A9" s="868" t="s">
        <v>480</v>
      </c>
      <c r="B9" s="869" t="s">
        <v>1984</v>
      </c>
      <c r="C9" s="870"/>
      <c r="D9" s="868" t="s">
        <v>522</v>
      </c>
      <c r="E9" s="867"/>
      <c r="F9" s="1933">
        <f>'Expenditures 15-22'!K151</f>
        <v>367168</v>
      </c>
      <c r="G9" s="871"/>
    </row>
    <row r="10" spans="1:7" x14ac:dyDescent="0.2">
      <c r="A10" s="868" t="s">
        <v>520</v>
      </c>
      <c r="B10" s="869" t="s">
        <v>1985</v>
      </c>
      <c r="C10" s="870"/>
      <c r="D10" s="868" t="s">
        <v>522</v>
      </c>
      <c r="E10" s="867"/>
      <c r="F10" s="1933">
        <f>'Expenditures 15-22'!K174</f>
        <v>1018330</v>
      </c>
      <c r="G10" s="871"/>
    </row>
    <row r="11" spans="1:7" x14ac:dyDescent="0.2">
      <c r="A11" s="868" t="s">
        <v>481</v>
      </c>
      <c r="B11" s="869" t="s">
        <v>1986</v>
      </c>
      <c r="C11" s="870"/>
      <c r="D11" s="868" t="s">
        <v>522</v>
      </c>
      <c r="E11" s="867"/>
      <c r="F11" s="1933">
        <f>'Expenditures 15-22'!K210</f>
        <v>661422</v>
      </c>
      <c r="G11" s="871"/>
    </row>
    <row r="12" spans="1:7" x14ac:dyDescent="0.2">
      <c r="A12" s="868" t="s">
        <v>482</v>
      </c>
      <c r="B12" s="869" t="s">
        <v>1987</v>
      </c>
      <c r="C12" s="870"/>
      <c r="D12" s="868" t="s">
        <v>522</v>
      </c>
      <c r="E12" s="867"/>
      <c r="F12" s="1933">
        <f>'Expenditures 15-22'!K295</f>
        <v>264482</v>
      </c>
      <c r="G12" s="871"/>
    </row>
    <row r="13" spans="1:7" x14ac:dyDescent="0.2">
      <c r="A13" s="868" t="s">
        <v>108</v>
      </c>
      <c r="B13" s="869" t="s">
        <v>1988</v>
      </c>
      <c r="C13" s="870"/>
      <c r="D13" s="868" t="s">
        <v>522</v>
      </c>
      <c r="E13" s="867"/>
      <c r="F13" s="1933">
        <f>'Expenditures 15-22'!K342</f>
        <v>608479</v>
      </c>
      <c r="G13" s="872"/>
    </row>
    <row r="14" spans="1:7" ht="12" customHeight="1" thickBot="1" x14ac:dyDescent="0.25">
      <c r="A14" s="1790"/>
      <c r="B14" s="1791"/>
      <c r="C14" s="1792"/>
      <c r="D14" s="1793" t="s">
        <v>522</v>
      </c>
      <c r="E14" s="1794" t="s">
        <v>1015</v>
      </c>
      <c r="F14" s="1795">
        <f>SUM(F8:F13)</f>
        <v>10070928</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1682</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58767</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64872</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292577</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458</v>
      </c>
      <c r="G52" s="864"/>
    </row>
    <row r="53" spans="1:7" x14ac:dyDescent="0.2">
      <c r="A53" s="868" t="s">
        <v>479</v>
      </c>
      <c r="B53" s="868" t="s">
        <v>1551</v>
      </c>
      <c r="C53" s="888">
        <f>'Expenditures 15-22'!B102</f>
        <v>4000</v>
      </c>
      <c r="D53" s="887" t="str">
        <f>'Expenditures 15-22'!A102</f>
        <v>Total Payments to Other Govt Units</v>
      </c>
      <c r="E53" s="867"/>
      <c r="F53" s="1937">
        <f>'Expenditures 15-22'!K102</f>
        <v>153081</v>
      </c>
      <c r="G53" s="864"/>
    </row>
    <row r="54" spans="1:7" x14ac:dyDescent="0.2">
      <c r="A54" s="868" t="s">
        <v>479</v>
      </c>
      <c r="B54" s="868" t="s">
        <v>1552</v>
      </c>
      <c r="C54" s="888" t="s">
        <v>1039</v>
      </c>
      <c r="D54" s="884" t="s">
        <v>1157</v>
      </c>
      <c r="E54" s="867"/>
      <c r="F54" s="1937">
        <f>'Expenditures 15-22'!G114</f>
        <v>51453</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1989</v>
      </c>
      <c r="C57" s="888">
        <f>'Expenditures 15-22'!B139</f>
        <v>4000</v>
      </c>
      <c r="D57" s="886" t="str">
        <f>'Expenditures 15-22'!A139</f>
        <v>Total Payments to Other Govt Units</v>
      </c>
      <c r="E57" s="867"/>
      <c r="F57" s="1937">
        <f>'Expenditures 15-22'!K139</f>
        <v>0</v>
      </c>
      <c r="G57" s="864"/>
    </row>
    <row r="58" spans="1:7" x14ac:dyDescent="0.2">
      <c r="A58" s="868" t="s">
        <v>480</v>
      </c>
      <c r="B58" s="868" t="s">
        <v>1990</v>
      </c>
      <c r="C58" s="885" t="s">
        <v>1039</v>
      </c>
      <c r="D58" s="884" t="s">
        <v>1157</v>
      </c>
      <c r="E58" s="867"/>
      <c r="F58" s="1939">
        <f>'Expenditures 15-22'!G151</f>
        <v>880</v>
      </c>
      <c r="G58" s="864"/>
    </row>
    <row r="59" spans="1:7" x14ac:dyDescent="0.2">
      <c r="A59" s="892" t="s">
        <v>480</v>
      </c>
      <c r="B59" s="855" t="s">
        <v>1991</v>
      </c>
      <c r="C59" s="893" t="s">
        <v>1039</v>
      </c>
      <c r="D59" s="855" t="s">
        <v>309</v>
      </c>
      <c r="F59" s="1940">
        <f>'Expenditures 15-22'!I151</f>
        <v>0</v>
      </c>
      <c r="G59" s="864"/>
    </row>
    <row r="60" spans="1:7" x14ac:dyDescent="0.2">
      <c r="A60" s="892" t="s">
        <v>520</v>
      </c>
      <c r="B60" s="855" t="s">
        <v>1992</v>
      </c>
      <c r="C60" s="893">
        <v>4000</v>
      </c>
      <c r="D60" s="855" t="s">
        <v>330</v>
      </c>
      <c r="F60" s="1938">
        <f>'Expenditures 15-22'!K160</f>
        <v>0</v>
      </c>
      <c r="G60" s="864"/>
    </row>
    <row r="61" spans="1:7" x14ac:dyDescent="0.2">
      <c r="A61" s="894" t="s">
        <v>520</v>
      </c>
      <c r="B61" s="894" t="s">
        <v>1993</v>
      </c>
      <c r="C61" s="895" t="str">
        <f>'Expenditures 15-22'!B170</f>
        <v>5300</v>
      </c>
      <c r="D61" s="896" t="s">
        <v>329</v>
      </c>
      <c r="E61" s="878"/>
      <c r="F61" s="1937">
        <f>'Expenditures 15-22'!K170</f>
        <v>925000</v>
      </c>
      <c r="G61" s="864"/>
    </row>
    <row r="62" spans="1:7" x14ac:dyDescent="0.2">
      <c r="A62" s="868" t="s">
        <v>481</v>
      </c>
      <c r="B62" s="868" t="s">
        <v>1994</v>
      </c>
      <c r="C62" s="885">
        <f>'Expenditures 15-22'!B185</f>
        <v>3000</v>
      </c>
      <c r="D62" s="875" t="s">
        <v>469</v>
      </c>
      <c r="E62" s="867"/>
      <c r="F62" s="1937">
        <f>'Expenditures 15-22'!K185-SUM('Expenditures 15-22'!G185,'Expenditures 15-22'!I185)</f>
        <v>0</v>
      </c>
      <c r="G62" s="864"/>
    </row>
    <row r="63" spans="1:7" x14ac:dyDescent="0.2">
      <c r="A63" s="868" t="s">
        <v>481</v>
      </c>
      <c r="B63" s="868" t="s">
        <v>1995</v>
      </c>
      <c r="C63" s="885" t="str">
        <f>'Expenditures 15-22'!B196</f>
        <v>4000</v>
      </c>
      <c r="D63" s="886" t="str">
        <f>'Expenditures 15-22'!A196</f>
        <v>Total Payments to Other Govt Units</v>
      </c>
      <c r="E63" s="867"/>
      <c r="F63" s="1937">
        <f>'Expenditures 15-22'!K196</f>
        <v>0</v>
      </c>
      <c r="G63" s="864"/>
    </row>
    <row r="64" spans="1:7" x14ac:dyDescent="0.2">
      <c r="A64" s="894" t="s">
        <v>481</v>
      </c>
      <c r="B64" s="894" t="s">
        <v>1996</v>
      </c>
      <c r="C64" s="895" t="str">
        <f>'Expenditures 15-22'!B206</f>
        <v>5300</v>
      </c>
      <c r="D64" s="891" t="s">
        <v>329</v>
      </c>
      <c r="E64" s="867"/>
      <c r="F64" s="1937">
        <f>'Expenditures 15-22'!K206</f>
        <v>0</v>
      </c>
      <c r="G64" s="864"/>
    </row>
    <row r="65" spans="1:8" x14ac:dyDescent="0.2">
      <c r="A65" s="868" t="s">
        <v>481</v>
      </c>
      <c r="B65" s="868" t="s">
        <v>1997</v>
      </c>
      <c r="C65" s="885" t="s">
        <v>1039</v>
      </c>
      <c r="D65" s="884" t="s">
        <v>1157</v>
      </c>
      <c r="E65" s="867"/>
      <c r="F65" s="1937">
        <f>'Expenditures 15-22'!G210</f>
        <v>22678</v>
      </c>
      <c r="G65" s="864"/>
    </row>
    <row r="66" spans="1:8" x14ac:dyDescent="0.2">
      <c r="A66" s="868" t="s">
        <v>481</v>
      </c>
      <c r="B66" s="868" t="s">
        <v>1998</v>
      </c>
      <c r="C66" s="885" t="s">
        <v>1039</v>
      </c>
      <c r="D66" s="884" t="s">
        <v>309</v>
      </c>
      <c r="E66" s="867"/>
      <c r="F66" s="1937">
        <f>'Expenditures 15-22'!I210</f>
        <v>0</v>
      </c>
      <c r="G66" s="864"/>
    </row>
    <row r="67" spans="1:8" x14ac:dyDescent="0.2">
      <c r="A67" s="868" t="s">
        <v>482</v>
      </c>
      <c r="B67" s="868" t="s">
        <v>1999</v>
      </c>
      <c r="C67" s="885" t="str">
        <f>'Expenditures 15-22'!B216</f>
        <v>1125</v>
      </c>
      <c r="D67" s="891" t="str">
        <f>'Expenditures 15-22'!A216</f>
        <v>Pre-K Programs</v>
      </c>
      <c r="E67" s="867"/>
      <c r="F67" s="1937">
        <f>'Expenditures 15-22'!K216</f>
        <v>688</v>
      </c>
      <c r="G67" s="864"/>
    </row>
    <row r="68" spans="1:8" x14ac:dyDescent="0.2">
      <c r="A68" s="868" t="s">
        <v>482</v>
      </c>
      <c r="B68" s="868" t="s">
        <v>1555</v>
      </c>
      <c r="C68" s="885" t="str">
        <f>'Expenditures 15-22'!B218</f>
        <v>1225</v>
      </c>
      <c r="D68" s="891" t="str">
        <f>'Expenditures 15-22'!A218</f>
        <v>Special Education Programs - Pre-K</v>
      </c>
      <c r="E68" s="867"/>
      <c r="F68" s="1937">
        <f>'Expenditures 15-22'!K218</f>
        <v>2586</v>
      </c>
      <c r="G68" s="864"/>
    </row>
    <row r="69" spans="1:8" x14ac:dyDescent="0.2">
      <c r="A69" s="868" t="s">
        <v>482</v>
      </c>
      <c r="B69" s="868" t="s">
        <v>2000</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2001</v>
      </c>
      <c r="C70" s="885">
        <f>'Expenditures 15-22'!B221</f>
        <v>1300</v>
      </c>
      <c r="D70" s="886" t="str">
        <f>'Expenditures 15-22'!A221</f>
        <v>Adult/Continuing Education Programs</v>
      </c>
      <c r="E70" s="867"/>
      <c r="F70" s="1937">
        <f>'Expenditures 15-22'!K221</f>
        <v>0</v>
      </c>
      <c r="G70" s="864"/>
    </row>
    <row r="71" spans="1:8" x14ac:dyDescent="0.2">
      <c r="A71" s="868" t="s">
        <v>482</v>
      </c>
      <c r="B71" s="868" t="s">
        <v>2002</v>
      </c>
      <c r="C71" s="885">
        <f>'Expenditures 15-22'!B224</f>
        <v>1600</v>
      </c>
      <c r="D71" s="886" t="str">
        <f>'Expenditures 15-22'!A224</f>
        <v>Summer School Programs</v>
      </c>
      <c r="E71" s="867"/>
      <c r="F71" s="1937">
        <f>'Expenditures 15-22'!K224</f>
        <v>0</v>
      </c>
      <c r="G71" s="864"/>
    </row>
    <row r="72" spans="1:8" x14ac:dyDescent="0.2">
      <c r="A72" s="868" t="s">
        <v>482</v>
      </c>
      <c r="B72" s="868" t="s">
        <v>2003</v>
      </c>
      <c r="C72" s="885">
        <f>'Expenditures 15-22'!B280</f>
        <v>3000</v>
      </c>
      <c r="D72" s="875" t="s">
        <v>469</v>
      </c>
      <c r="E72" s="867"/>
      <c r="F72" s="1937">
        <f>'Expenditures 15-22'!K280</f>
        <v>0</v>
      </c>
      <c r="G72" s="864"/>
    </row>
    <row r="73" spans="1:8" x14ac:dyDescent="0.2">
      <c r="A73" s="868" t="s">
        <v>482</v>
      </c>
      <c r="B73" s="868" t="s">
        <v>2004</v>
      </c>
      <c r="C73" s="885" t="str">
        <f>'Expenditures 15-22'!B285</f>
        <v>4000</v>
      </c>
      <c r="D73" s="886" t="str">
        <f>'Expenditures 15-22'!A285</f>
        <v>Total Payments to Other Govt Units</v>
      </c>
      <c r="E73" s="867"/>
      <c r="F73" s="1937">
        <f>'Expenditures 15-22'!K285</f>
        <v>0</v>
      </c>
      <c r="G73" s="864"/>
    </row>
    <row r="74" spans="1:8" x14ac:dyDescent="0.2">
      <c r="A74" s="868" t="s">
        <v>456</v>
      </c>
      <c r="B74" s="868" t="s">
        <v>2005</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2006</v>
      </c>
      <c r="E76" s="1794" t="s">
        <v>1015</v>
      </c>
      <c r="F76" s="1798">
        <f>SUM(F18:F74)</f>
        <v>1573040</v>
      </c>
      <c r="G76" s="864"/>
    </row>
    <row r="77" spans="1:8" s="892" customFormat="1" ht="12" customHeight="1" thickTop="1" thickBot="1" x14ac:dyDescent="0.25">
      <c r="A77" s="1799"/>
      <c r="B77" s="1796"/>
      <c r="C77" s="1792"/>
      <c r="D77" s="1797" t="s">
        <v>2007</v>
      </c>
      <c r="E77" s="1794"/>
      <c r="F77" s="1800">
        <f>(F14-F76)</f>
        <v>8497888</v>
      </c>
      <c r="G77" s="868"/>
    </row>
    <row r="78" spans="1:8" s="892" customFormat="1" ht="12" customHeight="1" thickTop="1" x14ac:dyDescent="0.2">
      <c r="A78" s="1801"/>
      <c r="B78" s="1796"/>
      <c r="C78" s="1792"/>
      <c r="D78" s="1797" t="s">
        <v>2054</v>
      </c>
      <c r="E78" s="1794"/>
      <c r="F78" s="897">
        <v>828.84</v>
      </c>
      <c r="G78" s="898"/>
      <c r="H78" s="868"/>
    </row>
    <row r="79" spans="1:8" s="892" customFormat="1" ht="12" customHeight="1" thickBot="1" x14ac:dyDescent="0.25">
      <c r="A79" s="1802"/>
      <c r="B79" s="1796"/>
      <c r="C79" s="1792"/>
      <c r="D79" s="1797" t="s">
        <v>2008</v>
      </c>
      <c r="E79" s="1794" t="s">
        <v>1015</v>
      </c>
      <c r="F79" s="1803">
        <f>IF(F78&gt;0,F77/F78," Complete Line 78")</f>
        <v>10252.748419477824</v>
      </c>
      <c r="G79" s="868"/>
    </row>
    <row r="80" spans="1:8" s="892" customFormat="1" ht="8.25" customHeight="1" thickTop="1" x14ac:dyDescent="0.2">
      <c r="A80" s="899"/>
      <c r="B80" s="868"/>
      <c r="C80" s="870"/>
      <c r="D80" s="900"/>
      <c r="E80" s="867"/>
      <c r="F80" s="901"/>
      <c r="G80" s="868"/>
    </row>
    <row r="81" spans="1:7" s="892" customFormat="1" ht="12" thickBot="1" x14ac:dyDescent="0.25">
      <c r="A81" s="2406" t="s">
        <v>1167</v>
      </c>
      <c r="B81" s="2407"/>
      <c r="C81" s="2407"/>
      <c r="D81" s="2407"/>
      <c r="E81" s="2407"/>
      <c r="F81" s="2408"/>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45186</v>
      </c>
      <c r="G94" s="911"/>
    </row>
    <row r="95" spans="1:7" x14ac:dyDescent="0.2">
      <c r="A95" s="907" t="s">
        <v>142</v>
      </c>
      <c r="B95" s="907" t="s">
        <v>177</v>
      </c>
      <c r="C95" s="909">
        <v>1700</v>
      </c>
      <c r="D95" s="917" t="str">
        <f>'Revenues 9-14'!A82</f>
        <v>Total District/School Activity Income</v>
      </c>
      <c r="E95" s="905"/>
      <c r="F95" s="1809">
        <f>SUM('Revenues 9-14'!C82,'Revenues 9-14'!D82)</f>
        <v>27680</v>
      </c>
      <c r="G95" s="911"/>
    </row>
    <row r="96" spans="1:7" x14ac:dyDescent="0.2">
      <c r="A96" s="907" t="s">
        <v>479</v>
      </c>
      <c r="B96" s="907" t="s">
        <v>178</v>
      </c>
      <c r="C96" s="909">
        <f>'Revenues 9-14'!B84</f>
        <v>1811</v>
      </c>
      <c r="D96" s="910" t="str">
        <f>'Revenues 9-14'!A84</f>
        <v>Rentals - Regular Textbooks</v>
      </c>
      <c r="E96" s="905"/>
      <c r="F96" s="1809">
        <f>'Revenues 9-14'!C84</f>
        <v>41781</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13000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239513</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35190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7547</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12213</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596310</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427627</v>
      </c>
      <c r="G129" s="929"/>
    </row>
    <row r="130" spans="1:7" x14ac:dyDescent="0.2">
      <c r="A130" s="926" t="s">
        <v>689</v>
      </c>
      <c r="B130" s="926" t="s">
        <v>804</v>
      </c>
      <c r="C130" s="931">
        <v>4300</v>
      </c>
      <c r="D130" s="932" t="str">
        <f>'Revenues 9-14'!A211</f>
        <v>Total Title I</v>
      </c>
      <c r="E130" s="905"/>
      <c r="F130" s="1809">
        <f>SUM('Revenues 9-14'!C211,'Revenues 9-14'!D211,'Revenues 9-14'!F211,'Revenues 9-14'!G211)</f>
        <v>143709</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106918</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39588</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22142</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68334</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50200</v>
      </c>
      <c r="G174" s="926"/>
    </row>
    <row r="175" spans="1:7" x14ac:dyDescent="0.2">
      <c r="A175" s="1942" t="s">
        <v>5</v>
      </c>
      <c r="B175" s="1943" t="s">
        <v>2053</v>
      </c>
      <c r="C175" s="1944">
        <v>3100</v>
      </c>
      <c r="D175" s="1945" t="s">
        <v>2056</v>
      </c>
      <c r="E175" s="905"/>
      <c r="F175" s="1929">
        <v>294384.31</v>
      </c>
      <c r="G175" s="926"/>
    </row>
    <row r="176" spans="1:7" x14ac:dyDescent="0.2">
      <c r="A176" s="1942" t="s">
        <v>685</v>
      </c>
      <c r="B176" s="1943" t="s">
        <v>2053</v>
      </c>
      <c r="C176" s="1944">
        <v>3300</v>
      </c>
      <c r="D176" s="1945" t="s">
        <v>2057</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2009</v>
      </c>
      <c r="E178" s="1807" t="s">
        <v>1015</v>
      </c>
      <c r="F178" s="1808">
        <f>SUM(F84:F136,F161:F176)</f>
        <v>2172822.31</v>
      </c>
    </row>
    <row r="179" spans="1:7" ht="12" customHeight="1" x14ac:dyDescent="0.2">
      <c r="A179" s="1790"/>
      <c r="B179" s="1804"/>
      <c r="C179" s="1805"/>
      <c r="D179" s="1806" t="s">
        <v>2010</v>
      </c>
      <c r="E179" s="1807"/>
      <c r="F179" s="1809">
        <f>'PCTC-OEPP 27-28'!F77-F178</f>
        <v>6325065.6899999995</v>
      </c>
    </row>
    <row r="180" spans="1:7" ht="12" customHeight="1" x14ac:dyDescent="0.2">
      <c r="A180" s="1790"/>
      <c r="B180" s="1804"/>
      <c r="C180" s="1805"/>
      <c r="D180" s="1806" t="s">
        <v>1919</v>
      </c>
      <c r="E180" s="1807"/>
      <c r="F180" s="1809">
        <f>'Cap Outlay Deprec 26'!I18</f>
        <v>494427</v>
      </c>
    </row>
    <row r="181" spans="1:7" ht="12" customHeight="1" x14ac:dyDescent="0.2">
      <c r="A181" s="1790"/>
      <c r="B181" s="1804"/>
      <c r="C181" s="1805"/>
      <c r="D181" s="1806" t="s">
        <v>2011</v>
      </c>
      <c r="E181" s="1807"/>
      <c r="F181" s="1809">
        <f>F179+F180</f>
        <v>6819492.6899999995</v>
      </c>
    </row>
    <row r="182" spans="1:7" ht="12" customHeight="1" x14ac:dyDescent="0.2">
      <c r="A182" s="1790"/>
      <c r="B182" s="1810"/>
      <c r="C182" s="1805"/>
      <c r="D182" s="1806" t="str">
        <f>D78</f>
        <v>9 Month ADA from District Average Daily Attendance/Prior General State Aid Inquiry 2017-2018</v>
      </c>
      <c r="E182" s="1807"/>
      <c r="F182" s="1811">
        <f>'PCTC-OEPP 27-28'!F78</f>
        <v>828.84</v>
      </c>
      <c r="G182" s="929"/>
    </row>
    <row r="183" spans="1:7" ht="12" customHeight="1" thickBot="1" x14ac:dyDescent="0.25">
      <c r="A183" s="1790"/>
      <c r="B183" s="1810"/>
      <c r="C183" s="1805"/>
      <c r="D183" s="1806" t="s">
        <v>2012</v>
      </c>
      <c r="E183" s="1807" t="s">
        <v>1626</v>
      </c>
      <c r="F183" s="1812">
        <f>F181/F182</f>
        <v>8227.755284493991</v>
      </c>
      <c r="G183" s="855">
        <v>6323</v>
      </c>
    </row>
    <row r="184" spans="1:7" ht="12" thickTop="1" x14ac:dyDescent="0.2">
      <c r="B184" s="929"/>
      <c r="C184" s="948"/>
      <c r="D184" s="929"/>
      <c r="E184" s="948"/>
      <c r="F184" s="929"/>
      <c r="G184" s="950">
        <v>6326</v>
      </c>
    </row>
    <row r="185" spans="1:7" ht="12.2" customHeight="1" x14ac:dyDescent="0.2">
      <c r="A185" s="929" t="s">
        <v>2055</v>
      </c>
      <c r="B185" s="929"/>
      <c r="C185" s="948"/>
      <c r="D185" s="929"/>
      <c r="E185" s="948"/>
      <c r="F185" s="929"/>
      <c r="G185" s="929"/>
    </row>
    <row r="186" spans="1:7" s="1946" customFormat="1" ht="12.2" customHeight="1" x14ac:dyDescent="0.2">
      <c r="A186" s="1946" t="s">
        <v>2060</v>
      </c>
      <c r="B186" s="1947"/>
      <c r="C186" s="1948"/>
      <c r="D186" s="1947"/>
      <c r="E186" s="1948"/>
      <c r="F186" s="1947"/>
      <c r="G186" s="1947"/>
    </row>
    <row r="187" spans="1:7" s="1946" customFormat="1" ht="12.2" customHeight="1" x14ac:dyDescent="0.2">
      <c r="A187" s="1949" t="s">
        <v>2061</v>
      </c>
      <c r="C187" s="1948"/>
      <c r="D187" s="1947"/>
      <c r="E187" s="1948"/>
      <c r="F187" s="1947"/>
      <c r="G187" s="1947"/>
    </row>
    <row r="188" spans="1:7" ht="12" customHeight="1" x14ac:dyDescent="0.2">
      <c r="C188" s="948"/>
      <c r="D188" s="929"/>
      <c r="E188" s="948"/>
      <c r="F188" s="929"/>
      <c r="G188" s="929"/>
    </row>
    <row r="189" spans="1:7" x14ac:dyDescent="0.2">
      <c r="A189" s="1950" t="s">
        <v>2059</v>
      </c>
      <c r="B189" s="1951" t="s">
        <v>2058</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1935</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420" t="s">
        <v>1920</v>
      </c>
      <c r="B4" s="2421"/>
      <c r="C4" s="2421"/>
      <c r="D4" s="2421"/>
      <c r="E4" s="2421"/>
      <c r="F4" s="2421"/>
      <c r="G4" s="2422"/>
    </row>
    <row r="5" spans="1:7" x14ac:dyDescent="0.25">
      <c r="A5" s="2423"/>
      <c r="B5" s="2424"/>
      <c r="C5" s="2424"/>
      <c r="D5" s="2424"/>
      <c r="E5" s="2424"/>
      <c r="F5" s="2424"/>
      <c r="G5" s="2425"/>
    </row>
    <row r="6" spans="1:7" ht="18.75" x14ac:dyDescent="0.25">
      <c r="A6" s="1554" t="s">
        <v>1921</v>
      </c>
      <c r="B6" s="1555"/>
      <c r="C6" s="1555"/>
      <c r="D6" s="1555"/>
      <c r="E6" s="1555"/>
      <c r="F6" s="1555"/>
      <c r="G6" s="1556"/>
    </row>
    <row r="7" spans="1:7" ht="30.75" customHeight="1" x14ac:dyDescent="0.25">
      <c r="A7" s="2426" t="s">
        <v>2070</v>
      </c>
      <c r="B7" s="2427"/>
      <c r="C7" s="2427"/>
      <c r="D7" s="2427"/>
      <c r="E7" s="2427"/>
      <c r="F7" s="2427"/>
      <c r="G7" s="2428"/>
    </row>
    <row r="8" spans="1:7" ht="15.75" customHeight="1" x14ac:dyDescent="0.25">
      <c r="A8" s="2429" t="s">
        <v>2019</v>
      </c>
      <c r="B8" s="2430"/>
      <c r="C8" s="2430"/>
      <c r="D8" s="2430"/>
      <c r="E8" s="2430"/>
      <c r="F8" s="2430"/>
      <c r="G8" s="2431"/>
    </row>
    <row r="9" spans="1:7" ht="35.25" customHeight="1" x14ac:dyDescent="0.25">
      <c r="A9" s="2426" t="s">
        <v>2018</v>
      </c>
      <c r="B9" s="2427"/>
      <c r="C9" s="2427"/>
      <c r="D9" s="2427"/>
      <c r="E9" s="2427"/>
      <c r="F9" s="2427"/>
      <c r="G9" s="2428"/>
    </row>
    <row r="10" spans="1:7" ht="15" customHeight="1" x14ac:dyDescent="0.25">
      <c r="A10" s="1557" t="s">
        <v>1922</v>
      </c>
      <c r="B10" s="1558"/>
      <c r="C10" s="1558"/>
      <c r="D10" s="1558"/>
      <c r="E10" s="1558"/>
      <c r="F10" s="1558"/>
      <c r="G10" s="1559"/>
    </row>
    <row r="11" spans="1:7" ht="17.25" customHeight="1" x14ac:dyDescent="0.25">
      <c r="A11" s="2426" t="s">
        <v>1936</v>
      </c>
      <c r="B11" s="2427"/>
      <c r="C11" s="2427"/>
      <c r="D11" s="2427"/>
      <c r="E11" s="2427"/>
      <c r="F11" s="2427"/>
      <c r="G11" s="2428"/>
    </row>
    <row r="12" spans="1:7" ht="15" customHeight="1" x14ac:dyDescent="0.25">
      <c r="A12" s="1557" t="s">
        <v>1927</v>
      </c>
      <c r="B12" s="1558"/>
      <c r="C12" s="1558"/>
      <c r="D12" s="1558"/>
      <c r="E12" s="1558"/>
      <c r="F12" s="1558"/>
      <c r="G12" s="1559"/>
    </row>
    <row r="13" spans="1:7" ht="32.25" customHeight="1" x14ac:dyDescent="0.25">
      <c r="A13" s="2417" t="s">
        <v>1928</v>
      </c>
      <c r="B13" s="2418"/>
      <c r="C13" s="2418"/>
      <c r="D13" s="2418"/>
      <c r="E13" s="2418"/>
      <c r="F13" s="2418"/>
      <c r="G13" s="2419"/>
    </row>
    <row r="14" spans="1:7" x14ac:dyDescent="0.25">
      <c r="A14" s="1681" t="s">
        <v>1937</v>
      </c>
      <c r="B14" s="1682"/>
      <c r="C14" s="1682"/>
      <c r="D14" s="1682"/>
      <c r="E14" s="1682"/>
      <c r="F14" s="1682"/>
      <c r="G14" s="1683"/>
    </row>
    <row r="15" spans="1:7" ht="61.5" customHeight="1" x14ac:dyDescent="0.25">
      <c r="A15" s="1566" t="s">
        <v>1929</v>
      </c>
      <c r="B15" s="1566" t="s">
        <v>1930</v>
      </c>
      <c r="C15" s="1566" t="s">
        <v>1931</v>
      </c>
      <c r="D15" s="1567" t="s">
        <v>1932</v>
      </c>
      <c r="E15" s="1567" t="s">
        <v>1923</v>
      </c>
      <c r="F15" s="1567" t="s">
        <v>1933</v>
      </c>
      <c r="G15" s="1567" t="s">
        <v>1934</v>
      </c>
    </row>
    <row r="16" spans="1:7" x14ac:dyDescent="0.25">
      <c r="A16" s="1668" t="s">
        <v>1938</v>
      </c>
      <c r="B16" s="1669" t="s">
        <v>1926</v>
      </c>
      <c r="C16" s="1670" t="s">
        <v>1924</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2085" t="s">
        <v>2239</v>
      </c>
      <c r="B17" s="2086" t="s">
        <v>2240</v>
      </c>
      <c r="C17" s="2087" t="s">
        <v>2241</v>
      </c>
      <c r="D17" s="1865">
        <v>228568</v>
      </c>
      <c r="E17" s="1560">
        <f t="shared" ref="E17:E141" si="1">IF(D17&lt;=25000,D17,IF(D17&gt;25000,25000,0))</f>
        <v>25000</v>
      </c>
      <c r="F17" s="1813">
        <f t="shared" si="0"/>
        <v>25000</v>
      </c>
      <c r="G17" s="1814">
        <f>IF(F17=0,0,D17-F17)</f>
        <v>203568</v>
      </c>
      <c r="H17" s="1667"/>
    </row>
    <row r="18" spans="1:8" x14ac:dyDescent="0.25">
      <c r="A18" s="2088" t="s">
        <v>2252</v>
      </c>
      <c r="B18" s="2089" t="s">
        <v>2253</v>
      </c>
      <c r="C18" s="2090" t="s">
        <v>2254</v>
      </c>
      <c r="D18" s="1865">
        <v>399340</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374340</v>
      </c>
    </row>
    <row r="19" spans="1:8" hidden="1" x14ac:dyDescent="0.25">
      <c r="A19" s="1673"/>
      <c r="B19" s="1867"/>
      <c r="C19" s="1676"/>
      <c r="D19" s="1865"/>
      <c r="E19" s="1560">
        <f t="shared" si="2"/>
        <v>0</v>
      </c>
      <c r="F19" s="1813">
        <f t="shared" si="3"/>
        <v>0</v>
      </c>
      <c r="G19" s="1814">
        <f t="shared" si="4"/>
        <v>0</v>
      </c>
    </row>
    <row r="20" spans="1:8" hidden="1" x14ac:dyDescent="0.25">
      <c r="A20" s="1673"/>
      <c r="B20" s="1866"/>
      <c r="C20" s="1676"/>
      <c r="D20" s="1865"/>
      <c r="E20" s="1560">
        <f t="shared" si="2"/>
        <v>0</v>
      </c>
      <c r="F20" s="1813">
        <f t="shared" si="3"/>
        <v>0</v>
      </c>
      <c r="G20" s="1814">
        <f t="shared" si="4"/>
        <v>0</v>
      </c>
    </row>
    <row r="21" spans="1:8" hidden="1" x14ac:dyDescent="0.25">
      <c r="A21" s="1673"/>
      <c r="B21" s="1866"/>
      <c r="C21" s="1676"/>
      <c r="D21" s="1865"/>
      <c r="E21" s="1560">
        <f t="shared" si="2"/>
        <v>0</v>
      </c>
      <c r="F21" s="1813">
        <f t="shared" si="3"/>
        <v>0</v>
      </c>
      <c r="G21" s="1814">
        <f t="shared" si="4"/>
        <v>0</v>
      </c>
    </row>
    <row r="22" spans="1:8" hidden="1" x14ac:dyDescent="0.25">
      <c r="A22" s="1673"/>
      <c r="B22" s="1866"/>
      <c r="C22" s="1676"/>
      <c r="D22" s="1865"/>
      <c r="E22" s="1560">
        <f t="shared" si="2"/>
        <v>0</v>
      </c>
      <c r="F22" s="1813">
        <f t="shared" si="3"/>
        <v>0</v>
      </c>
      <c r="G22" s="1814">
        <f t="shared" si="4"/>
        <v>0</v>
      </c>
    </row>
    <row r="23" spans="1:8" hidden="1" x14ac:dyDescent="0.25">
      <c r="A23" s="1673"/>
      <c r="B23" s="1866"/>
      <c r="C23" s="1676"/>
      <c r="D23" s="1865"/>
      <c r="E23" s="1560">
        <f t="shared" si="2"/>
        <v>0</v>
      </c>
      <c r="F23" s="1813">
        <f t="shared" si="3"/>
        <v>0</v>
      </c>
      <c r="G23" s="1814">
        <f t="shared" si="4"/>
        <v>0</v>
      </c>
    </row>
    <row r="24" spans="1:8" hidden="1" x14ac:dyDescent="0.25">
      <c r="A24" s="1673"/>
      <c r="B24" s="1867"/>
      <c r="C24" s="1676"/>
      <c r="D24" s="1865"/>
      <c r="E24" s="1560">
        <f t="shared" si="2"/>
        <v>0</v>
      </c>
      <c r="F24" s="1813">
        <f t="shared" si="3"/>
        <v>0</v>
      </c>
      <c r="G24" s="1814">
        <f t="shared" si="4"/>
        <v>0</v>
      </c>
    </row>
    <row r="25" spans="1:8" hidden="1" x14ac:dyDescent="0.25">
      <c r="A25" s="1673"/>
      <c r="B25" s="1866"/>
      <c r="C25" s="1676"/>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627908</v>
      </c>
      <c r="E141" s="1561">
        <f t="shared" si="1"/>
        <v>25000</v>
      </c>
      <c r="F141" s="1815">
        <f>SUM(F17:F140)</f>
        <v>50000</v>
      </c>
      <c r="G141" s="1816">
        <f>SUM(G17:G140)</f>
        <v>577908</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432" t="s">
        <v>1777</v>
      </c>
      <c r="B5" s="2433"/>
      <c r="C5" s="2433"/>
      <c r="D5" s="2433"/>
      <c r="E5" s="2433"/>
      <c r="F5" s="2433"/>
      <c r="G5" s="2434"/>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2071</v>
      </c>
      <c r="B10" s="970"/>
      <c r="C10" s="975"/>
      <c r="D10" s="971"/>
      <c r="E10" s="972"/>
      <c r="F10" s="973"/>
      <c r="G10" s="974"/>
      <c r="H10" s="162"/>
      <c r="I10" s="162"/>
    </row>
    <row r="11" spans="1:9" s="667" customFormat="1" ht="22.5" customHeight="1" x14ac:dyDescent="0.2">
      <c r="A11" s="2437" t="s">
        <v>1940</v>
      </c>
      <c r="B11" s="2438"/>
      <c r="C11" s="2438"/>
      <c r="D11" s="2439"/>
      <c r="E11" s="976">
        <v>36689</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5003575</v>
      </c>
      <c r="F19" s="1820"/>
      <c r="G19" s="1822">
        <f>'Expenditures 15-22'!K33-SUM('Expenditures 15-22'!G33,'Expenditures 15-22'!I33)+'Expenditures 15-22'!D229</f>
        <v>5003575</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167734</v>
      </c>
      <c r="F21" s="1823"/>
      <c r="G21" s="1826">
        <f>'Expenditures 15-22'!K42-SUM('Expenditures 15-22'!G42,'Expenditures 15-22'!I42)+'Expenditures 15-22'!K120-SUM('Expenditures 15-22'!G120,'Expenditures 15-22'!I120)+'Expenditures 15-22'!K180-SUM('Expenditures 15-22'!G180,'Expenditures 15-22'!I180)+'Expenditures 15-22'!D238</f>
        <v>167734</v>
      </c>
      <c r="H21" s="986"/>
      <c r="I21" s="162"/>
    </row>
    <row r="22" spans="1:9" s="667" customFormat="1" ht="12" customHeight="1" x14ac:dyDescent="0.2">
      <c r="A22" s="993" t="s">
        <v>585</v>
      </c>
      <c r="B22" s="994"/>
      <c r="C22" s="992">
        <v>2200</v>
      </c>
      <c r="D22" s="1823"/>
      <c r="E22" s="1825">
        <f>'Expenditures 15-22'!K47-SUM('Expenditures 15-22'!G47,'Expenditures 15-22'!I47)+'Expenditures 15-22'!D243</f>
        <v>303016</v>
      </c>
      <c r="F22" s="1823"/>
      <c r="G22" s="1826">
        <f>'Expenditures 15-22'!K47-SUM('Expenditures 15-22'!G47,'Expenditures 15-22'!I47)+'Expenditures 15-22'!D243</f>
        <v>303016</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872870</v>
      </c>
      <c r="F23" s="1823"/>
      <c r="G23" s="1825">
        <f>'Expenditures 15-22'!K53-SUM('Expenditures 15-22'!G53,'Expenditures 15-22'!I53)+'Expenditures 15-22'!D257+'Expenditures 15-22'!K330-SUM('Expenditures 15-22'!G330,'Expenditures 15-22'!I330)</f>
        <v>872870</v>
      </c>
      <c r="H23" s="986"/>
      <c r="I23" s="162"/>
    </row>
    <row r="24" spans="1:9" s="667" customFormat="1" ht="12" customHeight="1" x14ac:dyDescent="0.2">
      <c r="A24" s="993" t="s">
        <v>587</v>
      </c>
      <c r="B24" s="994"/>
      <c r="C24" s="992">
        <v>2400</v>
      </c>
      <c r="D24" s="1823"/>
      <c r="E24" s="1825">
        <f>'Expenditures 15-22'!K57-SUM('Expenditures 15-22'!G57,'Expenditures 15-22'!I57)+'Expenditures 15-22'!D261</f>
        <v>597634</v>
      </c>
      <c r="F24" s="1823"/>
      <c r="G24" s="1826">
        <f>'Expenditures 15-22'!K57-SUM('Expenditures 15-22'!G57,'Expenditures 15-22'!I57)+'Expenditures 15-22'!D261</f>
        <v>597634</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68289</v>
      </c>
      <c r="E27" s="1825">
        <f>E8</f>
        <v>0</v>
      </c>
      <c r="F27" s="1825">
        <f>'Expenditures 15-22'!K60-SUM('Expenditures 15-22'!G60,'Expenditures 15-22'!I60)+'Expenditures 15-22'!D264-E8</f>
        <v>68289</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711925</v>
      </c>
      <c r="F28" s="1827">
        <f>'Expenditures 15-22'!K61-SUM('Expenditures 15-22'!G61,'Expenditures 15-22'!I61)+'Expenditures 15-22'!K124-SUM('Expenditures 15-22'!G124,'Expenditures 15-22'!I124)+'Expenditures 15-22'!D266-E9</f>
        <v>711925</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695263</v>
      </c>
      <c r="F29" s="1823"/>
      <c r="G29" s="1826">
        <f>'Expenditures 15-22'!K62-SUM('Expenditures 15-22'!G62,'Expenditures 15-22'!I62)+'Expenditures 15-22'!K125-SUM('Expenditures 15-22'!G125,'Expenditures 15-22'!I125)+'Expenditures 15-22'!K182-SUM('Expenditures 15-22'!G182,'Expenditures 15-22'!I182)+'Expenditures 15-22'!D267</f>
        <v>695263</v>
      </c>
      <c r="H29" s="984"/>
    </row>
    <row r="30" spans="1:9" ht="12" customHeight="1" x14ac:dyDescent="0.2">
      <c r="A30" s="993" t="s">
        <v>102</v>
      </c>
      <c r="B30" s="996"/>
      <c r="C30" s="992">
        <v>2560</v>
      </c>
      <c r="D30" s="1823"/>
      <c r="E30" s="1825">
        <f>'Expenditures 15-22'!K63-SUM('Expenditures 15-22'!G63,'Expenditures 15-22'!I63)+'Expenditures 15-22'!D268-E10</f>
        <v>403600</v>
      </c>
      <c r="F30" s="1823"/>
      <c r="G30" s="1825">
        <f>'Expenditures 15-22'!K63-SUM('Expenditures 15-22'!G63,'Expenditures 15-22'!I63)+'Expenditures 15-22'!D268-E10</f>
        <v>403600</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142</v>
      </c>
      <c r="E36" s="1825">
        <f>E13</f>
        <v>0</v>
      </c>
      <c r="F36" s="1825">
        <f>'Expenditures 15-22'!K70-SUM('Expenditures 15-22'!G70,'Expenditures 15-22'!I70)+'Expenditures 15-22'!D275-E13</f>
        <v>142</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458</v>
      </c>
      <c r="F39" s="1823"/>
      <c r="G39" s="1825">
        <f>'Expenditures 15-22'!K75-SUM('Expenditures 15-22'!G75,'Expenditures 15-22'!I75)+'Expenditures 15-22'!K130-SUM('Expenditures 15-22'!G130,'Expenditures 15-22'!I130)+'Expenditures 15-22'!K185-SUM('Expenditures 15-22'!G185,'Expenditures 15-22'!I185)+'Expenditures 15-22'!D280</f>
        <v>458</v>
      </c>
    </row>
    <row r="40" spans="1:7" ht="12" customHeight="1" x14ac:dyDescent="0.2">
      <c r="A40" s="989" t="s">
        <v>1925</v>
      </c>
      <c r="B40" s="990"/>
      <c r="C40" s="992"/>
      <c r="D40" s="1823"/>
      <c r="E40" s="1827">
        <f>-'Contracts Paid in CY 29'!G141</f>
        <v>-577908</v>
      </c>
      <c r="F40" s="1823"/>
      <c r="G40" s="1827">
        <f>-'Contracts Paid in CY 29'!G141</f>
        <v>-577908</v>
      </c>
    </row>
    <row r="41" spans="1:7" ht="12" customHeight="1" x14ac:dyDescent="0.2">
      <c r="A41" s="997" t="s">
        <v>158</v>
      </c>
      <c r="B41" s="998"/>
      <c r="C41" s="999"/>
      <c r="D41" s="1827">
        <f>SUM(D19:D39)</f>
        <v>68431</v>
      </c>
      <c r="E41" s="1827">
        <f>SUM(E19:E40)</f>
        <v>8178167</v>
      </c>
      <c r="F41" s="1827">
        <f>SUM(F19:F39)</f>
        <v>780356</v>
      </c>
      <c r="G41" s="1827">
        <f>SUM(G19:G40)</f>
        <v>7466242</v>
      </c>
    </row>
    <row r="42" spans="1:7" x14ac:dyDescent="0.2">
      <c r="A42" s="986"/>
      <c r="B42" s="162"/>
      <c r="C42" s="1000"/>
      <c r="D42" s="2435" t="s">
        <v>543</v>
      </c>
      <c r="E42" s="2436"/>
      <c r="F42" s="1001" t="s">
        <v>544</v>
      </c>
      <c r="G42" s="1002"/>
    </row>
    <row r="43" spans="1:7" ht="12" customHeight="1" x14ac:dyDescent="0.2">
      <c r="A43" s="986"/>
      <c r="B43" s="162"/>
      <c r="C43" s="1000"/>
      <c r="D43" s="1828" t="s">
        <v>493</v>
      </c>
      <c r="E43" s="1829">
        <f>D41</f>
        <v>68431</v>
      </c>
      <c r="F43" s="1828" t="s">
        <v>495</v>
      </c>
      <c r="G43" s="1829">
        <f>F41</f>
        <v>780356</v>
      </c>
    </row>
    <row r="44" spans="1:7" ht="12" customHeight="1" x14ac:dyDescent="0.2">
      <c r="A44" s="986"/>
      <c r="B44" s="162"/>
      <c r="C44" s="1000"/>
      <c r="D44" s="1828" t="s">
        <v>494</v>
      </c>
      <c r="E44" s="1829">
        <f>E41</f>
        <v>8178167</v>
      </c>
      <c r="F44" s="1828" t="s">
        <v>494</v>
      </c>
      <c r="G44" s="1829">
        <f>G41</f>
        <v>7466242</v>
      </c>
    </row>
    <row r="45" spans="1:7" ht="12" customHeight="1" x14ac:dyDescent="0.2">
      <c r="A45" s="986"/>
      <c r="B45" s="162"/>
      <c r="C45" s="162"/>
      <c r="D45" s="1830" t="s">
        <v>1063</v>
      </c>
      <c r="E45" s="1831">
        <f>(E43/E44)</f>
        <v>8.367522942488213E-3</v>
      </c>
      <c r="F45" s="1830" t="s">
        <v>1063</v>
      </c>
      <c r="G45" s="1831">
        <f>(G43/G44)</f>
        <v>0.10451790874177397</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454" t="s">
        <v>1446</v>
      </c>
      <c r="B1" s="2454"/>
      <c r="C1" s="2454"/>
      <c r="D1" s="2454"/>
      <c r="E1" s="2454"/>
      <c r="F1" s="2454"/>
    </row>
    <row r="2" spans="1:10" x14ac:dyDescent="0.2">
      <c r="A2" s="1910" t="s">
        <v>2043</v>
      </c>
      <c r="B2" s="1871"/>
      <c r="C2" s="1910"/>
      <c r="D2" s="1871"/>
      <c r="E2" s="1871"/>
      <c r="F2" s="1872"/>
    </row>
    <row r="3" spans="1:10" x14ac:dyDescent="0.2">
      <c r="A3" s="1910" t="s">
        <v>1699</v>
      </c>
      <c r="B3" s="1871"/>
      <c r="C3" s="1910"/>
      <c r="D3" s="1871"/>
      <c r="E3" s="1871"/>
      <c r="F3" s="1872"/>
    </row>
    <row r="4" spans="1:10" ht="3.75" customHeight="1" x14ac:dyDescent="0.2">
      <c r="A4" s="1871"/>
      <c r="B4" s="1871"/>
      <c r="C4" s="1871"/>
      <c r="D4" s="1871"/>
      <c r="E4" s="1871"/>
      <c r="F4" s="1872"/>
    </row>
    <row r="5" spans="1:10" ht="15" x14ac:dyDescent="0.25">
      <c r="A5" s="2455" t="s">
        <v>1627</v>
      </c>
      <c r="B5" s="2456"/>
      <c r="C5" s="2457"/>
      <c r="D5" s="2457"/>
      <c r="E5" s="2457"/>
      <c r="F5" s="2457"/>
    </row>
    <row r="6" spans="1:10" ht="12" customHeight="1" x14ac:dyDescent="0.25">
      <c r="A6" s="1873"/>
      <c r="B6" s="1874"/>
      <c r="C6" s="2458" t="str">
        <f>COVER!A17</f>
        <v>Midwest Central CUSD 191</v>
      </c>
      <c r="D6" s="2458"/>
      <c r="E6" s="2458"/>
      <c r="F6" s="1875"/>
    </row>
    <row r="7" spans="1:10" ht="11.25" customHeight="1" thickBot="1" x14ac:dyDescent="0.3">
      <c r="A7" s="1873"/>
      <c r="B7" s="1874"/>
      <c r="C7" s="2459">
        <f>COVER!A13</f>
        <v>53060191026</v>
      </c>
      <c r="D7" s="2459"/>
      <c r="E7" s="2459"/>
      <c r="F7" s="1875"/>
    </row>
    <row r="8" spans="1:10" ht="25.5" customHeight="1" thickBot="1" x14ac:dyDescent="0.25">
      <c r="A8" s="1916" t="s">
        <v>2020</v>
      </c>
      <c r="B8" s="1876"/>
      <c r="C8" s="1912" t="s">
        <v>1779</v>
      </c>
      <c r="D8" s="1911" t="s">
        <v>1780</v>
      </c>
      <c r="E8" s="1913" t="s">
        <v>1447</v>
      </c>
      <c r="F8" s="1911" t="s">
        <v>1781</v>
      </c>
      <c r="H8" s="1877" t="b">
        <v>0</v>
      </c>
    </row>
    <row r="9" spans="1:10" ht="15.75" customHeight="1" x14ac:dyDescent="0.2">
      <c r="A9" s="1878" t="s">
        <v>1623</v>
      </c>
      <c r="B9" s="1879"/>
      <c r="C9" s="1880"/>
      <c r="D9" s="1880"/>
      <c r="E9" s="1881"/>
      <c r="F9" s="1882"/>
    </row>
    <row r="10" spans="1:10" ht="27.75" customHeight="1" x14ac:dyDescent="0.2">
      <c r="A10" s="1883" t="s">
        <v>1778</v>
      </c>
      <c r="B10" s="1884"/>
      <c r="C10" s="1885"/>
      <c r="D10" s="1885"/>
      <c r="E10" s="1914" t="s">
        <v>1448</v>
      </c>
      <c r="F10" s="1915" t="s">
        <v>1449</v>
      </c>
    </row>
    <row r="11" spans="1:10" ht="12" customHeight="1" x14ac:dyDescent="0.2">
      <c r="A11" s="1886" t="s">
        <v>1450</v>
      </c>
      <c r="B11" s="1887"/>
      <c r="C11" s="1888" t="s">
        <v>2081</v>
      </c>
      <c r="D11" s="1888" t="s">
        <v>2081</v>
      </c>
      <c r="E11" s="1889"/>
      <c r="F11" s="1890" t="s">
        <v>2096</v>
      </c>
      <c r="H11" s="1901">
        <f>IF(C11="X",5,0)</f>
        <v>5</v>
      </c>
      <c r="I11" s="1901">
        <f>IF(D11="X",5,0)</f>
        <v>5</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t="s">
        <v>2081</v>
      </c>
      <c r="D14" s="1888" t="s">
        <v>2081</v>
      </c>
      <c r="E14" s="1891"/>
      <c r="F14" s="1890" t="s">
        <v>2097</v>
      </c>
      <c r="H14" s="1901">
        <f t="shared" si="0"/>
        <v>5</v>
      </c>
      <c r="I14" s="1901">
        <f t="shared" si="1"/>
        <v>5</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t="s">
        <v>2081</v>
      </c>
      <c r="D20" s="1888" t="s">
        <v>2081</v>
      </c>
      <c r="E20" s="1891"/>
      <c r="F20" s="1890" t="s">
        <v>2098</v>
      </c>
      <c r="H20" s="1901">
        <f t="shared" si="0"/>
        <v>5</v>
      </c>
      <c r="I20" s="1901">
        <f t="shared" si="1"/>
        <v>5</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t="s">
        <v>2081</v>
      </c>
      <c r="D23" s="1888" t="s">
        <v>2081</v>
      </c>
      <c r="E23" s="1891"/>
      <c r="F23" s="1890" t="s">
        <v>2255</v>
      </c>
      <c r="H23" s="1901">
        <f t="shared" si="0"/>
        <v>5</v>
      </c>
      <c r="I23" s="1901">
        <f t="shared" si="1"/>
        <v>5</v>
      </c>
      <c r="J23" s="1901">
        <f t="shared" si="2"/>
        <v>0</v>
      </c>
    </row>
    <row r="24" spans="1:12" ht="12" customHeight="1" x14ac:dyDescent="0.2">
      <c r="A24" s="1886" t="s">
        <v>1613</v>
      </c>
      <c r="B24" s="1887"/>
      <c r="C24" s="1888" t="s">
        <v>2081</v>
      </c>
      <c r="D24" s="1888" t="s">
        <v>2081</v>
      </c>
      <c r="E24" s="1891"/>
      <c r="F24" s="1890" t="s">
        <v>2096</v>
      </c>
      <c r="H24" s="1901">
        <f t="shared" si="0"/>
        <v>5</v>
      </c>
      <c r="I24" s="1901">
        <f t="shared" si="1"/>
        <v>5</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2081</v>
      </c>
      <c r="D26" s="1888" t="s">
        <v>2081</v>
      </c>
      <c r="E26" s="1891"/>
      <c r="F26" s="1890" t="s">
        <v>2099</v>
      </c>
      <c r="H26" s="1901">
        <f t="shared" si="0"/>
        <v>5</v>
      </c>
      <c r="I26" s="1901">
        <f t="shared" si="1"/>
        <v>5</v>
      </c>
      <c r="J26" s="1901">
        <f t="shared" si="2"/>
        <v>0</v>
      </c>
    </row>
    <row r="27" spans="1:12" ht="18.75" x14ac:dyDescent="0.2">
      <c r="A27" s="1886" t="s">
        <v>1616</v>
      </c>
      <c r="B27" s="1887"/>
      <c r="C27" s="1888" t="s">
        <v>2081</v>
      </c>
      <c r="D27" s="1888" t="s">
        <v>2081</v>
      </c>
      <c r="E27" s="1891"/>
      <c r="F27" s="1890" t="s">
        <v>2100</v>
      </c>
      <c r="H27" s="1901">
        <f t="shared" si="0"/>
        <v>5</v>
      </c>
      <c r="I27" s="1901">
        <f t="shared" si="1"/>
        <v>5</v>
      </c>
      <c r="J27" s="1901">
        <f t="shared" si="2"/>
        <v>0</v>
      </c>
    </row>
    <row r="28" spans="1:12" ht="12" customHeight="1" x14ac:dyDescent="0.2">
      <c r="A28" s="1886" t="s">
        <v>1617</v>
      </c>
      <c r="B28" s="1887"/>
      <c r="C28" s="1888" t="s">
        <v>2081</v>
      </c>
      <c r="D28" s="1888" t="s">
        <v>2081</v>
      </c>
      <c r="E28" s="1891"/>
      <c r="F28" s="1890" t="s">
        <v>2101</v>
      </c>
      <c r="H28" s="1901">
        <f t="shared" si="0"/>
        <v>5</v>
      </c>
      <c r="I28" s="1901">
        <f t="shared" si="1"/>
        <v>5</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2081</v>
      </c>
      <c r="D30" s="1888" t="s">
        <v>2081</v>
      </c>
      <c r="E30" s="1891"/>
      <c r="F30" s="1890" t="s">
        <v>2232</v>
      </c>
      <c r="H30" s="1901">
        <f t="shared" si="0"/>
        <v>5</v>
      </c>
      <c r="I30" s="1901">
        <f t="shared" si="1"/>
        <v>5</v>
      </c>
      <c r="J30" s="1901">
        <f t="shared" si="2"/>
        <v>0</v>
      </c>
    </row>
    <row r="31" spans="1:12" ht="12" customHeight="1" x14ac:dyDescent="0.2">
      <c r="A31" s="1886" t="s">
        <v>1620</v>
      </c>
      <c r="B31" s="1887"/>
      <c r="C31" s="1888" t="s">
        <v>2081</v>
      </c>
      <c r="D31" s="1888" t="s">
        <v>2081</v>
      </c>
      <c r="E31" s="1891"/>
      <c r="F31" s="1890" t="s">
        <v>2102</v>
      </c>
      <c r="H31" s="1901">
        <f t="shared" si="0"/>
        <v>5</v>
      </c>
      <c r="I31" s="1901">
        <f t="shared" si="1"/>
        <v>5</v>
      </c>
      <c r="J31" s="1901">
        <f t="shared" si="2"/>
        <v>0</v>
      </c>
      <c r="L31" s="1892"/>
    </row>
    <row r="32" spans="1:12" ht="12" customHeight="1" x14ac:dyDescent="0.2">
      <c r="A32" s="1886" t="s">
        <v>1621</v>
      </c>
      <c r="B32" s="1887"/>
      <c r="C32" s="1888" t="s">
        <v>2081</v>
      </c>
      <c r="D32" s="1888" t="s">
        <v>2081</v>
      </c>
      <c r="E32" s="1891"/>
      <c r="F32" s="1890" t="s">
        <v>2103</v>
      </c>
      <c r="H32" s="1901">
        <f t="shared" si="0"/>
        <v>5</v>
      </c>
      <c r="I32" s="1901">
        <f t="shared" si="1"/>
        <v>5</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55</v>
      </c>
      <c r="I34" s="1901">
        <f>SUM(I11:I32)</f>
        <v>55</v>
      </c>
      <c r="J34" s="1901">
        <f>SUM(J11:J32)</f>
        <v>0</v>
      </c>
      <c r="K34" s="1901">
        <f>SUM(H34:J34)</f>
        <v>110</v>
      </c>
    </row>
    <row r="35" spans="1:11" ht="12" customHeight="1" x14ac:dyDescent="0.2">
      <c r="A35" s="1894" t="s">
        <v>1459</v>
      </c>
      <c r="B35" s="1895"/>
      <c r="C35" s="2460"/>
      <c r="D35" s="2460"/>
      <c r="E35" s="2460"/>
      <c r="F35" s="2461"/>
    </row>
    <row r="36" spans="1:11" ht="12" customHeight="1" x14ac:dyDescent="0.2">
      <c r="A36" s="2443"/>
      <c r="B36" s="2444"/>
      <c r="C36" s="2444"/>
      <c r="D36" s="2444"/>
      <c r="E36" s="2444"/>
      <c r="F36" s="2445"/>
    </row>
    <row r="37" spans="1:11" ht="12" customHeight="1" x14ac:dyDescent="0.2">
      <c r="A37" s="2443"/>
      <c r="B37" s="2444"/>
      <c r="C37" s="2444"/>
      <c r="D37" s="2444"/>
      <c r="E37" s="2444"/>
      <c r="F37" s="2445"/>
    </row>
    <row r="38" spans="1:11" ht="12" customHeight="1" x14ac:dyDescent="0.2">
      <c r="A38" s="2446"/>
      <c r="B38" s="2447"/>
      <c r="C38" s="2447"/>
      <c r="D38" s="2447"/>
      <c r="E38" s="2447"/>
      <c r="F38" s="2448"/>
    </row>
    <row r="39" spans="1:11" ht="4.5" hidden="1" customHeight="1" x14ac:dyDescent="0.2">
      <c r="A39" s="1896"/>
      <c r="B39" s="1896"/>
      <c r="C39" s="1896"/>
      <c r="D39" s="1896"/>
      <c r="E39" s="1896"/>
      <c r="F39" s="1896"/>
    </row>
    <row r="40" spans="1:11" s="1893" customFormat="1" ht="12" customHeight="1" x14ac:dyDescent="0.25">
      <c r="A40" s="1897" t="s">
        <v>1458</v>
      </c>
      <c r="B40" s="1898"/>
      <c r="C40" s="2449"/>
      <c r="D40" s="2449"/>
      <c r="E40" s="2449"/>
      <c r="F40" s="2450"/>
      <c r="H40" s="1902"/>
      <c r="I40" s="1902"/>
      <c r="J40" s="1902"/>
      <c r="K40" s="1902"/>
    </row>
    <row r="41" spans="1:11" s="1893" customFormat="1" ht="12" customHeight="1" x14ac:dyDescent="0.25">
      <c r="A41" s="2451"/>
      <c r="B41" s="2452"/>
      <c r="C41" s="2452"/>
      <c r="D41" s="2452"/>
      <c r="E41" s="2452"/>
      <c r="F41" s="2453"/>
      <c r="H41" s="1902"/>
      <c r="I41" s="1902"/>
      <c r="J41" s="1902"/>
      <c r="K41" s="1902"/>
    </row>
    <row r="42" spans="1:11" s="1893" customFormat="1" ht="12" customHeight="1" x14ac:dyDescent="0.25">
      <c r="A42" s="2451"/>
      <c r="B42" s="2452"/>
      <c r="C42" s="2452"/>
      <c r="D42" s="2452"/>
      <c r="E42" s="2452"/>
      <c r="F42" s="2453"/>
      <c r="H42" s="1902"/>
      <c r="I42" s="1902"/>
      <c r="J42" s="1902"/>
      <c r="K42" s="1902"/>
    </row>
    <row r="43" spans="1:11" s="1893" customFormat="1" ht="15" x14ac:dyDescent="0.25">
      <c r="A43" s="2440"/>
      <c r="B43" s="2441"/>
      <c r="C43" s="2441"/>
      <c r="D43" s="2441"/>
      <c r="E43" s="2441"/>
      <c r="F43" s="2442"/>
      <c r="H43" s="1902"/>
      <c r="I43" s="1902"/>
      <c r="J43" s="1902"/>
      <c r="K43" s="1902"/>
    </row>
    <row r="44" spans="1:11" s="1893" customFormat="1" ht="12" hidden="1" customHeight="1" x14ac:dyDescent="0.25">
      <c r="A44" s="2440"/>
      <c r="B44" s="2441"/>
      <c r="C44" s="2441"/>
      <c r="D44" s="2441"/>
      <c r="E44" s="2441"/>
      <c r="F44" s="2442"/>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467" t="str">
        <f>COVER!A17</f>
        <v>Midwest Central CUSD 191</v>
      </c>
      <c r="J6" s="2468"/>
      <c r="Q6" s="1684"/>
    </row>
    <row r="7" spans="1:17" x14ac:dyDescent="0.2">
      <c r="A7" s="2469" t="s">
        <v>924</v>
      </c>
      <c r="B7" s="2470"/>
      <c r="C7" s="2470"/>
      <c r="D7" s="2470"/>
      <c r="E7" s="2471"/>
      <c r="F7" s="1016"/>
      <c r="G7" s="1008"/>
      <c r="H7" s="1015" t="s">
        <v>390</v>
      </c>
      <c r="I7" s="2472">
        <f>COVER!A13</f>
        <v>53060191026</v>
      </c>
      <c r="J7" s="2472"/>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1700</v>
      </c>
      <c r="F9" s="1022"/>
      <c r="G9" s="1022"/>
      <c r="H9" s="1919" t="s">
        <v>1701</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473" t="s">
        <v>502</v>
      </c>
      <c r="B11" s="2474"/>
      <c r="C11" s="2475"/>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221920</v>
      </c>
      <c r="F12" s="1038"/>
      <c r="G12" s="1832">
        <f t="shared" ref="G12:G18" si="0">SUM(E12:F12)</f>
        <v>221920</v>
      </c>
      <c r="H12" s="1039">
        <v>229916</v>
      </c>
      <c r="I12" s="1038"/>
      <c r="J12" s="1832">
        <f t="shared" ref="J12:J18" si="1">SUM(H12:I12)</f>
        <v>229916</v>
      </c>
    </row>
    <row r="13" spans="1:17" ht="15" customHeight="1" x14ac:dyDescent="0.2">
      <c r="A13" s="1034">
        <v>2</v>
      </c>
      <c r="B13" s="1035" t="s">
        <v>44</v>
      </c>
      <c r="C13" s="1036"/>
      <c r="D13" s="1037">
        <v>2330</v>
      </c>
      <c r="E13" s="1832">
        <f>'Expenditures 15-22'!K51</f>
        <v>0</v>
      </c>
      <c r="F13" s="1038"/>
      <c r="G13" s="1832">
        <f t="shared" si="0"/>
        <v>0</v>
      </c>
      <c r="H13" s="1039">
        <v>3100</v>
      </c>
      <c r="I13" s="1038"/>
      <c r="J13" s="1832">
        <f t="shared" si="1"/>
        <v>3100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476" t="s">
        <v>7</v>
      </c>
      <c r="C18" s="2477"/>
      <c r="D18" s="2478"/>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221920</v>
      </c>
      <c r="F19" s="1834">
        <f t="shared" si="2"/>
        <v>0</v>
      </c>
      <c r="G19" s="1834">
        <f t="shared" si="2"/>
        <v>221920</v>
      </c>
      <c r="H19" s="1834">
        <f t="shared" si="2"/>
        <v>233016</v>
      </c>
      <c r="I19" s="1834">
        <f t="shared" si="2"/>
        <v>0</v>
      </c>
      <c r="J19" s="1834">
        <f t="shared" si="2"/>
        <v>233016</v>
      </c>
    </row>
    <row r="20" spans="1:10" ht="13.5" thickTop="1" x14ac:dyDescent="0.2">
      <c r="A20" s="1034">
        <v>9</v>
      </c>
      <c r="B20" s="2479" t="s">
        <v>1702</v>
      </c>
      <c r="C20" s="2479"/>
      <c r="D20" s="2480"/>
      <c r="E20" s="1045"/>
      <c r="F20" s="1045"/>
      <c r="G20" s="1045"/>
      <c r="H20" s="1045"/>
      <c r="I20" s="1045"/>
      <c r="J20" s="1835">
        <f>IF(AND(G19&gt;0,J19&gt;0),(((J19-G19)/G19)),"Enter Budget Data")</f>
        <v>0.05</v>
      </c>
    </row>
    <row r="21" spans="1:10" ht="9" customHeight="1" x14ac:dyDescent="0.2">
      <c r="B21" s="1046"/>
    </row>
    <row r="22" spans="1:10" x14ac:dyDescent="0.2">
      <c r="A22" s="1047" t="s">
        <v>135</v>
      </c>
      <c r="B22" s="1046"/>
    </row>
    <row r="23" spans="1:10" x14ac:dyDescent="0.2">
      <c r="A23" s="1010" t="s">
        <v>1703</v>
      </c>
      <c r="B23" s="1046"/>
    </row>
    <row r="24" spans="1:10" x14ac:dyDescent="0.2">
      <c r="A24" s="1010" t="s">
        <v>1704</v>
      </c>
      <c r="B24" s="1046"/>
    </row>
    <row r="25" spans="1:10" x14ac:dyDescent="0.2">
      <c r="A25" s="1048"/>
      <c r="B25" s="1046"/>
    </row>
    <row r="26" spans="1:10" ht="20.100000000000001" customHeight="1" x14ac:dyDescent="0.2">
      <c r="B26" s="1046"/>
      <c r="C26" s="2485"/>
      <c r="D26" s="2485"/>
      <c r="E26" s="1049"/>
      <c r="F26" s="2484"/>
      <c r="G26" s="2484"/>
    </row>
    <row r="27" spans="1:10" x14ac:dyDescent="0.2">
      <c r="B27" s="1046"/>
      <c r="C27" s="1050" t="s">
        <v>1093</v>
      </c>
      <c r="D27" s="1051"/>
      <c r="E27" s="1052"/>
      <c r="F27" s="2481" t="s">
        <v>1589</v>
      </c>
      <c r="G27" s="2481"/>
    </row>
    <row r="28" spans="1:10" ht="28.5" customHeight="1" x14ac:dyDescent="0.2">
      <c r="B28" s="1046"/>
      <c r="C28" s="2483"/>
      <c r="D28" s="2483"/>
      <c r="E28" s="1053"/>
      <c r="F28" s="2483"/>
      <c r="G28" s="2483"/>
    </row>
    <row r="29" spans="1:10" x14ac:dyDescent="0.2">
      <c r="B29" s="1046"/>
      <c r="C29" s="1054" t="s">
        <v>1641</v>
      </c>
      <c r="E29" s="1055"/>
      <c r="F29" s="2482" t="s">
        <v>1590</v>
      </c>
      <c r="G29" s="2482"/>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464" t="s">
        <v>134</v>
      </c>
      <c r="D33" s="2465"/>
      <c r="E33" s="2465"/>
      <c r="F33" s="2465"/>
      <c r="G33" s="2465"/>
      <c r="H33" s="2465"/>
      <c r="I33" s="2465"/>
    </row>
    <row r="34" spans="1:10" ht="10.35" customHeight="1" x14ac:dyDescent="0.2">
      <c r="C34" s="2465"/>
      <c r="D34" s="2465"/>
      <c r="E34" s="2465"/>
      <c r="F34" s="2465"/>
      <c r="G34" s="2465"/>
      <c r="H34" s="2465"/>
      <c r="I34" s="2465"/>
    </row>
    <row r="35" spans="1:10" ht="7.5" customHeight="1" x14ac:dyDescent="0.2">
      <c r="C35" s="1061"/>
    </row>
    <row r="36" spans="1:10" ht="13.5" customHeight="1" x14ac:dyDescent="0.2">
      <c r="B36" s="1060"/>
      <c r="C36" s="2466" t="s">
        <v>1939</v>
      </c>
      <c r="D36" s="2465"/>
      <c r="E36" s="2465"/>
      <c r="F36" s="2465"/>
      <c r="G36" s="2465"/>
      <c r="H36" s="2465"/>
      <c r="I36" s="2465"/>
      <c r="J36" s="1062"/>
    </row>
    <row r="37" spans="1:10" ht="22.5" customHeight="1" x14ac:dyDescent="0.2">
      <c r="C37" s="2465"/>
      <c r="D37" s="2465"/>
      <c r="E37" s="2465"/>
      <c r="F37" s="2465"/>
      <c r="G37" s="2465"/>
      <c r="H37" s="2465"/>
      <c r="I37" s="2465"/>
      <c r="J37" s="1062"/>
    </row>
    <row r="38" spans="1:10" ht="7.5" customHeight="1" x14ac:dyDescent="0.2">
      <c r="C38" s="1061"/>
      <c r="D38" s="1063"/>
      <c r="E38" s="1064"/>
      <c r="F38" s="1065"/>
      <c r="G38" s="1064"/>
    </row>
    <row r="39" spans="1:10" ht="13.5" customHeight="1" x14ac:dyDescent="0.2">
      <c r="B39" s="1060"/>
      <c r="C39" s="2462" t="s">
        <v>937</v>
      </c>
      <c r="D39" s="2463"/>
      <c r="E39" s="2463"/>
      <c r="F39" s="2463"/>
      <c r="G39" s="2463"/>
      <c r="H39" s="2463"/>
      <c r="I39" s="2463"/>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2082" t="s">
        <v>2223</v>
      </c>
    </row>
    <row r="6" spans="1:2" x14ac:dyDescent="0.2">
      <c r="A6" s="1067">
        <v>2</v>
      </c>
      <c r="B6" s="2082" t="s">
        <v>2225</v>
      </c>
    </row>
    <row r="7" spans="1:2" x14ac:dyDescent="0.2">
      <c r="A7" s="1067">
        <v>3</v>
      </c>
      <c r="B7" s="2082" t="s">
        <v>2226</v>
      </c>
    </row>
    <row r="8" spans="1:2" ht="25.5" x14ac:dyDescent="0.2">
      <c r="A8" s="2083">
        <v>4</v>
      </c>
      <c r="B8" s="2082" t="s">
        <v>2227</v>
      </c>
    </row>
    <row r="9" spans="1:2" x14ac:dyDescent="0.2">
      <c r="A9" s="1068">
        <v>5</v>
      </c>
      <c r="B9" s="2082" t="s">
        <v>2231</v>
      </c>
    </row>
    <row r="10" spans="1:2" x14ac:dyDescent="0.2">
      <c r="A10" s="1068">
        <v>6</v>
      </c>
      <c r="B10" s="329" t="s">
        <v>2228</v>
      </c>
    </row>
    <row r="11" spans="1:2" x14ac:dyDescent="0.2">
      <c r="A11" s="1068">
        <v>7</v>
      </c>
      <c r="B11" s="329" t="s">
        <v>2224</v>
      </c>
    </row>
    <row r="12" spans="1:2" x14ac:dyDescent="0.2">
      <c r="A12" s="1068">
        <v>8</v>
      </c>
      <c r="B12" s="329" t="s">
        <v>2243</v>
      </c>
    </row>
    <row r="13" spans="1:2" x14ac:dyDescent="0.2">
      <c r="A13" s="1068">
        <v>9</v>
      </c>
      <c r="B13" s="329" t="s">
        <v>2244</v>
      </c>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hidden="1" x14ac:dyDescent="0.2">
      <c r="A62" s="1068"/>
    </row>
    <row r="63" spans="1:2" x14ac:dyDescent="0.2">
      <c r="A63" s="1068"/>
    </row>
    <row r="64" spans="1:2" x14ac:dyDescent="0.2">
      <c r="A64" s="1068"/>
      <c r="B64" s="258" t="str">
        <f>COVER!A17</f>
        <v>Midwest Central CUSD 191</v>
      </c>
    </row>
    <row r="65" spans="2:2" x14ac:dyDescent="0.2">
      <c r="B65" s="1069">
        <f>COVER!A13</f>
        <v>53060191026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1707</v>
      </c>
    </row>
    <row r="22" spans="1:5" x14ac:dyDescent="0.2">
      <c r="A22" s="168"/>
      <c r="B22" s="162" t="s">
        <v>1963</v>
      </c>
      <c r="C22" s="162" t="s">
        <v>1231</v>
      </c>
      <c r="D22" s="167" t="s">
        <v>1965</v>
      </c>
      <c r="E22" s="1857" t="s">
        <v>1708</v>
      </c>
    </row>
    <row r="23" spans="1:5" x14ac:dyDescent="0.2">
      <c r="A23" s="168"/>
      <c r="B23" s="162" t="s">
        <v>1964</v>
      </c>
      <c r="D23" s="167" t="s">
        <v>658</v>
      </c>
      <c r="E23" s="1857" t="s">
        <v>1016</v>
      </c>
    </row>
    <row r="24" spans="1:5" x14ac:dyDescent="0.2">
      <c r="A24" s="168" t="s">
        <v>1706</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203" t="s">
        <v>1125</v>
      </c>
      <c r="B35" s="2203"/>
      <c r="C35" s="2203"/>
      <c r="D35" s="2203"/>
      <c r="E35" s="220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00" t="s">
        <v>715</v>
      </c>
      <c r="B40" s="2200"/>
      <c r="C40" s="2200"/>
      <c r="D40" s="2200"/>
      <c r="E40" s="2200"/>
    </row>
    <row r="41" spans="1:5" x14ac:dyDescent="0.2">
      <c r="A41" s="2201" t="s">
        <v>1705</v>
      </c>
      <c r="B41" s="2201"/>
      <c r="C41" s="2201"/>
      <c r="D41" s="2201"/>
      <c r="E41" s="2201"/>
    </row>
    <row r="42" spans="1:5" ht="12.75" customHeight="1" x14ac:dyDescent="0.2">
      <c r="A42" s="2202" t="s">
        <v>1080</v>
      </c>
      <c r="B42" s="2202"/>
      <c r="C42" s="2202"/>
      <c r="D42" s="2202"/>
      <c r="E42" s="2202"/>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1869</v>
      </c>
    </row>
    <row r="52" spans="1:3" x14ac:dyDescent="0.2">
      <c r="A52" s="190"/>
      <c r="B52" s="188" t="s">
        <v>1889</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1870</v>
      </c>
    </row>
    <row r="57" spans="1:3" x14ac:dyDescent="0.2">
      <c r="A57" s="193"/>
      <c r="B57" s="190" t="s">
        <v>1872</v>
      </c>
    </row>
    <row r="58" spans="1:3" x14ac:dyDescent="0.2">
      <c r="A58" s="194"/>
      <c r="B58" s="190" t="s">
        <v>1873</v>
      </c>
    </row>
    <row r="59" spans="1:3" x14ac:dyDescent="0.2">
      <c r="A59" s="195"/>
      <c r="B59" s="1505" t="s">
        <v>1874</v>
      </c>
    </row>
    <row r="60" spans="1:3" x14ac:dyDescent="0.2">
      <c r="A60" s="196"/>
      <c r="B60" s="1505" t="s">
        <v>1875</v>
      </c>
    </row>
    <row r="61" spans="1:3" ht="6" customHeight="1" x14ac:dyDescent="0.2">
      <c r="A61" s="197"/>
      <c r="B61" s="189"/>
    </row>
    <row r="62" spans="1:3" x14ac:dyDescent="0.2">
      <c r="A62" s="169" t="s">
        <v>1713</v>
      </c>
      <c r="B62" s="198" t="s">
        <v>1871</v>
      </c>
    </row>
    <row r="63" spans="1:3" x14ac:dyDescent="0.2">
      <c r="A63" s="188"/>
      <c r="B63" s="169" t="s">
        <v>1886</v>
      </c>
    </row>
    <row r="64" spans="1:3" x14ac:dyDescent="0.2">
      <c r="A64" s="195"/>
      <c r="B64" s="1507" t="s">
        <v>1876</v>
      </c>
    </row>
    <row r="65" spans="1:9" x14ac:dyDescent="0.2">
      <c r="A65" s="188"/>
      <c r="B65" s="169" t="s">
        <v>1887</v>
      </c>
    </row>
    <row r="66" spans="1:9" x14ac:dyDescent="0.2">
      <c r="A66" s="190"/>
      <c r="B66" s="190" t="s">
        <v>1877</v>
      </c>
    </row>
    <row r="67" spans="1:9" ht="12" customHeight="1" x14ac:dyDescent="0.2">
      <c r="A67" s="188"/>
      <c r="B67" s="169" t="s">
        <v>1888</v>
      </c>
    </row>
    <row r="68" spans="1:9" x14ac:dyDescent="0.2">
      <c r="A68" s="189"/>
      <c r="B68" s="190" t="s">
        <v>1878</v>
      </c>
    </row>
    <row r="69" spans="1:9" x14ac:dyDescent="0.2">
      <c r="A69" s="190"/>
      <c r="B69" s="188" t="s">
        <v>1879</v>
      </c>
    </row>
    <row r="70" spans="1:9" ht="13.5" customHeight="1" x14ac:dyDescent="0.2">
      <c r="A70" s="190"/>
      <c r="B70" s="188" t="s">
        <v>1880</v>
      </c>
    </row>
    <row r="71" spans="1:9" ht="12" customHeight="1" x14ac:dyDescent="0.2">
      <c r="A71" s="192"/>
      <c r="B71" s="1506" t="s">
        <v>1716</v>
      </c>
    </row>
    <row r="72" spans="1:9" ht="9" customHeight="1" x14ac:dyDescent="0.2">
      <c r="A72" s="192"/>
      <c r="B72" s="199"/>
    </row>
    <row r="73" spans="1:9" x14ac:dyDescent="0.2">
      <c r="A73" s="189" t="s">
        <v>1717</v>
      </c>
      <c r="B73" s="169" t="s">
        <v>1882</v>
      </c>
    </row>
    <row r="74" spans="1:9" x14ac:dyDescent="0.2">
      <c r="A74" s="189"/>
      <c r="B74" s="169" t="s">
        <v>1881</v>
      </c>
    </row>
    <row r="75" spans="1:9" ht="8.25" customHeight="1" x14ac:dyDescent="0.2">
      <c r="A75" s="189"/>
      <c r="B75" s="189"/>
    </row>
    <row r="76" spans="1:9" ht="12.2" customHeight="1" x14ac:dyDescent="0.2">
      <c r="A76" s="189" t="s">
        <v>1718</v>
      </c>
      <c r="B76" s="198" t="s">
        <v>1883</v>
      </c>
    </row>
    <row r="77" spans="1:9" ht="12.2" customHeight="1" x14ac:dyDescent="0.2">
      <c r="A77" s="190"/>
      <c r="B77" s="169" t="s">
        <v>1719</v>
      </c>
      <c r="C77" s="179"/>
      <c r="D77" s="180"/>
      <c r="E77" s="181"/>
      <c r="F77" s="181"/>
      <c r="G77" s="181"/>
      <c r="H77" s="181"/>
      <c r="I77" s="181"/>
    </row>
    <row r="78" spans="1:9" ht="11.25" customHeight="1" x14ac:dyDescent="0.2">
      <c r="A78" s="190"/>
      <c r="B78" s="190" t="s">
        <v>1885</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1782</v>
      </c>
    </row>
    <row r="17" spans="1:2" ht="6" customHeight="1" x14ac:dyDescent="0.2"/>
    <row r="18" spans="1:2" ht="24.75" customHeight="1" x14ac:dyDescent="0.2">
      <c r="A18" s="2486" t="s">
        <v>1783</v>
      </c>
      <c r="B18" s="248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686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87" t="s">
        <v>1789</v>
      </c>
      <c r="B1" s="2488"/>
      <c r="C1" s="2488"/>
      <c r="D1" s="2488"/>
      <c r="E1" s="2488"/>
      <c r="F1" s="2489"/>
    </row>
    <row r="2" spans="1:8" ht="45" customHeight="1" x14ac:dyDescent="0.2">
      <c r="A2" s="2497" t="s">
        <v>1790</v>
      </c>
      <c r="B2" s="2498"/>
      <c r="C2" s="2498"/>
      <c r="D2" s="2498"/>
      <c r="E2" s="2498"/>
      <c r="F2" s="2499"/>
      <c r="G2" s="1073"/>
      <c r="H2" s="1073"/>
    </row>
    <row r="3" spans="1:8" ht="57" customHeight="1" x14ac:dyDescent="0.2">
      <c r="A3" s="2500" t="s">
        <v>1785</v>
      </c>
      <c r="B3" s="2501"/>
      <c r="C3" s="2501"/>
      <c r="D3" s="2501"/>
      <c r="E3" s="2501"/>
      <c r="F3" s="2502"/>
      <c r="G3" s="1073"/>
      <c r="H3" s="1073"/>
    </row>
    <row r="4" spans="1:8" ht="14.25" customHeight="1" x14ac:dyDescent="0.2">
      <c r="A4" s="2506" t="s">
        <v>2051</v>
      </c>
      <c r="B4" s="2507"/>
      <c r="C4" s="2507"/>
      <c r="D4" s="2507"/>
      <c r="E4" s="2507"/>
      <c r="F4" s="2508"/>
      <c r="G4" s="1073"/>
      <c r="H4" s="1073"/>
    </row>
    <row r="5" spans="1:8" ht="14.25" customHeight="1" x14ac:dyDescent="0.2">
      <c r="A5" s="2509" t="s">
        <v>2052</v>
      </c>
      <c r="B5" s="2510"/>
      <c r="C5" s="2510"/>
      <c r="D5" s="2510"/>
      <c r="E5" s="2510"/>
      <c r="F5" s="2511"/>
      <c r="G5" s="1073"/>
      <c r="H5" s="1073"/>
    </row>
    <row r="6" spans="1:8" s="1074" customFormat="1" ht="41.25" customHeight="1" x14ac:dyDescent="0.2">
      <c r="A6" s="2503" t="s">
        <v>1791</v>
      </c>
      <c r="B6" s="2504"/>
      <c r="C6" s="2504"/>
      <c r="D6" s="2504"/>
      <c r="E6" s="2504"/>
      <c r="F6" s="2505"/>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7476344</v>
      </c>
      <c r="C8" s="1836">
        <f>'Acct Summary 7-8'!D8</f>
        <v>453923</v>
      </c>
      <c r="D8" s="1836">
        <f>'Acct Summary 7-8'!F8</f>
        <v>806896</v>
      </c>
      <c r="E8" s="1836">
        <f>'Acct Summary 7-8'!I8</f>
        <v>54527</v>
      </c>
      <c r="F8" s="1836">
        <f>SUM(B8:E8)</f>
        <v>8791690</v>
      </c>
    </row>
    <row r="9" spans="1:8" s="1078" customFormat="1" ht="14.25" customHeight="1" thickBot="1" x14ac:dyDescent="0.25">
      <c r="A9" s="1077" t="s">
        <v>1436</v>
      </c>
      <c r="B9" s="1837">
        <f>'Acct Summary 7-8'!C17</f>
        <v>7151047</v>
      </c>
      <c r="C9" s="1837">
        <f>'Acct Summary 7-8'!D17</f>
        <v>367168</v>
      </c>
      <c r="D9" s="1837">
        <f>'Acct Summary 7-8'!F17</f>
        <v>661422</v>
      </c>
      <c r="E9" s="1836"/>
      <c r="F9" s="1836">
        <f>SUM(B9:E9)</f>
        <v>8179637</v>
      </c>
    </row>
    <row r="10" spans="1:8" s="1078" customFormat="1" ht="14.25" thickTop="1" thickBot="1" x14ac:dyDescent="0.25">
      <c r="A10" s="1079" t="s">
        <v>1437</v>
      </c>
      <c r="B10" s="1838">
        <f>(B8-B9)</f>
        <v>325297</v>
      </c>
      <c r="C10" s="1838">
        <f>(C8-C9)</f>
        <v>86755</v>
      </c>
      <c r="D10" s="1838">
        <f>(D8-D9)</f>
        <v>145474</v>
      </c>
      <c r="E10" s="1837">
        <f>(E8-E9)</f>
        <v>54527</v>
      </c>
      <c r="F10" s="1839">
        <f>SUM(F8-F9)</f>
        <v>612053</v>
      </c>
    </row>
    <row r="11" spans="1:8" s="1078" customFormat="1" ht="14.25" thickTop="1" thickBot="1" x14ac:dyDescent="0.25">
      <c r="A11" s="1080" t="s">
        <v>1784</v>
      </c>
      <c r="B11" s="1840">
        <f>'Acct Summary 7-8'!C81</f>
        <v>2619963</v>
      </c>
      <c r="C11" s="1840">
        <f>'Acct Summary 7-8'!D81</f>
        <v>503987</v>
      </c>
      <c r="D11" s="1840">
        <f>'Acct Summary 7-8'!F81</f>
        <v>579223</v>
      </c>
      <c r="E11" s="1840">
        <f>'Acct Summary 7-8'!I81</f>
        <v>1304327</v>
      </c>
      <c r="F11" s="1841">
        <f>SUM(B11:E11)</f>
        <v>5007500</v>
      </c>
    </row>
    <row r="12" spans="1:8" ht="16.5" customHeight="1" thickTop="1" x14ac:dyDescent="0.2">
      <c r="A12" s="1081"/>
      <c r="B12" s="1082"/>
      <c r="C12" s="2491" t="str">
        <f>IF(AND(F10&lt;0,F11&gt;=0,ABS(F10*3)&gt;ABS(F11)),A16,IF(AND(F10&lt;0,F11&gt;0,ABS(F10*3)&lt;=ABS(F11)),A17,IF(AND(F10&lt;0,F11&lt;0),A16,IF(F11=0,A19,A18))))</f>
        <v>Balanced - no deficit reduction plan is required.</v>
      </c>
      <c r="D12" s="2492"/>
      <c r="E12" s="2492"/>
      <c r="F12" s="2493"/>
    </row>
    <row r="13" spans="1:8" ht="19.5" customHeight="1" x14ac:dyDescent="0.2">
      <c r="A13" s="1083"/>
      <c r="B13" s="1084"/>
      <c r="C13" s="2491"/>
      <c r="D13" s="2492"/>
      <c r="E13" s="2492"/>
      <c r="F13" s="2493"/>
      <c r="H13" s="1073"/>
    </row>
    <row r="14" spans="1:8" ht="19.5" customHeight="1" x14ac:dyDescent="0.2">
      <c r="A14" s="1083"/>
      <c r="B14" s="1084"/>
      <c r="C14" s="2491"/>
      <c r="D14" s="2492"/>
      <c r="E14" s="2492"/>
      <c r="F14" s="2493"/>
      <c r="H14" s="1073"/>
    </row>
    <row r="15" spans="1:8" ht="17.25" customHeight="1" x14ac:dyDescent="0.2">
      <c r="A15" s="1083"/>
      <c r="B15" s="1084"/>
      <c r="C15" s="2494"/>
      <c r="D15" s="2495"/>
      <c r="E15" s="2495"/>
      <c r="F15" s="2496"/>
      <c r="H15" s="1073"/>
    </row>
    <row r="16" spans="1:8" s="310" customFormat="1" ht="51.75" hidden="1" customHeight="1" x14ac:dyDescent="0.2">
      <c r="A16" s="2490" t="s">
        <v>1786</v>
      </c>
      <c r="B16" s="2490"/>
      <c r="C16" s="2490"/>
      <c r="D16" s="2490"/>
      <c r="E16" s="2490"/>
      <c r="F16" s="310" t="s">
        <v>1438</v>
      </c>
    </row>
    <row r="17" spans="1:6" hidden="1" x14ac:dyDescent="0.2">
      <c r="A17" s="316" t="s">
        <v>1787</v>
      </c>
      <c r="F17" s="1085"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512" t="s">
        <v>686</v>
      </c>
      <c r="B3" s="2513"/>
      <c r="C3" s="2513"/>
      <c r="D3" s="2514"/>
    </row>
    <row r="4" spans="1:4" x14ac:dyDescent="0.2">
      <c r="A4" s="1151" t="s">
        <v>1792</v>
      </c>
      <c r="B4" s="1152"/>
      <c r="C4" s="1153"/>
      <c r="D4" s="1154"/>
    </row>
    <row r="5" spans="1:4" ht="21" customHeight="1" x14ac:dyDescent="0.2">
      <c r="A5" s="1147"/>
      <c r="B5" s="1148">
        <v>1</v>
      </c>
      <c r="C5" s="1149" t="s">
        <v>1941</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523" t="s">
        <v>1584</v>
      </c>
      <c r="D7" s="2524"/>
    </row>
    <row r="8" spans="1:4" s="667" customFormat="1" ht="12.75" x14ac:dyDescent="0.2">
      <c r="A8" s="1137"/>
      <c r="B8" s="1092"/>
      <c r="C8" s="1095" t="s">
        <v>1583</v>
      </c>
      <c r="D8" s="1096"/>
    </row>
    <row r="9" spans="1:4" s="667" customFormat="1" ht="14.25" customHeight="1" x14ac:dyDescent="0.2">
      <c r="A9" s="1137"/>
      <c r="B9" s="1092">
        <f>B7+1</f>
        <v>4</v>
      </c>
      <c r="C9" s="1093" t="s">
        <v>2044</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515" t="s">
        <v>1065</v>
      </c>
      <c r="B15" s="2516"/>
      <c r="C15" s="2516"/>
      <c r="D15" s="2517"/>
    </row>
    <row r="16" spans="1:4" s="667" customFormat="1" ht="24" customHeight="1" x14ac:dyDescent="0.2">
      <c r="A16" s="2518" t="s">
        <v>684</v>
      </c>
      <c r="B16" s="2519"/>
      <c r="C16" s="2519"/>
      <c r="D16" s="2520"/>
    </row>
    <row r="17" spans="1:10" s="667" customFormat="1" ht="12.75" customHeight="1" x14ac:dyDescent="0.2">
      <c r="A17" s="1155" t="s">
        <v>1793</v>
      </c>
      <c r="B17" s="1156"/>
      <c r="C17" s="1157"/>
      <c r="D17" s="1158"/>
    </row>
    <row r="18" spans="1:10" s="667" customFormat="1" ht="12.75" customHeight="1" x14ac:dyDescent="0.2">
      <c r="A18" s="1159" t="s">
        <v>1794</v>
      </c>
      <c r="B18" s="1160"/>
      <c r="C18" s="1161"/>
      <c r="D18" s="1162"/>
    </row>
    <row r="19" spans="1:10" ht="6.75" customHeight="1" thickBot="1" x14ac:dyDescent="0.25">
      <c r="A19" s="1163"/>
      <c r="B19" s="1164"/>
      <c r="C19" s="1165"/>
      <c r="D19" s="1166"/>
    </row>
    <row r="20" spans="1:10" s="1170" customFormat="1" ht="12.75" thickTop="1" x14ac:dyDescent="0.2">
      <c r="A20" s="1167"/>
      <c r="B20" s="1168" t="s">
        <v>1795</v>
      </c>
      <c r="C20" s="1169"/>
      <c r="D20" s="1172" t="s">
        <v>734</v>
      </c>
    </row>
    <row r="21" spans="1:10" x14ac:dyDescent="0.2">
      <c r="A21" s="1097"/>
      <c r="B21" s="1098">
        <v>1</v>
      </c>
      <c r="C21" s="2527" t="s">
        <v>332</v>
      </c>
      <c r="D21" s="2528"/>
    </row>
    <row r="22" spans="1:10" ht="12.75" x14ac:dyDescent="0.2">
      <c r="A22" s="1138"/>
      <c r="B22" s="1139">
        <v>2</v>
      </c>
      <c r="C22" s="2525" t="s">
        <v>1605</v>
      </c>
      <c r="D22" s="2526"/>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529" t="s">
        <v>557</v>
      </c>
      <c r="D43" s="2530"/>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521" t="s">
        <v>817</v>
      </c>
      <c r="D56" s="2522"/>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2045</v>
      </c>
      <c r="D66" s="1124"/>
    </row>
    <row r="67" spans="1:4" x14ac:dyDescent="0.2">
      <c r="A67" s="1118"/>
      <c r="B67" s="1139"/>
      <c r="C67" s="1146" t="s">
        <v>1079</v>
      </c>
      <c r="D67" s="1124"/>
    </row>
    <row r="68" spans="1:4" x14ac:dyDescent="0.2">
      <c r="A68" s="1099"/>
      <c r="B68" s="1109"/>
      <c r="C68" s="1101" t="s">
        <v>2046</v>
      </c>
      <c r="D68" s="1123" t="str">
        <f>IF('Short-Term Long-Term Debt 24'!F49=SUM(,'Acct Summary 7-8'!C33:K33),"OK","ERROR!")</f>
        <v>OK</v>
      </c>
    </row>
    <row r="69" spans="1:4" x14ac:dyDescent="0.2">
      <c r="A69" s="1099"/>
      <c r="B69" s="1109"/>
      <c r="C69" s="1101" t="s">
        <v>2047</v>
      </c>
      <c r="D69" s="1123" t="str">
        <f>IF('Expenditures 15-22'!H170&lt;&gt;'Short-Term Long-Term Debt 24'!H49,"ERROR!","OK")</f>
        <v>OK</v>
      </c>
    </row>
    <row r="70" spans="1:4" x14ac:dyDescent="0.2">
      <c r="A70" s="1097"/>
      <c r="B70" s="1119">
        <f>B66+1</f>
        <v>9</v>
      </c>
      <c r="C70" s="2521" t="s">
        <v>1796</v>
      </c>
      <c r="D70" s="2522"/>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1797</v>
      </c>
      <c r="D73" s="1125" t="str">
        <f>IF(SUM('Acct Summary 7-8'!C42:K42)&gt;=SUM( 'Acct Summary 7-8'!C74:K74),"OK", "ERROR")</f>
        <v>OK</v>
      </c>
    </row>
    <row r="74" spans="1:4" x14ac:dyDescent="0.2">
      <c r="A74" s="1097"/>
      <c r="B74" s="1119">
        <f>B70+1</f>
        <v>10</v>
      </c>
      <c r="C74" s="1113" t="s">
        <v>2048</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2049</v>
      </c>
      <c r="D78" s="1123" t="str">
        <f>IF(ISNUMBER('Acct Summary 7-8'!C9),"OK","ENTRY IS REQUIRED!")</f>
        <v>OK</v>
      </c>
    </row>
    <row r="79" spans="1:4" x14ac:dyDescent="0.2">
      <c r="A79" s="1118"/>
      <c r="B79" s="1119">
        <f>B74+1+1</f>
        <v>12</v>
      </c>
      <c r="C79" s="1129" t="s">
        <v>2014</v>
      </c>
      <c r="D79" s="1130" t="str">
        <f>IF(OR(COVER!$B$6="X",'PCTC-OEPP 27-28'!F78&gt;0),"OK","PLEASE ENTER 9 MO ADA.")</f>
        <v>OK</v>
      </c>
    </row>
    <row r="80" spans="1:4" x14ac:dyDescent="0.2">
      <c r="A80" s="1097"/>
      <c r="B80" s="1119">
        <v>13</v>
      </c>
      <c r="C80" s="1129" t="s">
        <v>2050</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53060191026</v>
      </c>
    </row>
    <row r="3" spans="1:2" x14ac:dyDescent="0.2">
      <c r="A3" t="s">
        <v>1013</v>
      </c>
      <c r="B3" s="138" t="str">
        <f>COVER!A15</f>
        <v>Tazewell and Mason</v>
      </c>
    </row>
    <row r="4" spans="1:2" x14ac:dyDescent="0.2">
      <c r="A4" t="s">
        <v>1064</v>
      </c>
      <c r="B4" s="138" t="str">
        <f>COVER!A17</f>
        <v>Midwest Central CUSD 191</v>
      </c>
    </row>
    <row r="5" spans="1:2" x14ac:dyDescent="0.2">
      <c r="A5" t="s">
        <v>728</v>
      </c>
      <c r="B5" s="138" t="str">
        <f>COVER!A38</f>
        <v>Todd Hellrigel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Thomas R.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1157919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2629437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9474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9474</v>
      </c>
      <c r="C91" s="2" t="s">
        <v>594</v>
      </c>
      <c r="D91" s="2" t="str">
        <f t="shared" si="0"/>
        <v>Error?</v>
      </c>
    </row>
    <row r="92" spans="1:4" x14ac:dyDescent="0.2">
      <c r="A92" s="5">
        <v>31</v>
      </c>
      <c r="B92" s="138">
        <f>'Assets-Liab 5-6'!C39</f>
        <v>2602067</v>
      </c>
      <c r="D92" s="2" t="str">
        <f t="shared" si="0"/>
        <v>Error?</v>
      </c>
    </row>
    <row r="93" spans="1:4" x14ac:dyDescent="0.2">
      <c r="A93" s="5">
        <v>32</v>
      </c>
      <c r="B93" s="138">
        <f>'Assets-Liab 5-6'!C41</f>
        <v>2629437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300000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503987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503987</v>
      </c>
      <c r="D123" s="2" t="str">
        <f t="shared" si="0"/>
        <v>Error?</v>
      </c>
    </row>
    <row r="124" spans="1:4" x14ac:dyDescent="0.2">
      <c r="A124" s="5">
        <v>63</v>
      </c>
      <c r="B124" s="138">
        <f>'Assets-Liab 5-6'!D41</f>
        <v>503987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113169</v>
      </c>
      <c r="D129" s="2" t="str">
        <f t="shared" si="1"/>
        <v>Error?</v>
      </c>
    </row>
    <row r="130" spans="1:4" x14ac:dyDescent="0.2">
      <c r="A130" s="5">
        <v>69</v>
      </c>
      <c r="B130" s="138">
        <f>'Assets-Liab 5-6'!E12</f>
        <v>0</v>
      </c>
      <c r="D130" s="2" t="str">
        <f t="shared" si="1"/>
        <v>Error?</v>
      </c>
    </row>
    <row r="131" spans="1:4" x14ac:dyDescent="0.2">
      <c r="A131" s="5">
        <v>70</v>
      </c>
      <c r="B131" s="138">
        <f>'Assets-Liab 5-6'!E13</f>
        <v>204711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88952</v>
      </c>
      <c r="D140" s="2" t="str">
        <f t="shared" si="1"/>
        <v>Error?</v>
      </c>
    </row>
    <row r="141" spans="1:4" x14ac:dyDescent="0.2">
      <c r="A141" s="5">
        <v>80</v>
      </c>
      <c r="B141" s="138">
        <f>'Assets-Liab 5-6'!E41</f>
        <v>204711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579249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26</v>
      </c>
      <c r="C169" s="2" t="s">
        <v>594</v>
      </c>
      <c r="D169" s="2" t="str">
        <f t="shared" si="1"/>
        <v>Error?</v>
      </c>
    </row>
    <row r="170" spans="1:4" x14ac:dyDescent="0.2">
      <c r="A170" s="5">
        <v>109</v>
      </c>
      <c r="B170" s="138">
        <f>'Assets-Liab 5-6'!F39</f>
        <v>579223</v>
      </c>
      <c r="D170" s="2" t="str">
        <f t="shared" si="1"/>
        <v>Error?</v>
      </c>
    </row>
    <row r="171" spans="1:4" x14ac:dyDescent="0.2">
      <c r="A171" s="5">
        <v>110</v>
      </c>
      <c r="B171" s="138">
        <f>'Assets-Liab 5-6'!F41</f>
        <v>579249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621844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674405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282333</v>
      </c>
      <c r="D189" s="2" t="str">
        <f t="shared" si="1"/>
        <v>Error?</v>
      </c>
    </row>
    <row r="190" spans="1:4" x14ac:dyDescent="0.2">
      <c r="A190" s="5">
        <v>129</v>
      </c>
      <c r="B190" s="138">
        <f>'Assets-Liab 5-6'!G41</f>
        <v>674405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48036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255000</v>
      </c>
      <c r="C211" s="2" t="s">
        <v>594</v>
      </c>
      <c r="D211" s="2" t="str">
        <f t="shared" si="2"/>
        <v>Error?</v>
      </c>
    </row>
    <row r="212" spans="1:4" x14ac:dyDescent="0.2">
      <c r="A212" s="5">
        <v>151</v>
      </c>
      <c r="B212" s="138">
        <f>'Assets-Liab 5-6'!H39</f>
        <v>-206964</v>
      </c>
      <c r="D212" s="2" t="str">
        <f t="shared" si="2"/>
        <v>Error?</v>
      </c>
    </row>
    <row r="213" spans="1:4" x14ac:dyDescent="0.2">
      <c r="A213" s="12">
        <v>152</v>
      </c>
      <c r="B213" s="138">
        <f>'Assets-Liab 5-6'!H41</f>
        <v>48036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121076</v>
      </c>
      <c r="D273" s="2" t="str">
        <f t="shared" si="3"/>
        <v>Error?</v>
      </c>
    </row>
    <row r="274" spans="1:4" x14ac:dyDescent="0.2">
      <c r="A274" s="5">
        <v>213</v>
      </c>
      <c r="B274" s="138">
        <f>'Assets-Liab 5-6'!M17</f>
        <v>15166982</v>
      </c>
      <c r="D274" s="2" t="str">
        <f t="shared" si="3"/>
        <v>Error?</v>
      </c>
    </row>
    <row r="275" spans="1:4" x14ac:dyDescent="0.2">
      <c r="A275" s="5">
        <v>214</v>
      </c>
      <c r="B275" s="138">
        <f>'Assets-Liab 5-6'!M18</f>
        <v>1566885</v>
      </c>
      <c r="D275" s="2" t="str">
        <f t="shared" si="3"/>
        <v>Error?</v>
      </c>
    </row>
    <row r="276" spans="1:4" x14ac:dyDescent="0.2">
      <c r="A276" s="5">
        <v>215</v>
      </c>
      <c r="B276" s="138">
        <f>'Assets-Liab 5-6'!M19</f>
        <v>1308860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18163803</v>
      </c>
      <c r="C279" s="2" t="s">
        <v>594</v>
      </c>
      <c r="D279" s="2" t="str">
        <f t="shared" si="3"/>
        <v>Error?</v>
      </c>
    </row>
    <row r="280" spans="1:4" x14ac:dyDescent="0.2">
      <c r="A280" s="5">
        <v>219</v>
      </c>
      <c r="B280" s="138">
        <f>'Assets-Liab 5-6'!M40</f>
        <v>18163803</v>
      </c>
      <c r="D280" s="2" t="str">
        <f t="shared" si="3"/>
        <v>Error?</v>
      </c>
    </row>
    <row r="281" spans="1:4" x14ac:dyDescent="0.2">
      <c r="A281" s="5">
        <v>220</v>
      </c>
      <c r="B281" s="138">
        <f>'Assets-Liab 5-6'!M41</f>
        <v>18163803</v>
      </c>
      <c r="C281" s="2" t="s">
        <v>594</v>
      </c>
      <c r="D281" s="2" t="str">
        <f t="shared" si="3"/>
        <v>Error?</v>
      </c>
    </row>
    <row r="282" spans="1:4" x14ac:dyDescent="0.2">
      <c r="A282" s="5">
        <v>221</v>
      </c>
      <c r="B282" s="138">
        <f>'Assets-Liab 5-6'!N21</f>
        <v>204711</v>
      </c>
      <c r="D282" s="2" t="str">
        <f t="shared" si="3"/>
        <v>Error?</v>
      </c>
    </row>
    <row r="283" spans="1:4" x14ac:dyDescent="0.2">
      <c r="A283" s="5">
        <v>222</v>
      </c>
      <c r="B283" s="138">
        <f>'Assets-Liab 5-6'!N22</f>
        <v>1620289</v>
      </c>
      <c r="D283" s="2" t="str">
        <f t="shared" si="3"/>
        <v>Error?</v>
      </c>
    </row>
    <row r="284" spans="1:4" x14ac:dyDescent="0.2">
      <c r="A284" s="5">
        <v>223</v>
      </c>
      <c r="B284" s="138">
        <f>'Assets-Liab 5-6'!N23</f>
        <v>1825000</v>
      </c>
      <c r="C284" s="2" t="s">
        <v>594</v>
      </c>
      <c r="D284" s="2" t="str">
        <f t="shared" si="3"/>
        <v>Error?</v>
      </c>
    </row>
    <row r="285" spans="1:4" x14ac:dyDescent="0.2">
      <c r="A285" s="5">
        <v>224</v>
      </c>
      <c r="B285" s="138">
        <f>'Assets-Liab 5-6'!N36</f>
        <v>1825000</v>
      </c>
      <c r="D285" s="2" t="str">
        <f t="shared" si="3"/>
        <v>Error?</v>
      </c>
    </row>
    <row r="286" spans="1:4" x14ac:dyDescent="0.2">
      <c r="A286" s="10">
        <v>225</v>
      </c>
      <c r="D286" s="2" t="str">
        <f t="shared" si="3"/>
        <v>OK</v>
      </c>
    </row>
    <row r="287" spans="1:4" x14ac:dyDescent="0.2">
      <c r="A287" s="5">
        <v>226</v>
      </c>
      <c r="B287" s="138">
        <f>'Assets-Liab 5-6'!N37</f>
        <v>1825000</v>
      </c>
      <c r="C287" s="2" t="s">
        <v>594</v>
      </c>
      <c r="D287" s="2" t="str">
        <f t="shared" si="3"/>
        <v>Error?</v>
      </c>
    </row>
    <row r="288" spans="1:4" x14ac:dyDescent="0.2">
      <c r="A288" s="5">
        <v>227</v>
      </c>
      <c r="B288" s="138">
        <f>'Assets-Liab 5-6'!N41</f>
        <v>1825000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9500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2001113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205027</v>
      </c>
      <c r="D717" s="2" t="str">
        <f t="shared" si="10"/>
        <v>Error?</v>
      </c>
    </row>
    <row r="718" spans="1:4" x14ac:dyDescent="0.2">
      <c r="A718" s="5">
        <v>657</v>
      </c>
      <c r="B718" s="138">
        <f>'Expenditures 15-22'!C14</f>
        <v>126242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3329023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55853</v>
      </c>
      <c r="D722" s="2" t="str">
        <f t="shared" si="10"/>
        <v>Error?</v>
      </c>
    </row>
    <row r="723" spans="1:4" x14ac:dyDescent="0.2">
      <c r="A723" s="5">
        <v>662</v>
      </c>
      <c r="B723" s="138">
        <f>'Expenditures 15-22'!C38</f>
        <v>69532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125385</v>
      </c>
      <c r="C727" s="2" t="s">
        <v>594</v>
      </c>
      <c r="D727" s="2" t="str">
        <f t="shared" si="10"/>
        <v>Error?</v>
      </c>
    </row>
    <row r="728" spans="1:4" x14ac:dyDescent="0.2">
      <c r="A728" s="5">
        <v>667</v>
      </c>
      <c r="B728" s="138">
        <f>'Expenditures 15-22'!C44</f>
        <v>9597</v>
      </c>
      <c r="D728" s="2" t="str">
        <f t="shared" si="10"/>
        <v>Error?</v>
      </c>
    </row>
    <row r="729" spans="1:4" x14ac:dyDescent="0.2">
      <c r="A729" s="5">
        <v>668</v>
      </c>
      <c r="B729" s="138">
        <f>'Expenditures 15-22'!C45</f>
        <v>118109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127706</v>
      </c>
      <c r="C731" s="2" t="s">
        <v>594</v>
      </c>
      <c r="D731" s="2" t="str">
        <f t="shared" si="10"/>
        <v>Error?</v>
      </c>
    </row>
    <row r="732" spans="1:4" x14ac:dyDescent="0.2">
      <c r="A732" s="5">
        <v>671</v>
      </c>
      <c r="B732" s="138">
        <f>'Expenditures 15-22'!C49</f>
        <v>3222</v>
      </c>
      <c r="D732" s="2" t="str">
        <f t="shared" si="10"/>
        <v>Error?</v>
      </c>
    </row>
    <row r="733" spans="1:4" x14ac:dyDescent="0.2">
      <c r="A733" s="5">
        <v>672</v>
      </c>
      <c r="B733" s="138">
        <f>'Expenditures 15-22'!C50</f>
        <v>163744</v>
      </c>
      <c r="D733" s="2" t="str">
        <f t="shared" si="10"/>
        <v>Error?</v>
      </c>
    </row>
    <row r="734" spans="1:4" x14ac:dyDescent="0.2">
      <c r="A734" s="5">
        <v>673</v>
      </c>
      <c r="B734" s="138">
        <f>'Expenditures 15-22'!C53</f>
        <v>166966</v>
      </c>
      <c r="C734" s="2" t="s">
        <v>594</v>
      </c>
      <c r="D734" s="2" t="str">
        <f t="shared" si="10"/>
        <v>Error?</v>
      </c>
    </row>
    <row r="735" spans="1:4" x14ac:dyDescent="0.2">
      <c r="A735" s="5">
        <v>674</v>
      </c>
      <c r="B735" s="138">
        <f>'Expenditures 15-22'!C55</f>
        <v>391370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391370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48471</v>
      </c>
      <c r="D739" s="2" t="str">
        <f t="shared" si="10"/>
        <v>Error?</v>
      </c>
    </row>
    <row r="740" spans="1:4" x14ac:dyDescent="0.2">
      <c r="A740" s="5">
        <v>679</v>
      </c>
      <c r="B740" s="138">
        <f>'Expenditures 15-22'!C61</f>
        <v>219149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267620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132</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132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1079179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4408202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701910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97182</v>
      </c>
      <c r="D775" s="2" t="str">
        <f t="shared" si="11"/>
        <v>Error?</v>
      </c>
    </row>
    <row r="776" spans="1:4" x14ac:dyDescent="0.2">
      <c r="A776" s="5">
        <v>715</v>
      </c>
      <c r="B776" s="138">
        <f>'Expenditures 15-22'!D14</f>
        <v>11577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1123056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16584</v>
      </c>
      <c r="D780" s="2" t="str">
        <f t="shared" si="11"/>
        <v>Error?</v>
      </c>
    </row>
    <row r="781" spans="1:4" x14ac:dyDescent="0.2">
      <c r="A781" s="5">
        <v>720</v>
      </c>
      <c r="B781" s="138">
        <f>'Expenditures 15-22'!D38</f>
        <v>9291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25875</v>
      </c>
      <c r="C785" s="2" t="s">
        <v>594</v>
      </c>
      <c r="D785" s="2" t="str">
        <f t="shared" si="11"/>
        <v>Error?</v>
      </c>
    </row>
    <row r="786" spans="1:4" x14ac:dyDescent="0.2">
      <c r="A786" s="5">
        <v>725</v>
      </c>
      <c r="B786" s="138">
        <f>'Expenditures 15-22'!D44</f>
        <v>737</v>
      </c>
      <c r="D786" s="2" t="str">
        <f t="shared" si="11"/>
        <v>Error?</v>
      </c>
    </row>
    <row r="787" spans="1:4" x14ac:dyDescent="0.2">
      <c r="A787" s="5">
        <v>726</v>
      </c>
      <c r="B787" s="138">
        <f>'Expenditures 15-22'!D45</f>
        <v>27229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27966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51187</v>
      </c>
      <c r="D791" s="2" t="str">
        <f t="shared" si="11"/>
        <v>Error?</v>
      </c>
    </row>
    <row r="792" spans="1:4" x14ac:dyDescent="0.2">
      <c r="A792" s="5">
        <v>731</v>
      </c>
      <c r="B792" s="138">
        <f>'Expenditures 15-22'!D53</f>
        <v>51187</v>
      </c>
      <c r="C792" s="2" t="s">
        <v>594</v>
      </c>
      <c r="D792" s="2" t="str">
        <f t="shared" si="11"/>
        <v>Error?</v>
      </c>
    </row>
    <row r="793" spans="1:4" x14ac:dyDescent="0.2">
      <c r="A793" s="5">
        <v>732</v>
      </c>
      <c r="B793" s="138">
        <f>'Expenditures 15-22'!D55</f>
        <v>168109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168109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9291</v>
      </c>
      <c r="D797" s="2" t="str">
        <f t="shared" si="11"/>
        <v>Error?</v>
      </c>
    </row>
    <row r="798" spans="1:4" x14ac:dyDescent="0.2">
      <c r="A798" s="5">
        <v>737</v>
      </c>
      <c r="B798" s="138">
        <f>'Expenditures 15-22'!D61</f>
        <v>44343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53634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326771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1449827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6240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802</v>
      </c>
      <c r="D833" s="2" t="str">
        <f t="shared" si="12"/>
        <v>Error?</v>
      </c>
    </row>
    <row r="834" spans="1:4" x14ac:dyDescent="0.2">
      <c r="A834" s="5">
        <v>773</v>
      </c>
      <c r="B834" s="138">
        <f>'Expenditures 15-22'!E14</f>
        <v>28793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78883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2521</v>
      </c>
      <c r="D838" s="2" t="str">
        <f t="shared" si="12"/>
        <v>Error?</v>
      </c>
    </row>
    <row r="839" spans="1:4" x14ac:dyDescent="0.2">
      <c r="A839" s="5">
        <v>778</v>
      </c>
      <c r="B839" s="138">
        <f>'Expenditures 15-22'!E38</f>
        <v>838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3359</v>
      </c>
      <c r="C843" s="2" t="s">
        <v>594</v>
      </c>
      <c r="D843" s="2" t="str">
        <f t="shared" si="12"/>
        <v>Error?</v>
      </c>
    </row>
    <row r="844" spans="1:4" x14ac:dyDescent="0.2">
      <c r="A844" s="5">
        <v>783</v>
      </c>
      <c r="B844" s="138">
        <f>'Expenditures 15-22'!E44</f>
        <v>24417</v>
      </c>
      <c r="D844" s="2" t="str">
        <f t="shared" si="12"/>
        <v>Error?</v>
      </c>
    </row>
    <row r="845" spans="1:4" x14ac:dyDescent="0.2">
      <c r="A845" s="5">
        <v>784</v>
      </c>
      <c r="B845" s="138">
        <f>'Expenditures 15-22'!E45</f>
        <v>86883</v>
      </c>
      <c r="D845" s="2" t="str">
        <f t="shared" si="12"/>
        <v>Error?</v>
      </c>
    </row>
    <row r="846" spans="1:4" x14ac:dyDescent="0.2">
      <c r="A846" s="5">
        <v>785</v>
      </c>
      <c r="B846" s="138">
        <f>'Expenditures 15-22'!E46</f>
        <v>11774</v>
      </c>
      <c r="D846" s="2" t="str">
        <f t="shared" si="12"/>
        <v>Error?</v>
      </c>
    </row>
    <row r="847" spans="1:4" x14ac:dyDescent="0.2">
      <c r="A847" s="5">
        <v>786</v>
      </c>
      <c r="B847" s="138">
        <f>'Expenditures 15-22'!E47</f>
        <v>123074</v>
      </c>
      <c r="C847" s="2" t="s">
        <v>594</v>
      </c>
      <c r="D847" s="2" t="str">
        <f t="shared" si="12"/>
        <v>Error?</v>
      </c>
    </row>
    <row r="848" spans="1:4" x14ac:dyDescent="0.2">
      <c r="A848" s="5">
        <v>787</v>
      </c>
      <c r="B848" s="138">
        <f>'Expenditures 15-22'!E49</f>
        <v>28050</v>
      </c>
      <c r="D848" s="2" t="str">
        <f t="shared" si="12"/>
        <v>Error?</v>
      </c>
    </row>
    <row r="849" spans="1:4" x14ac:dyDescent="0.2">
      <c r="A849" s="5">
        <v>788</v>
      </c>
      <c r="B849" s="138">
        <f>'Expenditures 15-22'!E50</f>
        <v>5476</v>
      </c>
      <c r="D849" s="2" t="str">
        <f t="shared" si="12"/>
        <v>Error?</v>
      </c>
    </row>
    <row r="850" spans="1:4" x14ac:dyDescent="0.2">
      <c r="A850" s="5">
        <v>789</v>
      </c>
      <c r="B850" s="138">
        <f>'Expenditures 15-22'!E53</f>
        <v>33526</v>
      </c>
      <c r="C850" s="2" t="s">
        <v>594</v>
      </c>
      <c r="D850" s="2" t="str">
        <f t="shared" si="12"/>
        <v>Error?</v>
      </c>
    </row>
    <row r="851" spans="1:4" x14ac:dyDescent="0.2">
      <c r="A851" s="5">
        <v>790</v>
      </c>
      <c r="B851" s="138">
        <f>'Expenditures 15-22'!E55</f>
        <v>3280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3280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1482</v>
      </c>
      <c r="D855" s="2" t="str">
        <f t="shared" si="12"/>
        <v>Error?</v>
      </c>
    </row>
    <row r="856" spans="1:4" x14ac:dyDescent="0.2">
      <c r="A856" s="5">
        <v>795</v>
      </c>
      <c r="B856" s="138">
        <f>'Expenditures 15-22'!E61</f>
        <v>40361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399340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441183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604422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683305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32645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10794</v>
      </c>
      <c r="D891" s="2" t="str">
        <f t="shared" si="12"/>
        <v>Error?</v>
      </c>
    </row>
    <row r="892" spans="1:4" x14ac:dyDescent="0.2">
      <c r="A892" s="5">
        <v>831</v>
      </c>
      <c r="B892" s="138">
        <f>'Expenditures 15-22'!F14</f>
        <v>17273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68421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147</v>
      </c>
      <c r="D896" s="2" t="str">
        <f t="shared" si="13"/>
        <v>Error?</v>
      </c>
    </row>
    <row r="897" spans="1:4" x14ac:dyDescent="0.2">
      <c r="A897" s="5">
        <v>836</v>
      </c>
      <c r="B897" s="138">
        <f>'Expenditures 15-22'!F38</f>
        <v>1079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1226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14848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14848</v>
      </c>
      <c r="C905" s="2" t="s">
        <v>594</v>
      </c>
      <c r="D905" s="2" t="str">
        <f t="shared" si="13"/>
        <v>Error?</v>
      </c>
    </row>
    <row r="906" spans="1:4" x14ac:dyDescent="0.2">
      <c r="A906" s="5">
        <v>845</v>
      </c>
      <c r="B906" s="138">
        <f>'Expenditures 15-22'!F49</f>
        <v>3047</v>
      </c>
      <c r="D906" s="2" t="str">
        <f t="shared" si="13"/>
        <v>Error?</v>
      </c>
    </row>
    <row r="907" spans="1:4" x14ac:dyDescent="0.2">
      <c r="A907" s="5">
        <v>846</v>
      </c>
      <c r="B907" s="138">
        <f>'Expenditures 15-22'!F50</f>
        <v>1513</v>
      </c>
      <c r="D907" s="2" t="str">
        <f t="shared" si="13"/>
        <v>Error?</v>
      </c>
    </row>
    <row r="908" spans="1:4" x14ac:dyDescent="0.2">
      <c r="A908" s="5">
        <v>847</v>
      </c>
      <c r="B908" s="138">
        <f>'Expenditures 15-22'!F53</f>
        <v>4560</v>
      </c>
      <c r="C908" s="2" t="s">
        <v>594</v>
      </c>
      <c r="D908" s="2" t="str">
        <f t="shared" si="13"/>
        <v>Error?</v>
      </c>
    </row>
    <row r="909" spans="1:4" x14ac:dyDescent="0.2">
      <c r="A909" s="5">
        <v>848</v>
      </c>
      <c r="B909" s="138">
        <f>'Expenditures 15-22'!F55</f>
        <v>1986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1986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351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4260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4611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27231</v>
      </c>
      <c r="C929" s="2" t="s">
        <v>594</v>
      </c>
      <c r="D929" s="2" t="str">
        <f t="shared" si="13"/>
        <v>Error?</v>
      </c>
    </row>
    <row r="930" spans="1:4" x14ac:dyDescent="0.2">
      <c r="A930" s="5">
        <v>869</v>
      </c>
      <c r="B930" s="138">
        <f>'Expenditures 15-22'!F75</f>
        <v>458</v>
      </c>
      <c r="D930" s="2" t="str">
        <f t="shared" si="13"/>
        <v>Error?</v>
      </c>
    </row>
    <row r="931" spans="1:4" x14ac:dyDescent="0.2">
      <c r="A931" s="5">
        <v>870</v>
      </c>
      <c r="B931" s="138">
        <f>'Expenditures 15-22'!F114</f>
        <v>96110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49677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49677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1776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1776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51453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51453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16382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309029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153081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462150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2758290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313805</v>
      </c>
      <c r="C1105" s="2" t="s">
        <v>594</v>
      </c>
      <c r="D1105" s="2" t="str">
        <f t="shared" si="16"/>
        <v>Error?</v>
      </c>
    </row>
    <row r="1106" spans="1:4" x14ac:dyDescent="0.2">
      <c r="A1106" s="5">
        <v>1045</v>
      </c>
      <c r="B1106" s="138">
        <f>'Expenditures 15-22'!K14</f>
        <v>183955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4908412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75105</v>
      </c>
      <c r="C1110" s="2" t="s">
        <v>594</v>
      </c>
      <c r="D1110" s="2" t="str">
        <f t="shared" si="16"/>
        <v>Error?</v>
      </c>
    </row>
    <row r="1111" spans="1:4" x14ac:dyDescent="0.2">
      <c r="A1111" s="5">
        <v>1050</v>
      </c>
      <c r="B1111" s="138">
        <f>'Expenditures 15-22'!K38</f>
        <v>80740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155845</v>
      </c>
      <c r="C1115" s="2" t="s">
        <v>594</v>
      </c>
      <c r="D1115" s="2" t="str">
        <f t="shared" si="16"/>
        <v>Error?</v>
      </c>
    </row>
    <row r="1116" spans="1:4" x14ac:dyDescent="0.2">
      <c r="A1116" s="5">
        <v>1055</v>
      </c>
      <c r="B1116" s="138">
        <f>'Expenditures 15-22'!K44</f>
        <v>34751</v>
      </c>
      <c r="C1116" s="2" t="s">
        <v>594</v>
      </c>
      <c r="D1116" s="2" t="str">
        <f t="shared" si="16"/>
        <v>Error?</v>
      </c>
    </row>
    <row r="1117" spans="1:4" x14ac:dyDescent="0.2">
      <c r="A1117" s="5">
        <v>1056</v>
      </c>
      <c r="B1117" s="138">
        <f>'Expenditures 15-22'!K45</f>
        <v>296746</v>
      </c>
      <c r="C1117" s="2" t="s">
        <v>594</v>
      </c>
      <c r="D1117" s="2" t="str">
        <f t="shared" si="16"/>
        <v>Error?</v>
      </c>
    </row>
    <row r="1118" spans="1:4" x14ac:dyDescent="0.2">
      <c r="A1118" s="5">
        <v>1057</v>
      </c>
      <c r="B1118" s="138">
        <f>'Expenditures 15-22'!K46</f>
        <v>11774</v>
      </c>
      <c r="C1118" s="2" t="s">
        <v>594</v>
      </c>
      <c r="D1118" s="2" t="str">
        <f t="shared" si="16"/>
        <v>Error?</v>
      </c>
    </row>
    <row r="1119" spans="1:4" x14ac:dyDescent="0.2">
      <c r="A1119" s="5">
        <v>1058</v>
      </c>
      <c r="B1119" s="138">
        <f>'Expenditures 15-22'!K47</f>
        <v>343271</v>
      </c>
      <c r="C1119" s="2" t="s">
        <v>594</v>
      </c>
      <c r="D1119" s="2" t="str">
        <f t="shared" si="16"/>
        <v>Error?</v>
      </c>
    </row>
    <row r="1120" spans="1:4" x14ac:dyDescent="0.2">
      <c r="A1120" s="5">
        <v>1059</v>
      </c>
      <c r="B1120" s="138">
        <f>'Expenditures 15-22'!K49</f>
        <v>34359</v>
      </c>
      <c r="C1120" s="2" t="s">
        <v>594</v>
      </c>
      <c r="D1120" s="2" t="str">
        <f t="shared" si="16"/>
        <v>Error?</v>
      </c>
    </row>
    <row r="1121" spans="1:4" x14ac:dyDescent="0.2">
      <c r="A1121" s="5">
        <v>1060</v>
      </c>
      <c r="B1121" s="138">
        <f>'Expenditures 15-22'!K50</f>
        <v>221920</v>
      </c>
      <c r="C1121" s="2" t="s">
        <v>594</v>
      </c>
      <c r="D1121" s="2" t="str">
        <f t="shared" si="16"/>
        <v>Error?</v>
      </c>
    </row>
    <row r="1122" spans="1:4" x14ac:dyDescent="0.2">
      <c r="A1122" s="5">
        <v>1061</v>
      </c>
      <c r="B1122" s="138">
        <f>'Expenditures 15-22'!K53</f>
        <v>256279</v>
      </c>
      <c r="C1122" s="2" t="s">
        <v>594</v>
      </c>
      <c r="D1122" s="2" t="str">
        <f t="shared" si="16"/>
        <v>Error?</v>
      </c>
    </row>
    <row r="1123" spans="1:4" x14ac:dyDescent="0.2">
      <c r="A1123" s="5">
        <v>1062</v>
      </c>
      <c r="B1123" s="138">
        <f>'Expenditures 15-22'!K55</f>
        <v>564745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564745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59595</v>
      </c>
      <c r="C1127" s="2" t="s">
        <v>594</v>
      </c>
      <c r="D1127" s="2" t="str">
        <f t="shared" si="16"/>
        <v>Error?</v>
      </c>
    </row>
    <row r="1128" spans="1:4" x14ac:dyDescent="0.2">
      <c r="A1128" s="5">
        <v>1067</v>
      </c>
      <c r="B1128" s="138">
        <f>'Expenditures 15-22'!K61</f>
        <v>303853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405376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768824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132</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132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2089096</v>
      </c>
      <c r="C1143" s="2" t="s">
        <v>594</v>
      </c>
      <c r="D1143" s="2" t="str">
        <f t="shared" si="16"/>
        <v>Error?</v>
      </c>
    </row>
    <row r="1144" spans="1:4" x14ac:dyDescent="0.2">
      <c r="A1144" s="5">
        <v>1083</v>
      </c>
      <c r="B1144" s="138">
        <f>'Expenditures 15-22'!K75</f>
        <v>458</v>
      </c>
      <c r="C1144" s="2" t="s">
        <v>594</v>
      </c>
      <c r="D1144" s="2" t="str">
        <f t="shared" si="16"/>
        <v>Error?</v>
      </c>
    </row>
    <row r="1145" spans="1:4" x14ac:dyDescent="0.2">
      <c r="A1145" s="5">
        <v>1084</v>
      </c>
      <c r="B1145" s="138">
        <f>'Expenditures 15-22'!K102</f>
        <v>153081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7151047</v>
      </c>
      <c r="C1152" s="2" t="s">
        <v>594</v>
      </c>
      <c r="D1152" s="2" t="str">
        <f t="shared" si="17"/>
        <v>Error?</v>
      </c>
    </row>
    <row r="1153" spans="1:4" x14ac:dyDescent="0.2">
      <c r="A1153" s="5">
        <v>1092</v>
      </c>
      <c r="B1153" s="138">
        <f>'Expenditures 15-22'!K115</f>
        <v>325297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102641</v>
      </c>
      <c r="D1237" s="2" t="str">
        <f t="shared" si="18"/>
        <v>Error?</v>
      </c>
    </row>
    <row r="1238" spans="1:4" x14ac:dyDescent="0.2">
      <c r="A1238" s="10">
        <v>1177</v>
      </c>
      <c r="D1238" s="2" t="str">
        <f t="shared" si="18"/>
        <v>OK</v>
      </c>
    </row>
    <row r="1239" spans="1:4" x14ac:dyDescent="0.2">
      <c r="A1239" s="5">
        <v>1178</v>
      </c>
      <c r="B1239" s="138">
        <f>'Expenditures 15-22'!E127</f>
        <v>107938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107938</v>
      </c>
      <c r="C1241" s="2" t="s">
        <v>594</v>
      </c>
      <c r="D1241" s="2" t="str">
        <f t="shared" si="18"/>
        <v>Error?</v>
      </c>
    </row>
    <row r="1242" spans="1:4" x14ac:dyDescent="0.2">
      <c r="A1242" s="5">
        <v>1181</v>
      </c>
      <c r="B1242" s="138">
        <f>'Expenditures 15-22'!E151</f>
        <v>107938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256893</v>
      </c>
      <c r="D1245" s="2" t="str">
        <f t="shared" si="18"/>
        <v>Error?</v>
      </c>
    </row>
    <row r="1246" spans="1:4" x14ac:dyDescent="0.2">
      <c r="A1246" s="10">
        <v>1185</v>
      </c>
      <c r="D1246" s="2" t="str">
        <f t="shared" si="18"/>
        <v>OK</v>
      </c>
    </row>
    <row r="1247" spans="1:4" x14ac:dyDescent="0.2">
      <c r="A1247" s="5">
        <v>1186</v>
      </c>
      <c r="B1247" s="138">
        <f>'Expenditures 15-22'!F127</f>
        <v>258350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258350</v>
      </c>
      <c r="C1249" s="2" t="s">
        <v>594</v>
      </c>
      <c r="D1249" s="2" t="str">
        <f t="shared" si="18"/>
        <v>Error?</v>
      </c>
    </row>
    <row r="1250" spans="1:4" x14ac:dyDescent="0.2">
      <c r="A1250" s="5">
        <v>1189</v>
      </c>
      <c r="B1250" s="138">
        <f>'Expenditures 15-22'!F151</f>
        <v>258350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880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880</v>
      </c>
      <c r="C1258" s="2" t="s">
        <v>594</v>
      </c>
      <c r="D1258" s="2" t="str">
        <f t="shared" si="18"/>
        <v>Error?</v>
      </c>
    </row>
    <row r="1259" spans="1:4" x14ac:dyDescent="0.2">
      <c r="A1259" s="5">
        <v>1198</v>
      </c>
      <c r="B1259" s="138">
        <f>'Expenditures 15-22'!G151</f>
        <v>880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359534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367168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367168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367168</v>
      </c>
      <c r="C1288" s="2" t="s">
        <v>594</v>
      </c>
      <c r="D1288" s="2" t="str">
        <f t="shared" si="19"/>
        <v>Error?</v>
      </c>
    </row>
    <row r="1289" spans="1:4" x14ac:dyDescent="0.2">
      <c r="A1289" s="5">
        <v>1228</v>
      </c>
      <c r="B1289" s="138">
        <f>'Expenditures 15-22'!K152</f>
        <v>86755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91980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925000</v>
      </c>
      <c r="D1315" s="2" t="str">
        <f t="shared" si="19"/>
        <v>Error?</v>
      </c>
    </row>
    <row r="1316" spans="1:4" x14ac:dyDescent="0.2">
      <c r="A1316" s="5">
        <v>1255</v>
      </c>
      <c r="B1316" s="138">
        <f>'Expenditures 15-22'!H171</f>
        <v>1350</v>
      </c>
      <c r="D1316" s="2" t="str">
        <f t="shared" si="19"/>
        <v>Error?</v>
      </c>
    </row>
    <row r="1317" spans="1:4" x14ac:dyDescent="0.2">
      <c r="A1317" s="5">
        <v>1256</v>
      </c>
      <c r="B1317" s="138">
        <f>'Expenditures 15-22'!H172</f>
        <v>1018330</v>
      </c>
      <c r="C1317" s="2" t="s">
        <v>594</v>
      </c>
      <c r="D1317" s="2" t="str">
        <f t="shared" si="19"/>
        <v>Error?</v>
      </c>
    </row>
    <row r="1318" spans="1:4" x14ac:dyDescent="0.2">
      <c r="A1318" s="5">
        <v>1257</v>
      </c>
      <c r="B1318" s="138">
        <f>'Expenditures 15-22'!H174</f>
        <v>1018330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91980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925000</v>
      </c>
      <c r="C1329" s="2" t="s">
        <v>594</v>
      </c>
      <c r="D1329" s="2" t="str">
        <f t="shared" si="19"/>
        <v>Error?</v>
      </c>
    </row>
    <row r="1330" spans="1:4" x14ac:dyDescent="0.2">
      <c r="A1330" s="5">
        <v>1269</v>
      </c>
      <c r="B1330" s="138">
        <f>'Expenditures 15-22'!K171</f>
        <v>1350</v>
      </c>
      <c r="C1330" s="2" t="s">
        <v>594</v>
      </c>
      <c r="D1330" s="2" t="str">
        <f t="shared" si="19"/>
        <v>Error?</v>
      </c>
    </row>
    <row r="1331" spans="1:4" x14ac:dyDescent="0.2">
      <c r="A1331" s="5">
        <v>1270</v>
      </c>
      <c r="B1331" s="138">
        <f>'Expenditures 15-22'!K172</f>
        <v>1018330</v>
      </c>
      <c r="C1331" s="2" t="s">
        <v>594</v>
      </c>
      <c r="D1331" s="2" t="str">
        <f t="shared" si="19"/>
        <v>Error?</v>
      </c>
    </row>
    <row r="1332" spans="1:4" x14ac:dyDescent="0.2">
      <c r="A1332" s="5">
        <v>1271</v>
      </c>
      <c r="B1332" s="138">
        <f>'Expenditures 15-22'!K174</f>
        <v>1018330</v>
      </c>
      <c r="C1332" s="2" t="s">
        <v>594</v>
      </c>
      <c r="D1332" s="2" t="str">
        <f t="shared" si="19"/>
        <v>Error?</v>
      </c>
    </row>
    <row r="1333" spans="1:4" x14ac:dyDescent="0.2">
      <c r="A1333" s="5">
        <v>1272</v>
      </c>
      <c r="B1333" s="138">
        <f>'Expenditures 15-22'!K175</f>
        <v>48556</v>
      </c>
      <c r="C1333" s="2" t="s">
        <v>594</v>
      </c>
      <c r="D1333" s="2" t="str">
        <f t="shared" si="19"/>
        <v>Error?</v>
      </c>
    </row>
    <row r="1334" spans="1:4" x14ac:dyDescent="0.2">
      <c r="A1334" s="10">
        <v>1273</v>
      </c>
      <c r="D1334" s="2" t="str">
        <f t="shared" si="19"/>
        <v>OK</v>
      </c>
    </row>
    <row r="1335" spans="1:4" x14ac:dyDescent="0.2">
      <c r="A1335" s="5">
        <v>1274</v>
      </c>
      <c r="B1335" s="138">
        <f>'Expenditures 15-22'!C182</f>
        <v>279791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279791</v>
      </c>
      <c r="C1339" s="2" t="s">
        <v>594</v>
      </c>
      <c r="D1339" s="2" t="str">
        <f t="shared" si="19"/>
        <v>Error?</v>
      </c>
    </row>
    <row r="1340" spans="1:4" x14ac:dyDescent="0.2">
      <c r="A1340" s="5">
        <v>1279</v>
      </c>
      <c r="B1340" s="138">
        <f>'Expenditures 15-22'!C210</f>
        <v>279791</v>
      </c>
      <c r="C1340" s="2" t="s">
        <v>594</v>
      </c>
      <c r="D1340" s="2" t="str">
        <f t="shared" si="19"/>
        <v>Error?</v>
      </c>
    </row>
    <row r="1341" spans="1:4" x14ac:dyDescent="0.2">
      <c r="A1341" s="5">
        <v>1280</v>
      </c>
      <c r="B1341" s="138">
        <f>'Expenditures 15-22'!D182</f>
        <v>10842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10842</v>
      </c>
      <c r="C1345" s="2" t="s">
        <v>594</v>
      </c>
      <c r="D1345" s="2" t="str">
        <f t="shared" si="20"/>
        <v>Error?</v>
      </c>
    </row>
    <row r="1346" spans="1:4" x14ac:dyDescent="0.2">
      <c r="A1346" s="5">
        <v>1285</v>
      </c>
      <c r="B1346" s="138">
        <f>'Expenditures 15-22'!D210</f>
        <v>10842</v>
      </c>
      <c r="C1346" s="2" t="s">
        <v>594</v>
      </c>
      <c r="D1346" s="2" t="str">
        <f t="shared" si="20"/>
        <v>Error?</v>
      </c>
    </row>
    <row r="1347" spans="1:4" x14ac:dyDescent="0.2">
      <c r="A1347" s="5">
        <v>1286</v>
      </c>
      <c r="B1347" s="138">
        <f>'Expenditures 15-22'!E182</f>
        <v>278697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278697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278697</v>
      </c>
      <c r="C1353" s="2" t="s">
        <v>594</v>
      </c>
      <c r="D1353" s="2" t="str">
        <f t="shared" si="20"/>
        <v>Error?</v>
      </c>
    </row>
    <row r="1354" spans="1:4" x14ac:dyDescent="0.2">
      <c r="A1354" s="5">
        <v>1293</v>
      </c>
      <c r="B1354" s="138">
        <f>'Expenditures 15-22'!F182</f>
        <v>69414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69414</v>
      </c>
      <c r="C1358" s="2" t="s">
        <v>594</v>
      </c>
      <c r="D1358" s="2" t="str">
        <f t="shared" si="20"/>
        <v>Error?</v>
      </c>
    </row>
    <row r="1359" spans="1:4" x14ac:dyDescent="0.2">
      <c r="A1359" s="5">
        <v>1298</v>
      </c>
      <c r="B1359" s="138">
        <f>'Expenditures 15-22'!F210</f>
        <v>69414</v>
      </c>
      <c r="C1359" s="2" t="s">
        <v>594</v>
      </c>
      <c r="D1359" s="2" t="str">
        <f t="shared" si="20"/>
        <v>Error?</v>
      </c>
    </row>
    <row r="1360" spans="1:4" x14ac:dyDescent="0.2">
      <c r="A1360" s="5">
        <v>1299</v>
      </c>
      <c r="B1360" s="138">
        <f>'Expenditures 15-22'!G182</f>
        <v>22678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22678</v>
      </c>
      <c r="C1364" s="2" t="s">
        <v>594</v>
      </c>
      <c r="D1364" s="2" t="str">
        <f t="shared" si="20"/>
        <v>Error?</v>
      </c>
    </row>
    <row r="1365" spans="1:4" x14ac:dyDescent="0.2">
      <c r="A1365" s="5">
        <v>1304</v>
      </c>
      <c r="B1365" s="138">
        <f>'Expenditures 15-22'!G210</f>
        <v>22678</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661422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661422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661422</v>
      </c>
      <c r="C1388" s="2" t="s">
        <v>594</v>
      </c>
      <c r="D1388" s="2" t="str">
        <f t="shared" si="20"/>
        <v>Error?</v>
      </c>
    </row>
    <row r="1389" spans="1:4" x14ac:dyDescent="0.2">
      <c r="A1389" s="5">
        <v>1328</v>
      </c>
      <c r="B1389" s="138">
        <f>'Expenditures 15-22'!K211</f>
        <v>145474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3546</v>
      </c>
      <c r="D1407" s="2" t="str">
        <f t="shared" ref="D1407:D1470" si="21">IF(ISBLANK(B1407),"OK",IF(A1407-B1407=0,"OK","Error?"))</f>
        <v>Error?</v>
      </c>
    </row>
    <row r="1408" spans="1:4" x14ac:dyDescent="0.2">
      <c r="A1408" s="5">
        <v>1347</v>
      </c>
      <c r="B1408" s="138">
        <f>'Expenditures 15-22'!D223</f>
        <v>3889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95163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870</v>
      </c>
      <c r="D1412" s="2" t="str">
        <f t="shared" si="21"/>
        <v>Error?</v>
      </c>
    </row>
    <row r="1413" spans="1:4" x14ac:dyDescent="0.2">
      <c r="A1413" s="5">
        <v>1352</v>
      </c>
      <c r="B1413" s="138">
        <f>'Expenditures 15-22'!D234</f>
        <v>11019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11889</v>
      </c>
      <c r="C1417" s="2" t="s">
        <v>594</v>
      </c>
      <c r="D1417" s="2" t="str">
        <f t="shared" si="21"/>
        <v>Error?</v>
      </c>
    </row>
    <row r="1418" spans="1:4" x14ac:dyDescent="0.2">
      <c r="A1418" s="5">
        <v>1357</v>
      </c>
      <c r="B1418" s="138">
        <f>'Expenditures 15-22'!D240</f>
        <v>145</v>
      </c>
      <c r="D1418" s="2" t="str">
        <f t="shared" si="21"/>
        <v>Error?</v>
      </c>
    </row>
    <row r="1419" spans="1:4" x14ac:dyDescent="0.2">
      <c r="A1419" s="5">
        <v>1358</v>
      </c>
      <c r="B1419" s="138">
        <f>'Expenditures 15-22'!D241</f>
        <v>9277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9422</v>
      </c>
      <c r="C1421" s="2" t="s">
        <v>594</v>
      </c>
      <c r="D1421" s="2" t="str">
        <f t="shared" si="21"/>
        <v>Error?</v>
      </c>
    </row>
    <row r="1422" spans="1:4" x14ac:dyDescent="0.2">
      <c r="A1422" s="5">
        <v>1361</v>
      </c>
      <c r="B1422" s="138">
        <f>'Expenditures 15-22'!D245</f>
        <v>588</v>
      </c>
      <c r="D1422" s="2" t="str">
        <f t="shared" si="21"/>
        <v>Error?</v>
      </c>
    </row>
    <row r="1423" spans="1:4" x14ac:dyDescent="0.2">
      <c r="A1423" s="5">
        <v>1362</v>
      </c>
      <c r="B1423" s="138">
        <f>'Expenditures 15-22'!D246</f>
        <v>7524</v>
      </c>
      <c r="D1423" s="2" t="str">
        <f t="shared" si="21"/>
        <v>Error?</v>
      </c>
    </row>
    <row r="1424" spans="1:4" x14ac:dyDescent="0.2">
      <c r="A1424" s="5">
        <v>1363</v>
      </c>
      <c r="B1424" s="138">
        <f>'Expenditures 15-22'!D257</f>
        <v>8112</v>
      </c>
      <c r="C1424" s="2" t="s">
        <v>594</v>
      </c>
      <c r="D1424" s="2" t="str">
        <f t="shared" si="21"/>
        <v>Error?</v>
      </c>
    </row>
    <row r="1425" spans="1:4" x14ac:dyDescent="0.2">
      <c r="A1425" s="5">
        <v>1364</v>
      </c>
      <c r="B1425" s="138">
        <f>'Expenditures 15-22'!D259</f>
        <v>32889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32889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8694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48538</v>
      </c>
      <c r="D1431" s="2" t="str">
        <f t="shared" si="21"/>
        <v>Error?</v>
      </c>
    </row>
    <row r="1432" spans="1:4" x14ac:dyDescent="0.2">
      <c r="A1432" s="5">
        <v>1371</v>
      </c>
      <c r="B1432" s="138">
        <f>'Expenditures 15-22'!D267</f>
        <v>49765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106997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169319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264482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3546</v>
      </c>
      <c r="C1471" s="2" t="s">
        <v>594</v>
      </c>
      <c r="D1471" s="2" t="str">
        <f t="shared" ref="D1471:D1534" si="22">IF(ISBLANK(B1471),"OK",IF(A1471-B1471=0,"OK","Error?"))</f>
        <v>Error?</v>
      </c>
    </row>
    <row r="1472" spans="1:4" x14ac:dyDescent="0.2">
      <c r="A1472" s="5">
        <v>1411</v>
      </c>
      <c r="B1472" s="138">
        <f>'Expenditures 15-22'!K223</f>
        <v>3889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95163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870</v>
      </c>
      <c r="C1476" s="2" t="s">
        <v>594</v>
      </c>
      <c r="D1476" s="2" t="str">
        <f t="shared" si="22"/>
        <v>Error?</v>
      </c>
    </row>
    <row r="1477" spans="1:4" x14ac:dyDescent="0.2">
      <c r="A1477" s="5">
        <v>1416</v>
      </c>
      <c r="B1477" s="138">
        <f>'Expenditures 15-22'!K234</f>
        <v>11019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11889</v>
      </c>
      <c r="C1481" s="2" t="s">
        <v>594</v>
      </c>
      <c r="D1481" s="2" t="str">
        <f t="shared" si="22"/>
        <v>Error?</v>
      </c>
    </row>
    <row r="1482" spans="1:4" x14ac:dyDescent="0.2">
      <c r="A1482" s="5">
        <v>1421</v>
      </c>
      <c r="B1482" s="138">
        <f>'Expenditures 15-22'!K240</f>
        <v>145</v>
      </c>
      <c r="C1482" s="2" t="s">
        <v>594</v>
      </c>
      <c r="D1482" s="2" t="str">
        <f t="shared" si="22"/>
        <v>Error?</v>
      </c>
    </row>
    <row r="1483" spans="1:4" x14ac:dyDescent="0.2">
      <c r="A1483" s="5">
        <v>1422</v>
      </c>
      <c r="B1483" s="138">
        <f>'Expenditures 15-22'!K241</f>
        <v>9277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9422</v>
      </c>
      <c r="C1485" s="2" t="s">
        <v>594</v>
      </c>
      <c r="D1485" s="2" t="str">
        <f t="shared" si="22"/>
        <v>Error?</v>
      </c>
    </row>
    <row r="1486" spans="1:4" x14ac:dyDescent="0.2">
      <c r="A1486" s="5">
        <v>1425</v>
      </c>
      <c r="B1486" s="138">
        <f>'Expenditures 15-22'!K245</f>
        <v>588</v>
      </c>
      <c r="C1486" s="2" t="s">
        <v>594</v>
      </c>
      <c r="D1486" s="2" t="str">
        <f t="shared" si="22"/>
        <v>Error?</v>
      </c>
    </row>
    <row r="1487" spans="1:4" x14ac:dyDescent="0.2">
      <c r="A1487" s="5">
        <v>1426</v>
      </c>
      <c r="B1487" s="138">
        <f>'Expenditures 15-22'!K246</f>
        <v>7524</v>
      </c>
      <c r="C1487" s="2" t="s">
        <v>594</v>
      </c>
      <c r="D1487" s="2" t="str">
        <f t="shared" si="22"/>
        <v>Error?</v>
      </c>
    </row>
    <row r="1488" spans="1:4" x14ac:dyDescent="0.2">
      <c r="A1488" s="5">
        <v>1427</v>
      </c>
      <c r="B1488" s="138">
        <f>'Expenditures 15-22'!K257</f>
        <v>8112</v>
      </c>
      <c r="C1488" s="2" t="s">
        <v>594</v>
      </c>
      <c r="D1488" s="2" t="str">
        <f t="shared" si="22"/>
        <v>Error?</v>
      </c>
    </row>
    <row r="1489" spans="1:4" x14ac:dyDescent="0.2">
      <c r="A1489" s="5">
        <v>1428</v>
      </c>
      <c r="B1489" s="138">
        <f>'Expenditures 15-22'!K259</f>
        <v>32889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32889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8694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48538</v>
      </c>
      <c r="C1495" s="2" t="s">
        <v>594</v>
      </c>
      <c r="D1495" s="2" t="str">
        <f t="shared" si="22"/>
        <v>Error?</v>
      </c>
    </row>
    <row r="1496" spans="1:4" x14ac:dyDescent="0.2">
      <c r="A1496" s="5">
        <v>1435</v>
      </c>
      <c r="B1496" s="138">
        <f>'Expenditures 15-22'!K267</f>
        <v>49765</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106997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10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169319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264482</v>
      </c>
      <c r="C1517" s="2" t="s">
        <v>594</v>
      </c>
      <c r="D1517" s="2" t="str">
        <f t="shared" si="22"/>
        <v>Error?</v>
      </c>
    </row>
    <row r="1518" spans="1:4" x14ac:dyDescent="0.2">
      <c r="A1518" s="5">
        <v>1457</v>
      </c>
      <c r="B1518" s="138">
        <f>'Expenditures 15-22'!K296</f>
        <v>200007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117543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2285166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2619963</v>
      </c>
      <c r="C1630" s="2" t="s">
        <v>594</v>
      </c>
      <c r="D1630" s="2" t="str">
        <f t="shared" si="24"/>
        <v>Error?</v>
      </c>
    </row>
    <row r="1631" spans="1:4" x14ac:dyDescent="0.2">
      <c r="A1631" s="5">
        <v>1570</v>
      </c>
      <c r="B1631" s="138">
        <f>'Acct Summary 7-8'!D79</f>
        <v>417232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503987</v>
      </c>
      <c r="C1644" s="2" t="s">
        <v>594</v>
      </c>
      <c r="D1644" s="2" t="str">
        <f t="shared" si="24"/>
        <v>Error?</v>
      </c>
    </row>
    <row r="1645" spans="1:4" x14ac:dyDescent="0.2">
      <c r="A1645" s="5">
        <v>1584</v>
      </c>
      <c r="B1645" s="138">
        <f>'Acct Summary 7-8'!E79</f>
        <v>156155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204711</v>
      </c>
      <c r="C1658" s="2" t="s">
        <v>594</v>
      </c>
      <c r="D1658" s="2" t="str">
        <f t="shared" si="24"/>
        <v>Error?</v>
      </c>
    </row>
    <row r="1659" spans="1:4" x14ac:dyDescent="0.2">
      <c r="A1659" s="5">
        <v>1598</v>
      </c>
      <c r="B1659" s="138">
        <f>'Acct Summary 7-8'!F79</f>
        <v>433749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579223</v>
      </c>
      <c r="C1672" s="2" t="s">
        <v>594</v>
      </c>
      <c r="D1672" s="2" t="str">
        <f t="shared" si="25"/>
        <v>Error?</v>
      </c>
    </row>
    <row r="1673" spans="1:4" x14ac:dyDescent="0.2">
      <c r="A1673" s="5">
        <v>1612</v>
      </c>
      <c r="B1673" s="138">
        <f>'Acct Summary 7-8'!G79</f>
        <v>474398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674405</v>
      </c>
      <c r="C1686" s="2" t="s">
        <v>594</v>
      </c>
      <c r="D1686" s="2" t="str">
        <f t="shared" si="25"/>
        <v>Error?</v>
      </c>
    </row>
    <row r="1687" spans="1:4" x14ac:dyDescent="0.2">
      <c r="A1687" s="5">
        <v>1626</v>
      </c>
      <c r="B1687" s="138">
        <f>'Acct Summary 7-8'!H79</f>
        <v>-324507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-206964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1960299</v>
      </c>
      <c r="C1744" s="2" t="s">
        <v>594</v>
      </c>
      <c r="D1744" s="2" t="str">
        <f t="shared" si="26"/>
        <v>Error?</v>
      </c>
    </row>
    <row r="1745" spans="1:5" x14ac:dyDescent="0.2">
      <c r="A1745" s="5">
        <v>1684</v>
      </c>
      <c r="B1745" s="138">
        <f>'Tax Sched 23'!B5</f>
        <v>445522</v>
      </c>
      <c r="C1745" s="2" t="s">
        <v>594</v>
      </c>
      <c r="D1745" s="2" t="str">
        <f t="shared" si="26"/>
        <v>Error?</v>
      </c>
    </row>
    <row r="1746" spans="1:5" x14ac:dyDescent="0.2">
      <c r="A1746" s="5">
        <v>1685</v>
      </c>
      <c r="B1746" s="138">
        <f>'Tax Sched 23'!B6</f>
        <v>877931</v>
      </c>
      <c r="C1746" s="2" t="s">
        <v>594</v>
      </c>
      <c r="D1746" s="2" t="str">
        <f t="shared" si="26"/>
        <v>Error?</v>
      </c>
    </row>
    <row r="1747" spans="1:5" x14ac:dyDescent="0.2">
      <c r="A1747" s="5">
        <v>1686</v>
      </c>
      <c r="B1747" s="138">
        <f>'Tax Sched 23'!B7</f>
        <v>178209</v>
      </c>
      <c r="C1747" s="2" t="s">
        <v>594</v>
      </c>
      <c r="D1747" s="2" t="str">
        <f t="shared" si="26"/>
        <v>Error?</v>
      </c>
    </row>
    <row r="1748" spans="1:5" x14ac:dyDescent="0.2">
      <c r="A1748" s="5">
        <v>1687</v>
      </c>
      <c r="B1748" s="138">
        <f>'Tax Sched 23'!B8</f>
        <v>199882</v>
      </c>
      <c r="C1748" s="2" t="s">
        <v>594</v>
      </c>
      <c r="D1748" s="2" t="str">
        <f t="shared" si="26"/>
        <v>Error?</v>
      </c>
    </row>
    <row r="1749" spans="1:5" x14ac:dyDescent="0.2">
      <c r="A1749" s="5">
        <v>1688</v>
      </c>
      <c r="B1749" s="138">
        <f>'Tax Sched 23'!B10</f>
        <v>44553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579596</v>
      </c>
      <c r="C1752" s="2" t="s">
        <v>594</v>
      </c>
      <c r="D1752" s="2" t="str">
        <f t="shared" si="26"/>
        <v>Error?</v>
      </c>
    </row>
    <row r="1753" spans="1:5" x14ac:dyDescent="0.2">
      <c r="A1753" s="5">
        <v>1692</v>
      </c>
      <c r="B1753" s="138">
        <f>'Tax Sched 23'!B12</f>
        <v>44553</v>
      </c>
      <c r="C1753" s="2" t="s">
        <v>594</v>
      </c>
      <c r="D1753" s="2" t="str">
        <f t="shared" si="26"/>
        <v>Error?</v>
      </c>
    </row>
    <row r="1754" spans="1:5" x14ac:dyDescent="0.2">
      <c r="A1754" s="5">
        <v>1693</v>
      </c>
      <c r="B1754" s="138">
        <f>'Tax Sched 23'!B14</f>
        <v>35642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4660612</v>
      </c>
      <c r="C1759" s="2" t="s">
        <v>594</v>
      </c>
      <c r="D1759" s="2" t="str">
        <f t="shared" si="26"/>
        <v>Error?</v>
      </c>
    </row>
    <row r="1760" spans="1:5" x14ac:dyDescent="0.2">
      <c r="A1760" s="5">
        <v>1699</v>
      </c>
      <c r="B1760" s="138">
        <f>'Tax Sched 23'!D4</f>
        <v>1960299</v>
      </c>
      <c r="C1760" s="2" t="s">
        <v>594</v>
      </c>
      <c r="D1760" s="2" t="str">
        <f t="shared" si="26"/>
        <v>Error?</v>
      </c>
    </row>
    <row r="1761" spans="1:5" x14ac:dyDescent="0.2">
      <c r="A1761" s="5">
        <v>1700</v>
      </c>
      <c r="B1761" s="138">
        <f>'Tax Sched 23'!D5</f>
        <v>445522</v>
      </c>
      <c r="C1761" s="2" t="s">
        <v>594</v>
      </c>
      <c r="D1761" s="2" t="str">
        <f t="shared" si="26"/>
        <v>Error?</v>
      </c>
    </row>
    <row r="1762" spans="1:5" s="8" customFormat="1" x14ac:dyDescent="0.2">
      <c r="A1762" s="5">
        <v>1701</v>
      </c>
      <c r="B1762" s="138">
        <f>'Tax Sched 23'!D6</f>
        <v>877931</v>
      </c>
      <c r="C1762" s="2" t="s">
        <v>594</v>
      </c>
      <c r="D1762" s="2" t="str">
        <f t="shared" si="26"/>
        <v>Error?</v>
      </c>
      <c r="E1762" s="9"/>
    </row>
    <row r="1763" spans="1:5" x14ac:dyDescent="0.2">
      <c r="A1763" s="5">
        <v>1702</v>
      </c>
      <c r="B1763" s="138">
        <f>'Tax Sched 23'!D7</f>
        <v>178209</v>
      </c>
      <c r="C1763" s="2" t="s">
        <v>594</v>
      </c>
      <c r="D1763" s="2" t="str">
        <f t="shared" si="26"/>
        <v>Error?</v>
      </c>
    </row>
    <row r="1764" spans="1:5" x14ac:dyDescent="0.2">
      <c r="A1764" s="5">
        <v>1703</v>
      </c>
      <c r="B1764" s="138">
        <f>'Tax Sched 23'!D8</f>
        <v>199882</v>
      </c>
      <c r="C1764" s="2" t="s">
        <v>594</v>
      </c>
      <c r="D1764" s="2" t="str">
        <f t="shared" si="26"/>
        <v>Error?</v>
      </c>
    </row>
    <row r="1765" spans="1:5" x14ac:dyDescent="0.2">
      <c r="A1765" s="5">
        <v>1704</v>
      </c>
      <c r="B1765" s="138">
        <f>'Tax Sched 23'!D10</f>
        <v>44553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579596</v>
      </c>
      <c r="C1768" s="2" t="s">
        <v>594</v>
      </c>
      <c r="D1768" s="2" t="str">
        <f t="shared" si="26"/>
        <v>Error?</v>
      </c>
    </row>
    <row r="1769" spans="1:5" x14ac:dyDescent="0.2">
      <c r="A1769" s="5">
        <v>1708</v>
      </c>
      <c r="B1769" s="138">
        <f>'Tax Sched 23'!D12</f>
        <v>44553</v>
      </c>
      <c r="C1769" s="2" t="s">
        <v>594</v>
      </c>
      <c r="D1769" s="2" t="str">
        <f t="shared" si="26"/>
        <v>Error?</v>
      </c>
    </row>
    <row r="1770" spans="1:5" x14ac:dyDescent="0.2">
      <c r="A1770" s="5">
        <v>1709</v>
      </c>
      <c r="B1770" s="138">
        <f>'Tax Sched 23'!D14</f>
        <v>35642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4660612</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2010004</v>
      </c>
      <c r="C1792" s="2" t="s">
        <v>594</v>
      </c>
      <c r="D1792" s="2" t="str">
        <f t="shared" si="27"/>
        <v>Error?</v>
      </c>
    </row>
    <row r="1793" spans="1:4" x14ac:dyDescent="0.2">
      <c r="A1793" s="5">
        <v>1732</v>
      </c>
      <c r="B1793" s="138">
        <f>'Tax Sched 23'!F5</f>
        <v>466306</v>
      </c>
      <c r="C1793" s="2" t="s">
        <v>594</v>
      </c>
      <c r="D1793" s="2" t="str">
        <f t="shared" si="27"/>
        <v>Error?</v>
      </c>
    </row>
    <row r="1794" spans="1:4" x14ac:dyDescent="0.2">
      <c r="A1794" s="5">
        <v>1733</v>
      </c>
      <c r="B1794" s="138">
        <f>'Tax Sched 23'!F6</f>
        <v>911312</v>
      </c>
      <c r="C1794" s="2" t="s">
        <v>594</v>
      </c>
      <c r="D1794" s="2" t="str">
        <f t="shared" si="27"/>
        <v>Error?</v>
      </c>
    </row>
    <row r="1795" spans="1:4" x14ac:dyDescent="0.2">
      <c r="A1795" s="5">
        <v>1734</v>
      </c>
      <c r="B1795" s="138">
        <f>'Tax Sched 23'!F7</f>
        <v>186523</v>
      </c>
      <c r="C1795" s="2" t="s">
        <v>594</v>
      </c>
      <c r="D1795" s="2" t="str">
        <f t="shared" si="27"/>
        <v>Error?</v>
      </c>
    </row>
    <row r="1796" spans="1:4" x14ac:dyDescent="0.2">
      <c r="A1796" s="5">
        <v>1735</v>
      </c>
      <c r="B1796" s="138">
        <f>'Tax Sched 23'!F8</f>
        <v>100004</v>
      </c>
      <c r="C1796" s="2" t="s">
        <v>594</v>
      </c>
      <c r="D1796" s="2" t="str">
        <f t="shared" si="27"/>
        <v>Error?</v>
      </c>
    </row>
    <row r="1797" spans="1:4" x14ac:dyDescent="0.2">
      <c r="A1797" s="5">
        <v>1736</v>
      </c>
      <c r="B1797" s="138">
        <f>'Tax Sched 23'!F10</f>
        <v>46631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565005</v>
      </c>
      <c r="C1800" s="2" t="s">
        <v>594</v>
      </c>
      <c r="D1800" s="2" t="str">
        <f t="shared" si="27"/>
        <v>Error?</v>
      </c>
    </row>
    <row r="1801" spans="1:4" x14ac:dyDescent="0.2">
      <c r="A1801" s="5">
        <v>1740</v>
      </c>
      <c r="B1801" s="138">
        <f>'Tax Sched 23'!F12</f>
        <v>46631</v>
      </c>
      <c r="C1801" s="2" t="s">
        <v>594</v>
      </c>
      <c r="D1801" s="2" t="str">
        <f t="shared" si="27"/>
        <v>Error?</v>
      </c>
    </row>
    <row r="1802" spans="1:4" x14ac:dyDescent="0.2">
      <c r="A1802" s="5">
        <v>1741</v>
      </c>
      <c r="B1802" s="138">
        <f>'Tax Sched 23'!F14</f>
        <v>37305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4516356</v>
      </c>
      <c r="C1807" s="2" t="s">
        <v>594</v>
      </c>
      <c r="D1807" s="2" t="str">
        <f t="shared" si="27"/>
        <v>Error?</v>
      </c>
    </row>
    <row r="1808" spans="1:4" x14ac:dyDescent="0.2">
      <c r="A1808" s="5">
        <v>1747</v>
      </c>
      <c r="B1808" s="138">
        <f>'Tax Sched 23'!E4</f>
        <v>2010004</v>
      </c>
      <c r="D1808" s="2" t="str">
        <f t="shared" si="27"/>
        <v>Error?</v>
      </c>
    </row>
    <row r="1809" spans="1:4" x14ac:dyDescent="0.2">
      <c r="A1809" s="5">
        <v>1748</v>
      </c>
      <c r="B1809" s="138">
        <f>'Tax Sched 23'!E5</f>
        <v>466306</v>
      </c>
      <c r="D1809" s="2" t="str">
        <f t="shared" si="27"/>
        <v>Error?</v>
      </c>
    </row>
    <row r="1810" spans="1:4" x14ac:dyDescent="0.2">
      <c r="A1810" s="5">
        <v>1749</v>
      </c>
      <c r="B1810" s="138">
        <f>'Tax Sched 23'!E6</f>
        <v>911312</v>
      </c>
      <c r="D1810" s="2" t="str">
        <f t="shared" si="27"/>
        <v>Error?</v>
      </c>
    </row>
    <row r="1811" spans="1:4" x14ac:dyDescent="0.2">
      <c r="A1811" s="5">
        <v>1750</v>
      </c>
      <c r="B1811" s="138">
        <f>'Tax Sched 23'!E7</f>
        <v>186523</v>
      </c>
      <c r="D1811" s="2" t="str">
        <f t="shared" si="27"/>
        <v>Error?</v>
      </c>
    </row>
    <row r="1812" spans="1:4" x14ac:dyDescent="0.2">
      <c r="A1812" s="5">
        <v>1751</v>
      </c>
      <c r="B1812" s="138">
        <f>'Tax Sched 23'!E8</f>
        <v>100004</v>
      </c>
      <c r="D1812" s="2" t="str">
        <f t="shared" si="27"/>
        <v>Error?</v>
      </c>
    </row>
    <row r="1813" spans="1:4" x14ac:dyDescent="0.2">
      <c r="A1813" s="5">
        <v>1752</v>
      </c>
      <c r="B1813" s="138">
        <f>'Tax Sched 23'!E10</f>
        <v>46631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565005</v>
      </c>
      <c r="D1816" s="2" t="str">
        <f t="shared" si="27"/>
        <v>Error?</v>
      </c>
    </row>
    <row r="1817" spans="1:4" x14ac:dyDescent="0.2">
      <c r="A1817" s="5">
        <v>1756</v>
      </c>
      <c r="B1817" s="138">
        <f>'Tax Sched 23'!E12</f>
        <v>46631</v>
      </c>
      <c r="D1817" s="2" t="str">
        <f t="shared" si="27"/>
        <v>Error?</v>
      </c>
    </row>
    <row r="1818" spans="1:4" x14ac:dyDescent="0.2">
      <c r="A1818" s="5">
        <v>1757</v>
      </c>
      <c r="B1818" s="138">
        <f>'Tax Sched 23'!E14</f>
        <v>37305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4516356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2750000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35642</v>
      </c>
      <c r="D1972" s="2" t="str">
        <f t="shared" si="29"/>
        <v>Error?</v>
      </c>
    </row>
    <row r="1973" spans="1:5" x14ac:dyDescent="0.2">
      <c r="A1973" s="5">
        <v>1912</v>
      </c>
      <c r="B1973" s="138">
        <f>'Rest Tax Levies-Tort Im 25'!H6</f>
        <v>1</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35643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35643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121076</v>
      </c>
      <c r="D2008" s="2" t="str">
        <f t="shared" si="30"/>
        <v>Error?</v>
      </c>
    </row>
    <row r="2009" spans="1:4" x14ac:dyDescent="0.2">
      <c r="A2009" s="5">
        <v>1948</v>
      </c>
      <c r="B2009" s="138">
        <f>'Cap Outlay Deprec 26'!C8</f>
        <v>15166982</v>
      </c>
      <c r="D2009" s="2" t="str">
        <f t="shared" si="30"/>
        <v>Error?</v>
      </c>
    </row>
    <row r="2010" spans="1:4" x14ac:dyDescent="0.2">
      <c r="A2010" s="5">
        <v>1949</v>
      </c>
      <c r="B2010" s="138">
        <f>'Cap Outlay Deprec 26'!C10</f>
        <v>1566885</v>
      </c>
      <c r="D2010" s="2" t="str">
        <f t="shared" si="30"/>
        <v>Error?</v>
      </c>
    </row>
    <row r="2011" spans="1:4" x14ac:dyDescent="0.2">
      <c r="A2011" s="5">
        <v>1950</v>
      </c>
      <c r="B2011" s="138">
        <f>'Cap Outlay Deprec 26'!C12</f>
        <v>1152271</v>
      </c>
      <c r="D2011" s="2" t="str">
        <f t="shared" si="30"/>
        <v>Error?</v>
      </c>
    </row>
    <row r="2012" spans="1:4" x14ac:dyDescent="0.2">
      <c r="A2012" s="5">
        <v>1951</v>
      </c>
      <c r="B2012" s="138">
        <f>'Cap Outlay Deprec 26'!C13</f>
        <v>187176</v>
      </c>
      <c r="D2012" s="2" t="str">
        <f t="shared" si="30"/>
        <v>Error?</v>
      </c>
    </row>
    <row r="2013" spans="1:4" x14ac:dyDescent="0.2">
      <c r="A2013" s="5">
        <v>1952</v>
      </c>
      <c r="B2013" s="138">
        <f>'Cap Outlay Deprec 26'!C16</f>
        <v>18194588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57627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75011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105796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105796</v>
      </c>
      <c r="C2025" s="2" t="s">
        <v>594</v>
      </c>
      <c r="D2025" s="2" t="str">
        <f t="shared" si="30"/>
        <v>Error?</v>
      </c>
    </row>
    <row r="2026" spans="1:4" x14ac:dyDescent="0.2">
      <c r="A2026" s="5">
        <v>1965</v>
      </c>
      <c r="B2026" s="138">
        <f>'Cap Outlay Deprec 26'!F5</f>
        <v>121076</v>
      </c>
      <c r="C2026" s="2" t="s">
        <v>594</v>
      </c>
      <c r="D2026" s="2" t="str">
        <f t="shared" si="30"/>
        <v>Error?</v>
      </c>
    </row>
    <row r="2027" spans="1:4" x14ac:dyDescent="0.2">
      <c r="A2027" s="5">
        <v>1966</v>
      </c>
      <c r="B2027" s="138">
        <f>'Cap Outlay Deprec 26'!F8</f>
        <v>15166982</v>
      </c>
      <c r="C2027" s="2" t="s">
        <v>594</v>
      </c>
      <c r="D2027" s="2" t="str">
        <f t="shared" si="30"/>
        <v>Error?</v>
      </c>
    </row>
    <row r="2028" spans="1:4" x14ac:dyDescent="0.2">
      <c r="A2028" s="5">
        <v>1967</v>
      </c>
      <c r="B2028" s="138">
        <f>'Cap Outlay Deprec 26'!F10</f>
        <v>1566885</v>
      </c>
      <c r="C2028" s="2" t="s">
        <v>594</v>
      </c>
      <c r="D2028" s="2" t="str">
        <f t="shared" si="30"/>
        <v>Error?</v>
      </c>
    </row>
    <row r="2029" spans="1:4" x14ac:dyDescent="0.2">
      <c r="A2029" s="5">
        <v>1968</v>
      </c>
      <c r="B2029" s="138">
        <f>'Cap Outlay Deprec 26'!F12</f>
        <v>1104102</v>
      </c>
      <c r="C2029" s="2" t="s">
        <v>594</v>
      </c>
      <c r="D2029" s="2" t="str">
        <f t="shared" si="30"/>
        <v>Error?</v>
      </c>
    </row>
    <row r="2030" spans="1:4" x14ac:dyDescent="0.2">
      <c r="A2030" s="5">
        <v>1969</v>
      </c>
      <c r="B2030" s="138">
        <f>'Cap Outlay Deprec 26'!F13</f>
        <v>187176</v>
      </c>
      <c r="C2030" s="2" t="s">
        <v>594</v>
      </c>
      <c r="D2030" s="2" t="str">
        <f t="shared" si="30"/>
        <v>Error?</v>
      </c>
    </row>
    <row r="2031" spans="1:4" x14ac:dyDescent="0.2">
      <c r="A2031" s="5">
        <v>1970</v>
      </c>
      <c r="B2031" s="138">
        <f>'Cap Outlay Deprec 26'!F16</f>
        <v>18163803</v>
      </c>
      <c r="C2031" s="2" t="s">
        <v>594</v>
      </c>
      <c r="D2031" s="2" t="str">
        <f t="shared" si="30"/>
        <v>Error?</v>
      </c>
    </row>
    <row r="2032" spans="1:4" x14ac:dyDescent="0.2">
      <c r="A2032" s="10">
        <v>1971</v>
      </c>
      <c r="D2032" s="2" t="str">
        <f t="shared" si="30"/>
        <v>OK</v>
      </c>
    </row>
    <row r="2033" spans="1:4" x14ac:dyDescent="0.2">
      <c r="A2033" s="5">
        <v>1972</v>
      </c>
      <c r="B2033" s="138">
        <f>'Cap Outlay Deprec 26'!H8</f>
        <v>7926033</v>
      </c>
      <c r="D2033" s="2" t="str">
        <f t="shared" si="30"/>
        <v>Error?</v>
      </c>
    </row>
    <row r="2034" spans="1:4" x14ac:dyDescent="0.2">
      <c r="A2034" s="5">
        <v>1973</v>
      </c>
      <c r="B2034" s="138">
        <f>'Cap Outlay Deprec 26'!H10</f>
        <v>813850</v>
      </c>
      <c r="D2034" s="2" t="str">
        <f t="shared" si="30"/>
        <v>Error?</v>
      </c>
    </row>
    <row r="2035" spans="1:4" x14ac:dyDescent="0.2">
      <c r="A2035" s="5">
        <v>1974</v>
      </c>
      <c r="B2035" s="138">
        <f>'Cap Outlay Deprec 26'!H12</f>
        <v>614211</v>
      </c>
      <c r="D2035" s="2" t="str">
        <f t="shared" si="30"/>
        <v>Error?</v>
      </c>
    </row>
    <row r="2036" spans="1:4" x14ac:dyDescent="0.2">
      <c r="A2036" s="5">
        <v>1975</v>
      </c>
      <c r="B2036" s="138">
        <f>'Cap Outlay Deprec 26'!H13</f>
        <v>168390</v>
      </c>
      <c r="D2036" s="2" t="str">
        <f t="shared" si="30"/>
        <v>Error?</v>
      </c>
    </row>
    <row r="2037" spans="1:4" x14ac:dyDescent="0.2">
      <c r="A2037" s="5">
        <v>1976</v>
      </c>
      <c r="B2037" s="138">
        <f>'Cap Outlay Deprec 26'!H16</f>
        <v>9522682</v>
      </c>
      <c r="C2037" s="2" t="s">
        <v>594</v>
      </c>
      <c r="D2037" s="2" t="str">
        <f t="shared" si="30"/>
        <v>Error?</v>
      </c>
    </row>
    <row r="2038" spans="1:4" x14ac:dyDescent="0.2">
      <c r="A2038" s="10">
        <v>1977</v>
      </c>
      <c r="D2038" s="2" t="str">
        <f t="shared" si="30"/>
        <v>OK</v>
      </c>
    </row>
    <row r="2039" spans="1:4" x14ac:dyDescent="0.2">
      <c r="A2039" s="5">
        <v>1978</v>
      </c>
      <c r="B2039" s="138">
        <f>'Cap Outlay Deprec 26'!I8</f>
        <v>296440</v>
      </c>
      <c r="D2039" s="2" t="str">
        <f t="shared" si="30"/>
        <v>Error?</v>
      </c>
    </row>
    <row r="2040" spans="1:4" x14ac:dyDescent="0.2">
      <c r="A2040" s="5">
        <v>1979</v>
      </c>
      <c r="B2040" s="138">
        <f>'Cap Outlay Deprec 26'!I10</f>
        <v>77084</v>
      </c>
      <c r="D2040" s="2" t="str">
        <f t="shared" si="30"/>
        <v>Error?</v>
      </c>
    </row>
    <row r="2041" spans="1:4" x14ac:dyDescent="0.2">
      <c r="A2041" s="5">
        <v>1980</v>
      </c>
      <c r="B2041" s="138">
        <f>'Cap Outlay Deprec 26'!I12</f>
        <v>110411</v>
      </c>
      <c r="D2041" s="2" t="str">
        <f t="shared" si="30"/>
        <v>Error?</v>
      </c>
    </row>
    <row r="2042" spans="1:4" x14ac:dyDescent="0.2">
      <c r="A2042" s="5">
        <v>1981</v>
      </c>
      <c r="B2042" s="138">
        <f>'Cap Outlay Deprec 26'!I13</f>
        <v>4697</v>
      </c>
      <c r="D2042" s="2" t="str">
        <f t="shared" si="30"/>
        <v>Error?</v>
      </c>
    </row>
    <row r="2043" spans="1:4" x14ac:dyDescent="0.2">
      <c r="A2043" s="5">
        <v>1982</v>
      </c>
      <c r="B2043" s="138">
        <f>'Cap Outlay Deprec 26'!I16</f>
        <v>494427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105796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105796</v>
      </c>
      <c r="C2049" s="2" t="s">
        <v>594</v>
      </c>
      <c r="D2049" s="2" t="str">
        <f t="shared" si="31"/>
        <v>Error?</v>
      </c>
    </row>
    <row r="2050" spans="1:4" x14ac:dyDescent="0.2">
      <c r="A2050" s="10">
        <v>1989</v>
      </c>
      <c r="D2050" s="2" t="str">
        <f t="shared" si="31"/>
        <v>OK</v>
      </c>
    </row>
    <row r="2051" spans="1:4" x14ac:dyDescent="0.2">
      <c r="A2051" s="5">
        <v>1990</v>
      </c>
      <c r="B2051" s="138">
        <f>'Cap Outlay Deprec 26'!K8</f>
        <v>8222473</v>
      </c>
      <c r="C2051" s="2" t="s">
        <v>594</v>
      </c>
      <c r="D2051" s="2" t="str">
        <f t="shared" si="31"/>
        <v>Error?</v>
      </c>
    </row>
    <row r="2052" spans="1:4" x14ac:dyDescent="0.2">
      <c r="A2052" s="5">
        <v>1991</v>
      </c>
      <c r="B2052" s="138">
        <f>'Cap Outlay Deprec 26'!K10</f>
        <v>890934</v>
      </c>
      <c r="C2052" s="2" t="s">
        <v>594</v>
      </c>
      <c r="D2052" s="2" t="str">
        <f t="shared" si="31"/>
        <v>Error?</v>
      </c>
    </row>
    <row r="2053" spans="1:4" x14ac:dyDescent="0.2">
      <c r="A2053" s="5">
        <v>1992</v>
      </c>
      <c r="B2053" s="138">
        <f>'Cap Outlay Deprec 26'!K12</f>
        <v>618826</v>
      </c>
      <c r="C2053" s="2" t="s">
        <v>594</v>
      </c>
      <c r="D2053" s="2" t="str">
        <f t="shared" si="31"/>
        <v>Error?</v>
      </c>
    </row>
    <row r="2054" spans="1:4" x14ac:dyDescent="0.2">
      <c r="A2054" s="5">
        <v>1993</v>
      </c>
      <c r="B2054" s="138">
        <f>'Cap Outlay Deprec 26'!K13</f>
        <v>173087</v>
      </c>
      <c r="C2054" s="2" t="s">
        <v>594</v>
      </c>
      <c r="D2054" s="2" t="str">
        <f t="shared" si="31"/>
        <v>Error?</v>
      </c>
    </row>
    <row r="2055" spans="1:4" x14ac:dyDescent="0.2">
      <c r="A2055" s="5">
        <v>1994</v>
      </c>
      <c r="B2055" s="138">
        <f>'Cap Outlay Deprec 26'!K16</f>
        <v>9911313</v>
      </c>
      <c r="C2055" s="2" t="s">
        <v>594</v>
      </c>
      <c r="D2055" s="2" t="str">
        <f t="shared" si="31"/>
        <v>Error?</v>
      </c>
    </row>
    <row r="2056" spans="1:4" x14ac:dyDescent="0.2">
      <c r="A2056" s="5">
        <v>1995</v>
      </c>
      <c r="B2056" s="138">
        <f>'Cap Outlay Deprec 26'!L5</f>
        <v>121076</v>
      </c>
      <c r="C2056" s="2" t="s">
        <v>594</v>
      </c>
      <c r="D2056" s="2" t="str">
        <f t="shared" si="31"/>
        <v>Error?</v>
      </c>
    </row>
    <row r="2057" spans="1:4" x14ac:dyDescent="0.2">
      <c r="A2057" s="5">
        <v>1996</v>
      </c>
      <c r="B2057" s="138">
        <f>'Cap Outlay Deprec 26'!L8</f>
        <v>6944509</v>
      </c>
      <c r="C2057" s="2" t="s">
        <v>594</v>
      </c>
      <c r="D2057" s="2" t="str">
        <f t="shared" si="31"/>
        <v>Error?</v>
      </c>
    </row>
    <row r="2058" spans="1:4" x14ac:dyDescent="0.2">
      <c r="A2058" s="5">
        <v>1997</v>
      </c>
      <c r="B2058" s="138">
        <f>'Cap Outlay Deprec 26'!L10</f>
        <v>675951</v>
      </c>
      <c r="C2058" s="2" t="s">
        <v>594</v>
      </c>
      <c r="D2058" s="2" t="str">
        <f t="shared" si="31"/>
        <v>Error?</v>
      </c>
    </row>
    <row r="2059" spans="1:4" x14ac:dyDescent="0.2">
      <c r="A2059" s="5">
        <v>1998</v>
      </c>
      <c r="B2059" s="138">
        <f>'Cap Outlay Deprec 26'!L12</f>
        <v>485276</v>
      </c>
      <c r="C2059" s="2" t="s">
        <v>594</v>
      </c>
      <c r="D2059" s="2" t="str">
        <f t="shared" si="31"/>
        <v>Error?</v>
      </c>
    </row>
    <row r="2060" spans="1:4" x14ac:dyDescent="0.2">
      <c r="A2060" s="5">
        <v>1999</v>
      </c>
      <c r="B2060" s="138">
        <f>'Cap Outlay Deprec 26'!L13</f>
        <v>14089</v>
      </c>
      <c r="C2060" s="2" t="s">
        <v>594</v>
      </c>
      <c r="D2060" s="2" t="str">
        <f t="shared" si="31"/>
        <v>Error?</v>
      </c>
    </row>
    <row r="2061" spans="1:4" x14ac:dyDescent="0.2">
      <c r="A2061" s="5">
        <v>2000</v>
      </c>
      <c r="B2061" s="138">
        <f>'Cap Outlay Deprec 26'!L16</f>
        <v>8252490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153081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9500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17896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392072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115759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2507943</v>
      </c>
      <c r="C2551" s="2" t="s">
        <v>594</v>
      </c>
      <c r="D2551" s="2" t="str">
        <f t="shared" si="38"/>
        <v>Error?</v>
      </c>
    </row>
    <row r="2552" spans="1:4" x14ac:dyDescent="0.2">
      <c r="A2552" s="10">
        <v>2491</v>
      </c>
      <c r="D2552" s="2" t="str">
        <f t="shared" si="38"/>
        <v>OK</v>
      </c>
    </row>
    <row r="2553" spans="1:4" x14ac:dyDescent="0.2">
      <c r="A2553" s="5">
        <v>2492</v>
      </c>
      <c r="B2553" s="138">
        <f>'Acct Summary 7-8'!C6</f>
        <v>4097139</v>
      </c>
      <c r="C2553" s="2" t="s">
        <v>594</v>
      </c>
      <c r="D2553" s="2" t="str">
        <f t="shared" si="38"/>
        <v>Error?</v>
      </c>
    </row>
    <row r="2554" spans="1:4" x14ac:dyDescent="0.2">
      <c r="A2554" s="5">
        <v>2493</v>
      </c>
      <c r="B2554" s="138">
        <f>'Acct Summary 7-8'!C7</f>
        <v>871262</v>
      </c>
      <c r="C2554" s="2" t="s">
        <v>594</v>
      </c>
      <c r="D2554" s="2" t="str">
        <f t="shared" si="38"/>
        <v>Error?</v>
      </c>
    </row>
    <row r="2555" spans="1:4" x14ac:dyDescent="0.2">
      <c r="A2555" s="5">
        <v>2494</v>
      </c>
      <c r="B2555" s="138">
        <f>'Acct Summary 7-8'!C8</f>
        <v>7476344</v>
      </c>
      <c r="C2555" s="2" t="s">
        <v>594</v>
      </c>
      <c r="D2555" s="2" t="str">
        <f t="shared" si="38"/>
        <v>Error?</v>
      </c>
    </row>
    <row r="2556" spans="1:4" x14ac:dyDescent="0.2">
      <c r="A2556" s="5">
        <v>2495</v>
      </c>
      <c r="B2556" s="138">
        <f>'Acct Summary 7-8'!C12</f>
        <v>4908412</v>
      </c>
      <c r="C2556" s="2" t="s">
        <v>594</v>
      </c>
      <c r="D2556" s="2" t="str">
        <f t="shared" si="38"/>
        <v>Error?</v>
      </c>
    </row>
    <row r="2557" spans="1:4" x14ac:dyDescent="0.2">
      <c r="A2557" s="5">
        <v>2496</v>
      </c>
      <c r="B2557" s="138">
        <f>'Acct Summary 7-8'!C13</f>
        <v>2089096</v>
      </c>
      <c r="C2557" s="2" t="s">
        <v>594</v>
      </c>
      <c r="D2557" s="2" t="str">
        <f t="shared" si="38"/>
        <v>Error?</v>
      </c>
    </row>
    <row r="2558" spans="1:4" x14ac:dyDescent="0.2">
      <c r="A2558" s="5">
        <v>2497</v>
      </c>
      <c r="B2558" s="138">
        <f>'Acct Summary 7-8'!C14</f>
        <v>458</v>
      </c>
      <c r="C2558" s="2" t="s">
        <v>594</v>
      </c>
      <c r="D2558" s="2" t="str">
        <f t="shared" si="38"/>
        <v>Error?</v>
      </c>
    </row>
    <row r="2559" spans="1:4" x14ac:dyDescent="0.2">
      <c r="A2559" s="5">
        <v>2498</v>
      </c>
      <c r="B2559" s="138">
        <f>'Acct Summary 7-8'!C15</f>
        <v>153081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7151047</v>
      </c>
      <c r="C2561" s="2" t="s">
        <v>594</v>
      </c>
      <c r="D2561" s="2" t="str">
        <f t="shared" si="39"/>
        <v>Error?</v>
      </c>
    </row>
    <row r="2562" spans="1:4" x14ac:dyDescent="0.2">
      <c r="A2562" s="5">
        <v>2501</v>
      </c>
      <c r="B2562" s="138">
        <f>'Acct Summary 7-8'!C20</f>
        <v>325297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453923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453923</v>
      </c>
      <c r="C2568" s="2" t="s">
        <v>594</v>
      </c>
      <c r="D2568" s="2" t="str">
        <f t="shared" si="39"/>
        <v>Error?</v>
      </c>
    </row>
    <row r="2569" spans="1:4" x14ac:dyDescent="0.2">
      <c r="A2569" s="5">
        <v>2508</v>
      </c>
      <c r="B2569" s="138">
        <f>'Acct Summary 7-8'!D13</f>
        <v>367168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367168</v>
      </c>
      <c r="C2573" s="2" t="s">
        <v>594</v>
      </c>
      <c r="D2573" s="2" t="str">
        <f t="shared" si="39"/>
        <v>Error?</v>
      </c>
    </row>
    <row r="2574" spans="1:4" x14ac:dyDescent="0.2">
      <c r="A2574" s="5">
        <v>2513</v>
      </c>
      <c r="B2574" s="138">
        <f>'Acct Summary 7-8'!D20</f>
        <v>86755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210586</v>
      </c>
      <c r="C2591" s="2" t="s">
        <v>594</v>
      </c>
      <c r="D2591" s="2" t="str">
        <f t="shared" si="39"/>
        <v>Error?</v>
      </c>
    </row>
    <row r="2592" spans="1:4" x14ac:dyDescent="0.2">
      <c r="A2592" s="10">
        <v>2531</v>
      </c>
      <c r="D2592" s="2" t="str">
        <f t="shared" si="39"/>
        <v>OK</v>
      </c>
    </row>
    <row r="2593" spans="1:4" x14ac:dyDescent="0.2">
      <c r="A2593" s="5">
        <v>2532</v>
      </c>
      <c r="B2593" s="138">
        <f>'Acct Summary 7-8'!F6</f>
        <v>596310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806896</v>
      </c>
      <c r="C2595" s="2" t="s">
        <v>594</v>
      </c>
      <c r="D2595" s="2" t="str">
        <f t="shared" si="39"/>
        <v>Error?</v>
      </c>
    </row>
    <row r="2596" spans="1:4" x14ac:dyDescent="0.2">
      <c r="A2596" s="5">
        <v>2535</v>
      </c>
      <c r="B2596" s="138">
        <f>'Acct Summary 7-8'!F13</f>
        <v>661422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661422</v>
      </c>
      <c r="C2600" s="2" t="s">
        <v>594</v>
      </c>
      <c r="D2600" s="2" t="str">
        <f t="shared" si="39"/>
        <v>Error?</v>
      </c>
    </row>
    <row r="2601" spans="1:4" x14ac:dyDescent="0.2">
      <c r="A2601" s="5">
        <v>2540</v>
      </c>
      <c r="B2601" s="138">
        <f>'Acct Summary 7-8'!F20</f>
        <v>145474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464489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464489</v>
      </c>
      <c r="C2606" s="2" t="s">
        <v>594</v>
      </c>
      <c r="D2606" s="2" t="str">
        <f t="shared" si="39"/>
        <v>Error?</v>
      </c>
    </row>
    <row r="2607" spans="1:4" x14ac:dyDescent="0.2">
      <c r="A2607" s="5">
        <v>2546</v>
      </c>
      <c r="B2607" s="138">
        <f>'Acct Summary 7-8'!G12</f>
        <v>95163</v>
      </c>
      <c r="C2607" s="2" t="s">
        <v>594</v>
      </c>
      <c r="D2607" s="2" t="str">
        <f t="shared" si="39"/>
        <v>Error?</v>
      </c>
    </row>
    <row r="2608" spans="1:4" x14ac:dyDescent="0.2">
      <c r="A2608" s="5">
        <v>2547</v>
      </c>
      <c r="B2608" s="138">
        <f>'Acct Summary 7-8'!G13</f>
        <v>169319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264482</v>
      </c>
      <c r="C2612" s="2" t="s">
        <v>594</v>
      </c>
      <c r="D2612" s="2" t="str">
        <f t="shared" si="39"/>
        <v>Error?</v>
      </c>
    </row>
    <row r="2613" spans="1:4" x14ac:dyDescent="0.2">
      <c r="A2613" s="5">
        <v>2552</v>
      </c>
      <c r="B2613" s="138">
        <f>'Acct Summary 7-8'!G20</f>
        <v>200007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1066886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1066886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1018330</v>
      </c>
      <c r="C2634" s="2" t="s">
        <v>594</v>
      </c>
      <c r="D2634" s="2" t="str">
        <f t="shared" si="40"/>
        <v>Error?</v>
      </c>
    </row>
    <row r="2635" spans="1:4" x14ac:dyDescent="0.2">
      <c r="A2635" s="5">
        <v>2574</v>
      </c>
      <c r="B2635" s="138">
        <f>'Acct Summary 7-8'!E17</f>
        <v>1018330</v>
      </c>
      <c r="C2635" s="2" t="s">
        <v>594</v>
      </c>
      <c r="D2635" s="2" t="str">
        <f t="shared" si="40"/>
        <v>Error?</v>
      </c>
    </row>
    <row r="2636" spans="1:4" x14ac:dyDescent="0.2">
      <c r="A2636" s="5">
        <v>2575</v>
      </c>
      <c r="B2636" s="138">
        <f>'Acct Summary 7-8'!E20</f>
        <v>48556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117543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117543</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117543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900000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1304327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200000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249675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1304327</v>
      </c>
      <c r="D2912" s="2" t="str">
        <f t="shared" si="44"/>
        <v>Error?</v>
      </c>
    </row>
    <row r="2913" spans="1:4" x14ac:dyDescent="0.2">
      <c r="A2913" s="5">
        <v>2852</v>
      </c>
      <c r="B2913" s="138">
        <f>'Assets-Liab 5-6'!I41</f>
        <v>1304327</v>
      </c>
      <c r="C2913" s="2" t="s">
        <v>594</v>
      </c>
      <c r="D2913" s="2" t="str">
        <f t="shared" si="44"/>
        <v>Error?</v>
      </c>
    </row>
    <row r="2914" spans="1:4" x14ac:dyDescent="0.2">
      <c r="A2914" s="5">
        <v>2853</v>
      </c>
      <c r="B2914" s="138">
        <f>'Assets-Liab 5-6'!L33</f>
        <v>228197</v>
      </c>
      <c r="D2914" s="2" t="str">
        <f t="shared" si="44"/>
        <v>Error?</v>
      </c>
    </row>
    <row r="2915" spans="1:4" x14ac:dyDescent="0.2">
      <c r="A2915" s="10">
        <v>2854</v>
      </c>
      <c r="D2915" s="2" t="str">
        <f t="shared" si="44"/>
        <v>OK</v>
      </c>
    </row>
    <row r="2916" spans="1:4" x14ac:dyDescent="0.2">
      <c r="A2916" s="5">
        <v>2855</v>
      </c>
      <c r="B2916" s="138">
        <f>'Assets-Liab 5-6'!L34</f>
        <v>228197</v>
      </c>
      <c r="C2916" s="2" t="s">
        <v>594</v>
      </c>
      <c r="D2916" s="2" t="str">
        <f t="shared" si="44"/>
        <v>Error?</v>
      </c>
    </row>
    <row r="2917" spans="1:4" x14ac:dyDescent="0.2">
      <c r="A2917" s="5">
        <v>2856</v>
      </c>
      <c r="B2917" s="138">
        <f>'Assets-Liab 5-6'!L41</f>
        <v>249675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65671</v>
      </c>
      <c r="D3055" s="2" t="str">
        <f t="shared" si="46"/>
        <v>Error?</v>
      </c>
    </row>
    <row r="3056" spans="1:4" x14ac:dyDescent="0.2">
      <c r="A3056" s="5">
        <v>2995</v>
      </c>
      <c r="B3056" s="138">
        <f>'Expenditures 15-22'!D10</f>
        <v>10324</v>
      </c>
      <c r="D3056" s="2" t="str">
        <f t="shared" si="46"/>
        <v>Error?</v>
      </c>
    </row>
    <row r="3057" spans="1:4" x14ac:dyDescent="0.2">
      <c r="A3057" s="5">
        <v>2996</v>
      </c>
      <c r="B3057" s="138">
        <f>'Expenditures 15-22'!E10</f>
        <v>7641</v>
      </c>
      <c r="D3057" s="2" t="str">
        <f t="shared" si="46"/>
        <v>Error?</v>
      </c>
    </row>
    <row r="3058" spans="1:4" x14ac:dyDescent="0.2">
      <c r="A3058" s="5">
        <v>2997</v>
      </c>
      <c r="B3058" s="138">
        <f>'Expenditures 15-22'!F10</f>
        <v>1602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85238</v>
      </c>
      <c r="C3062" s="2" t="s">
        <v>594</v>
      </c>
      <c r="D3062" s="2" t="str">
        <f t="shared" si="46"/>
        <v>Error?</v>
      </c>
    </row>
    <row r="3063" spans="1:4" x14ac:dyDescent="0.2">
      <c r="A3063" s="10">
        <v>3002</v>
      </c>
      <c r="D3063" s="2" t="str">
        <f t="shared" si="46"/>
        <v>OK</v>
      </c>
    </row>
    <row r="3064" spans="1:4" x14ac:dyDescent="0.2">
      <c r="A3064" s="5">
        <v>3003</v>
      </c>
      <c r="B3064" s="138">
        <f>'Expenditures 15-22'!D219</f>
        <v>9816</v>
      </c>
      <c r="D3064" s="2" t="str">
        <f t="shared" si="46"/>
        <v>Error?</v>
      </c>
    </row>
    <row r="3065" spans="1:4" x14ac:dyDescent="0.2">
      <c r="A3065" s="5">
        <v>3004</v>
      </c>
      <c r="B3065" s="138">
        <f>'Expenditures 15-22'!K219</f>
        <v>9816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21478</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54527</v>
      </c>
      <c r="C3225" s="2" t="s">
        <v>594</v>
      </c>
      <c r="D3225" s="2" t="str">
        <f t="shared" si="49"/>
        <v>Error?</v>
      </c>
    </row>
    <row r="3226" spans="1:4" x14ac:dyDescent="0.2">
      <c r="A3226" s="5">
        <v>3165</v>
      </c>
      <c r="B3226" s="138">
        <f>'Acct Summary 7-8'!I8</f>
        <v>54527</v>
      </c>
      <c r="C3226" s="2" t="s">
        <v>594</v>
      </c>
      <c r="D3226" s="2" t="str">
        <f t="shared" si="49"/>
        <v>Error?</v>
      </c>
    </row>
    <row r="3227" spans="1:4" x14ac:dyDescent="0.2">
      <c r="A3227" s="5">
        <v>3166</v>
      </c>
      <c r="B3227" s="138">
        <f>'Acct Summary 7-8'!I20</f>
        <v>54527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9500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9500</v>
      </c>
      <c r="C3232" s="2" t="s">
        <v>594</v>
      </c>
      <c r="D3232" s="2" t="str">
        <f t="shared" si="49"/>
        <v>Error?</v>
      </c>
    </row>
    <row r="3233" spans="1:4" x14ac:dyDescent="0.2">
      <c r="A3233" s="5">
        <v>3172</v>
      </c>
      <c r="B3233" s="138">
        <f>'Acct Summary 7-8'!C78</f>
        <v>334797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86755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145474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200007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48556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117543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9500</v>
      </c>
      <c r="C3318" s="2" t="s">
        <v>594</v>
      </c>
      <c r="D3318" s="2" t="str">
        <f t="shared" si="50"/>
        <v>Error?</v>
      </c>
    </row>
    <row r="3319" spans="1:4" x14ac:dyDescent="0.2">
      <c r="A3319" s="5">
        <v>3258</v>
      </c>
      <c r="B3319" s="138">
        <f>'Acct Summary 7-8'!I77</f>
        <v>-9500</v>
      </c>
      <c r="C3319" s="2" t="s">
        <v>594</v>
      </c>
      <c r="D3319" s="2" t="str">
        <f t="shared" si="50"/>
        <v>Error?</v>
      </c>
    </row>
    <row r="3320" spans="1:4" x14ac:dyDescent="0.2">
      <c r="A3320" s="5">
        <v>3259</v>
      </c>
      <c r="B3320" s="138">
        <f>'Acct Summary 7-8'!I78</f>
        <v>45027</v>
      </c>
      <c r="C3320" s="2" t="s">
        <v>594</v>
      </c>
      <c r="D3320" s="2" t="str">
        <f t="shared" si="50"/>
        <v>Error?</v>
      </c>
    </row>
    <row r="3321" spans="1:4" x14ac:dyDescent="0.2">
      <c r="A3321" s="5">
        <v>3260</v>
      </c>
      <c r="B3321" s="138">
        <f>'Acct Summary 7-8'!I79</f>
        <v>1259300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1304327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811465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260433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30813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4387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1107098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42857</v>
      </c>
      <c r="D3387" s="2" t="str">
        <f t="shared" si="51"/>
        <v>Error?</v>
      </c>
    </row>
    <row r="3388" spans="1:4" x14ac:dyDescent="0.2">
      <c r="A3388" s="5">
        <v>3327</v>
      </c>
      <c r="B3388" s="138">
        <f>'Expenditures 15-22'!D217</f>
        <v>31376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42857</v>
      </c>
      <c r="C3390" s="2" t="s">
        <v>594</v>
      </c>
      <c r="D3390" s="2" t="str">
        <f t="shared" si="51"/>
        <v>Error?</v>
      </c>
    </row>
    <row r="3391" spans="1:4" x14ac:dyDescent="0.2">
      <c r="A3391" s="5">
        <v>3330</v>
      </c>
      <c r="B3391" s="138">
        <f>'Expenditures 15-22'!K217</f>
        <v>31376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1471518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203987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91542</v>
      </c>
      <c r="D3417" s="2" t="str">
        <f t="shared" si="52"/>
        <v>Error?</v>
      </c>
    </row>
    <row r="3418" spans="1:4" x14ac:dyDescent="0.2">
      <c r="A3418" s="10">
        <v>3357</v>
      </c>
      <c r="D3418" s="2" t="str">
        <f t="shared" si="52"/>
        <v>OK</v>
      </c>
    </row>
    <row r="3419" spans="1:4" x14ac:dyDescent="0.2">
      <c r="A3419" s="5">
        <v>3358</v>
      </c>
      <c r="B3419" s="138">
        <f>'Assets-Liab 5-6'!F4</f>
        <v>579249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52561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48036</v>
      </c>
      <c r="D3425" s="2" t="str">
        <f t="shared" si="52"/>
        <v>Error?</v>
      </c>
    </row>
    <row r="3426" spans="1:4" x14ac:dyDescent="0.2">
      <c r="A3426" s="10">
        <v>3365</v>
      </c>
      <c r="D3426" s="2" t="str">
        <f t="shared" si="52"/>
        <v>OK</v>
      </c>
    </row>
    <row r="3427" spans="1:4" x14ac:dyDescent="0.2">
      <c r="A3427" s="5">
        <v>3366</v>
      </c>
      <c r="B3427" s="138">
        <f>'Assets-Liab 5-6'!I4</f>
        <v>149327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49675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249875</v>
      </c>
      <c r="C3446" s="2" t="s">
        <v>594</v>
      </c>
      <c r="D3446" s="2" t="str">
        <f t="shared" si="52"/>
        <v>Error?</v>
      </c>
    </row>
    <row r="3447" spans="1:4" x14ac:dyDescent="0.2">
      <c r="A3447" s="5">
        <v>3386</v>
      </c>
      <c r="B3447" s="138">
        <f>'Tax Sched 23'!D16</f>
        <v>249875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100004</v>
      </c>
      <c r="C3449" s="2" t="s">
        <v>594</v>
      </c>
      <c r="D3449" s="2" t="str">
        <f t="shared" si="52"/>
        <v>Error?</v>
      </c>
    </row>
    <row r="3450" spans="1:4" x14ac:dyDescent="0.2">
      <c r="A3450" s="5">
        <v>3389</v>
      </c>
      <c r="B3450" s="138">
        <f>'Tax Sched 23'!E16</f>
        <v>100004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5297</v>
      </c>
      <c r="D3484" s="2" t="str">
        <f t="shared" si="53"/>
        <v>Error?</v>
      </c>
    </row>
    <row r="3485" spans="1:4" x14ac:dyDescent="0.2">
      <c r="A3485" s="5">
        <v>3424</v>
      </c>
      <c r="B3485" s="138">
        <f>'Expenditures 15-22'!F125</f>
        <v>1457</v>
      </c>
      <c r="D3485" s="2" t="str">
        <f t="shared" si="53"/>
        <v>Error?</v>
      </c>
    </row>
    <row r="3486" spans="1:4" x14ac:dyDescent="0.2">
      <c r="A3486" s="5">
        <v>3425</v>
      </c>
      <c r="B3486" s="138">
        <f>'Expenditures 15-22'!G125</f>
        <v>880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7634</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39199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50000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89199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89199</v>
      </c>
      <c r="D3567" s="2" t="str">
        <f t="shared" si="54"/>
        <v>Error?</v>
      </c>
    </row>
    <row r="3568" spans="1:4" x14ac:dyDescent="0.2">
      <c r="A3568" s="5">
        <v>3507</v>
      </c>
      <c r="B3568" s="138">
        <f>'Assets-Liab 5-6'!K41</f>
        <v>89199</v>
      </c>
      <c r="C3568" s="2" t="s">
        <v>594</v>
      </c>
      <c r="D3568" s="2" t="str">
        <f t="shared" si="54"/>
        <v>Error?</v>
      </c>
    </row>
    <row r="3569" spans="1:4" x14ac:dyDescent="0.2">
      <c r="A3569" s="5">
        <v>3508</v>
      </c>
      <c r="B3569" s="138">
        <f>'Acct Summary 7-8'!K4</f>
        <v>45596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45596</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45596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45596</v>
      </c>
      <c r="C3588" s="2" t="s">
        <v>594</v>
      </c>
      <c r="D3588" s="2" t="str">
        <f t="shared" si="55"/>
        <v>Error?</v>
      </c>
    </row>
    <row r="3589" spans="1:4" x14ac:dyDescent="0.2">
      <c r="A3589" s="5">
        <v>3528</v>
      </c>
      <c r="B3589" s="138">
        <f>'Acct Summary 7-8'!K79</f>
        <v>43603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89199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45596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44550</v>
      </c>
      <c r="C3725" s="2" t="s">
        <v>594</v>
      </c>
      <c r="D3725" s="2" t="str">
        <f t="shared" si="57"/>
        <v>Error?</v>
      </c>
    </row>
    <row r="3726" spans="1:4" x14ac:dyDescent="0.2">
      <c r="A3726" s="5">
        <v>3665</v>
      </c>
      <c r="B3726" s="138">
        <f>'Tax Sched 23'!D13</f>
        <v>44550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46631</v>
      </c>
      <c r="C3728" s="2" t="s">
        <v>594</v>
      </c>
      <c r="D3728" s="2" t="str">
        <f t="shared" si="57"/>
        <v>Error?</v>
      </c>
    </row>
    <row r="3729" spans="1:4" x14ac:dyDescent="0.2">
      <c r="A3729" s="5">
        <v>3668</v>
      </c>
      <c r="B3729" s="138">
        <f>'Tax Sched 23'!E13</f>
        <v>46631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3225651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10701995</v>
      </c>
      <c r="C4122" s="2" t="s">
        <v>594</v>
      </c>
      <c r="D4122" s="2" t="str">
        <f t="shared" si="63"/>
        <v>Error?</v>
      </c>
    </row>
    <row r="4123" spans="1:4" x14ac:dyDescent="0.2">
      <c r="A4123" s="5">
        <v>4062</v>
      </c>
      <c r="B4123" s="138">
        <f>'Acct Summary 7-8'!D10</f>
        <v>453923</v>
      </c>
      <c r="C4123" s="2" t="s">
        <v>594</v>
      </c>
      <c r="D4123" s="2" t="str">
        <f t="shared" si="63"/>
        <v>Error?</v>
      </c>
    </row>
    <row r="4124" spans="1:4" x14ac:dyDescent="0.2">
      <c r="A4124" s="5">
        <v>4063</v>
      </c>
      <c r="B4124" s="138">
        <f>'Acct Summary 7-8'!E10</f>
        <v>1066886</v>
      </c>
      <c r="C4124" s="2" t="s">
        <v>594</v>
      </c>
      <c r="D4124" s="2" t="str">
        <f t="shared" si="63"/>
        <v>Error?</v>
      </c>
    </row>
    <row r="4125" spans="1:4" x14ac:dyDescent="0.2">
      <c r="A4125" s="5">
        <v>4064</v>
      </c>
      <c r="B4125" s="138">
        <f>'Acct Summary 7-8'!F10</f>
        <v>806896</v>
      </c>
      <c r="C4125" s="2" t="s">
        <v>594</v>
      </c>
      <c r="D4125" s="2" t="str">
        <f t="shared" si="63"/>
        <v>Error?</v>
      </c>
    </row>
    <row r="4126" spans="1:4" x14ac:dyDescent="0.2">
      <c r="A4126" s="5">
        <v>4065</v>
      </c>
      <c r="B4126" s="138">
        <f>'Acct Summary 7-8'!G10</f>
        <v>464489</v>
      </c>
      <c r="C4126" s="2" t="s">
        <v>594</v>
      </c>
      <c r="D4126" s="2" t="str">
        <f t="shared" si="63"/>
        <v>Error?</v>
      </c>
    </row>
    <row r="4127" spans="1:4" x14ac:dyDescent="0.2">
      <c r="A4127" s="5">
        <v>4066</v>
      </c>
      <c r="B4127" s="138">
        <f>'Acct Summary 7-8'!H10</f>
        <v>117543</v>
      </c>
      <c r="C4127" s="2" t="s">
        <v>594</v>
      </c>
      <c r="D4127" s="2" t="str">
        <f t="shared" si="63"/>
        <v>Error?</v>
      </c>
    </row>
    <row r="4128" spans="1:4" x14ac:dyDescent="0.2">
      <c r="A4128" s="5">
        <v>4067</v>
      </c>
      <c r="B4128" s="138">
        <f>'Acct Summary 7-8'!I10</f>
        <v>54527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45596</v>
      </c>
      <c r="C4130" s="2" t="s">
        <v>594</v>
      </c>
      <c r="D4130" s="2" t="str">
        <f t="shared" si="63"/>
        <v>Error?</v>
      </c>
    </row>
    <row r="4131" spans="1:4" x14ac:dyDescent="0.2">
      <c r="A4131" s="5">
        <v>4070</v>
      </c>
      <c r="B4131" s="138">
        <f>'Acct Summary 7-8'!C18</f>
        <v>3225651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10376698</v>
      </c>
      <c r="C4136" s="2" t="s">
        <v>594</v>
      </c>
      <c r="D4136" s="2" t="str">
        <f t="shared" si="63"/>
        <v>Error?</v>
      </c>
    </row>
    <row r="4137" spans="1:4" x14ac:dyDescent="0.2">
      <c r="A4137" s="5">
        <v>4076</v>
      </c>
      <c r="B4137" s="138">
        <f>'Acct Summary 7-8'!D19</f>
        <v>367168</v>
      </c>
      <c r="C4137" s="2" t="s">
        <v>594</v>
      </c>
      <c r="D4137" s="2" t="str">
        <f t="shared" si="63"/>
        <v>Error?</v>
      </c>
    </row>
    <row r="4138" spans="1:4" x14ac:dyDescent="0.2">
      <c r="A4138" s="5">
        <v>4077</v>
      </c>
      <c r="B4138" s="138">
        <f>'Acct Summary 7-8'!E19</f>
        <v>1018330</v>
      </c>
      <c r="C4138" s="2" t="s">
        <v>594</v>
      </c>
      <c r="D4138" s="2" t="str">
        <f t="shared" si="63"/>
        <v>Error?</v>
      </c>
    </row>
    <row r="4139" spans="1:4" x14ac:dyDescent="0.2">
      <c r="A4139" s="5">
        <v>4078</v>
      </c>
      <c r="B4139" s="138">
        <f>'Acct Summary 7-8'!F19</f>
        <v>661422</v>
      </c>
      <c r="C4139" s="2" t="s">
        <v>594</v>
      </c>
      <c r="D4139" s="2" t="str">
        <f t="shared" si="63"/>
        <v>Error?</v>
      </c>
    </row>
    <row r="4140" spans="1:4" x14ac:dyDescent="0.2">
      <c r="A4140" s="5">
        <v>4079</v>
      </c>
      <c r="B4140" s="138">
        <f>'Acct Summary 7-8'!G19</f>
        <v>264482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1825000</v>
      </c>
      <c r="C4171" s="2" t="s">
        <v>594</v>
      </c>
      <c r="D4171" s="2" t="str">
        <f t="shared" si="64"/>
        <v>Error?</v>
      </c>
    </row>
    <row r="4172" spans="1:4" x14ac:dyDescent="0.2">
      <c r="A4172" s="5">
        <v>4111</v>
      </c>
      <c r="B4172" s="138">
        <f>'Short-Term Long-Term Debt 24'!J49</f>
        <v>1620289</v>
      </c>
      <c r="C4172" s="2" t="s">
        <v>594</v>
      </c>
      <c r="D4172" s="2" t="str">
        <f t="shared" si="64"/>
        <v>Error?</v>
      </c>
    </row>
    <row r="4173" spans="1:4" x14ac:dyDescent="0.2">
      <c r="A4173" s="5">
        <v>4112</v>
      </c>
      <c r="B4173" s="138">
        <f>'Short-Term Long-Term Debt 24'!H49</f>
        <v>925000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2155.2399999999998</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2855</v>
      </c>
      <c r="C4268" s="2" t="s">
        <v>594</v>
      </c>
      <c r="D4268" s="2" t="str">
        <f t="shared" si="65"/>
        <v>Error?</v>
      </c>
    </row>
    <row r="4269" spans="1:5" x14ac:dyDescent="0.2">
      <c r="A4269" s="12">
        <v>4208</v>
      </c>
      <c r="B4269" s="138">
        <f>'FP Info 3'!J16</f>
        <v>5007500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22142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68334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39588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50200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93261258</v>
      </c>
      <c r="D4995" s="2" t="str">
        <f t="shared" si="77"/>
        <v>Error?</v>
      </c>
    </row>
    <row r="4996" spans="1:4" x14ac:dyDescent="0.2">
      <c r="A4996" s="12">
        <v>4935</v>
      </c>
      <c r="B4996" s="138">
        <f>'FP Info 3'!H31</f>
        <v>12870053.604</v>
      </c>
      <c r="D4996" s="2" t="str">
        <f t="shared" si="77"/>
        <v>Error?</v>
      </c>
    </row>
    <row r="4997" spans="1:4" x14ac:dyDescent="0.2">
      <c r="A4997" s="12">
        <v>4936</v>
      </c>
      <c r="B4997" s="138">
        <f>'FP Info 3'!H37</f>
        <v>1825000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44550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1960299</v>
      </c>
      <c r="D5061" s="2" t="str">
        <f t="shared" si="78"/>
        <v>Error?</v>
      </c>
    </row>
    <row r="5062" spans="1:4" x14ac:dyDescent="0.2">
      <c r="A5062" s="10">
        <v>5001</v>
      </c>
      <c r="D5062" s="2" t="str">
        <f t="shared" si="78"/>
        <v>OK</v>
      </c>
    </row>
    <row r="5063" spans="1:4" x14ac:dyDescent="0.2">
      <c r="A5063" s="5">
        <v>5002</v>
      </c>
      <c r="B5063" s="138">
        <f>'Revenues 9-14'!C7</f>
        <v>35642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2040491</v>
      </c>
      <c r="C5066" s="2" t="s">
        <v>594</v>
      </c>
      <c r="D5066" s="2" t="str">
        <f t="shared" si="78"/>
        <v>Error?</v>
      </c>
    </row>
    <row r="5067" spans="1:4" x14ac:dyDescent="0.2">
      <c r="A5067" s="5">
        <v>5006</v>
      </c>
      <c r="B5067" s="138">
        <f>'Revenues 9-14'!C14</f>
        <v>1231</v>
      </c>
      <c r="D5067" s="2" t="str">
        <f t="shared" si="78"/>
        <v>Error?</v>
      </c>
    </row>
    <row r="5068" spans="1:4" x14ac:dyDescent="0.2">
      <c r="A5068" s="5">
        <v>5007</v>
      </c>
      <c r="B5068" s="138">
        <f>'Revenues 9-14'!C15</f>
        <v>2267</v>
      </c>
      <c r="D5068" s="2" t="str">
        <f t="shared" si="78"/>
        <v>Error?</v>
      </c>
    </row>
    <row r="5069" spans="1:4" x14ac:dyDescent="0.2">
      <c r="A5069" s="5">
        <v>5008</v>
      </c>
      <c r="B5069" s="138">
        <f>'Revenues 9-14'!C16</f>
        <v>150845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154343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33932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33932</v>
      </c>
      <c r="C5090" s="2" t="s">
        <v>594</v>
      </c>
      <c r="D5090" s="2" t="str">
        <f t="shared" si="78"/>
        <v>Error?</v>
      </c>
    </row>
    <row r="5091" spans="1:4" x14ac:dyDescent="0.2">
      <c r="A5091" s="5">
        <v>5030</v>
      </c>
      <c r="B5091" s="138">
        <f>'Revenues 9-14'!C70</f>
        <v>1528</v>
      </c>
      <c r="D5091" s="2" t="str">
        <f t="shared" si="78"/>
        <v>Error?</v>
      </c>
    </row>
    <row r="5092" spans="1:4" x14ac:dyDescent="0.2">
      <c r="A5092" s="5">
        <v>5031</v>
      </c>
      <c r="B5092" s="138">
        <f>'Revenues 9-14'!C71</f>
        <v>16902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2317</v>
      </c>
      <c r="D5094" s="2" t="str">
        <f t="shared" si="78"/>
        <v>Error?</v>
      </c>
    </row>
    <row r="5095" spans="1:4" x14ac:dyDescent="0.2">
      <c r="A5095" s="5">
        <v>5034</v>
      </c>
      <c r="B5095" s="138">
        <f>'Revenues 9-14'!C74</f>
        <v>8337</v>
      </c>
      <c r="D5095" s="2" t="str">
        <f t="shared" si="78"/>
        <v>Error?</v>
      </c>
    </row>
    <row r="5096" spans="1:4" x14ac:dyDescent="0.2">
      <c r="A5096" s="5">
        <v>5035</v>
      </c>
      <c r="B5096" s="138">
        <f>'Revenues 9-14'!C75</f>
        <v>45186</v>
      </c>
      <c r="C5096" s="2" t="s">
        <v>594</v>
      </c>
      <c r="D5096" s="2" t="str">
        <f t="shared" si="78"/>
        <v>Error?</v>
      </c>
    </row>
    <row r="5097" spans="1:4" x14ac:dyDescent="0.2">
      <c r="A5097" s="5">
        <v>5036</v>
      </c>
      <c r="B5097" s="138">
        <f>'Revenues 9-14'!C77</f>
        <v>14264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13416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27680</v>
      </c>
      <c r="C5102" s="2" t="s">
        <v>594</v>
      </c>
      <c r="D5102" s="2" t="str">
        <f t="shared" si="78"/>
        <v>Error?</v>
      </c>
    </row>
    <row r="5103" spans="1:4" x14ac:dyDescent="0.2">
      <c r="A5103" s="5">
        <v>5042</v>
      </c>
      <c r="B5103" s="138">
        <f>'Revenues 9-14'!C84</f>
        <v>41781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41781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82515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46234</v>
      </c>
      <c r="D5119" s="2" t="str">
        <f t="shared" ref="D5119:D5182" si="79">IF(ISBLANK(B5119),"OK",IF(A5119-B5119=0,"OK","Error?"))</f>
        <v>Error?</v>
      </c>
    </row>
    <row r="5120" spans="1:4" x14ac:dyDescent="0.2">
      <c r="A5120" s="5">
        <v>5059</v>
      </c>
      <c r="B5120" s="138">
        <f>'Revenues 9-14'!C108</f>
        <v>164530</v>
      </c>
      <c r="C5120" s="2" t="s">
        <v>594</v>
      </c>
      <c r="D5120" s="2" t="str">
        <f t="shared" si="79"/>
        <v>Error?</v>
      </c>
    </row>
    <row r="5121" spans="1:4" x14ac:dyDescent="0.2">
      <c r="A5121" s="5">
        <v>5060</v>
      </c>
      <c r="B5121" s="138">
        <f>'Revenues 9-14'!C109</f>
        <v>2507943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3801176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3801176</v>
      </c>
      <c r="C5132" s="2" t="s">
        <v>594</v>
      </c>
      <c r="D5132" s="2" t="str">
        <f t="shared" si="79"/>
        <v>Error?</v>
      </c>
    </row>
    <row r="5133" spans="1:4" x14ac:dyDescent="0.2">
      <c r="A5133" s="5">
        <v>5072</v>
      </c>
      <c r="B5133" s="138">
        <f>'Revenues 9-14'!C124</f>
        <v>66303</v>
      </c>
      <c r="D5133" s="2" t="str">
        <f t="shared" si="79"/>
        <v>Error?</v>
      </c>
    </row>
    <row r="5134" spans="1:4" x14ac:dyDescent="0.2">
      <c r="A5134" s="5">
        <v>5073</v>
      </c>
      <c r="B5134" s="138">
        <f>'Revenues 9-14'!C125</f>
        <v>65260</v>
      </c>
      <c r="D5134" s="2" t="str">
        <f t="shared" si="79"/>
        <v>Error?</v>
      </c>
    </row>
    <row r="5135" spans="1:4" x14ac:dyDescent="0.2">
      <c r="A5135" s="5">
        <v>5074</v>
      </c>
      <c r="B5135" s="138">
        <f>'Revenues 9-14'!C126</f>
        <v>74904</v>
      </c>
      <c r="D5135" s="2" t="str">
        <f t="shared" si="79"/>
        <v>Error?</v>
      </c>
    </row>
    <row r="5136" spans="1:4" x14ac:dyDescent="0.2">
      <c r="A5136" s="10">
        <v>5075</v>
      </c>
      <c r="D5136" s="2" t="str">
        <f t="shared" si="79"/>
        <v>OK</v>
      </c>
    </row>
    <row r="5137" spans="1:4" x14ac:dyDescent="0.2">
      <c r="A5137" s="5">
        <v>5076</v>
      </c>
      <c r="B5137" s="138">
        <f>'Revenues 9-14'!C127</f>
        <v>29270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3776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239513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26251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35190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7547</v>
      </c>
      <c r="D5167" s="2" t="str">
        <f t="shared" si="79"/>
        <v>Error?</v>
      </c>
    </row>
    <row r="5168" spans="1:4" x14ac:dyDescent="0.2">
      <c r="A5168" s="5">
        <v>5107</v>
      </c>
      <c r="B5168" s="138">
        <f>'Revenues 9-14'!C147</f>
        <v>12213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295963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4097139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290301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137326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427627</v>
      </c>
      <c r="C5246" s="2" t="s">
        <v>594</v>
      </c>
      <c r="D5246" s="2" t="str">
        <f t="shared" si="80"/>
        <v>Error?</v>
      </c>
    </row>
    <row r="5247" spans="1:4" x14ac:dyDescent="0.2">
      <c r="A5247" s="5">
        <v>5186</v>
      </c>
      <c r="B5247" s="138">
        <f>'Revenues 9-14'!C203</f>
        <v>143709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143709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12744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106918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119662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871262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871262</v>
      </c>
      <c r="C5326" s="2" t="s">
        <v>594</v>
      </c>
      <c r="D5326" s="2" t="str">
        <f t="shared" si="82"/>
        <v>Error?</v>
      </c>
    </row>
    <row r="5327" spans="1:4" x14ac:dyDescent="0.2">
      <c r="A5327" s="5">
        <v>5266</v>
      </c>
      <c r="B5327" s="138">
        <f>'Revenues 9-14'!C275</f>
        <v>7476344</v>
      </c>
      <c r="C5327" s="2" t="s">
        <v>594</v>
      </c>
      <c r="D5327" s="2" t="str">
        <f t="shared" si="82"/>
        <v>Error?</v>
      </c>
    </row>
    <row r="5328" spans="1:4" x14ac:dyDescent="0.2">
      <c r="A5328" s="5">
        <v>5267</v>
      </c>
      <c r="B5328" s="138">
        <f>'Revenues 9-14'!D5</f>
        <v>445522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445522</v>
      </c>
      <c r="C5334" s="2" t="s">
        <v>594</v>
      </c>
      <c r="D5334" s="2" t="str">
        <f t="shared" si="82"/>
        <v>Error?</v>
      </c>
    </row>
    <row r="5335" spans="1:4" x14ac:dyDescent="0.2">
      <c r="A5335" s="5">
        <v>5274</v>
      </c>
      <c r="B5335" s="138">
        <f>'Revenues 9-14'!D14</f>
        <v>269</v>
      </c>
      <c r="D5335" s="2" t="str">
        <f t="shared" si="82"/>
        <v>Error?</v>
      </c>
    </row>
    <row r="5336" spans="1:4" x14ac:dyDescent="0.2">
      <c r="A5336" s="5">
        <v>5275</v>
      </c>
      <c r="B5336" s="138">
        <f>'Revenues 9-14'!D15</f>
        <v>497</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766</v>
      </c>
      <c r="C5339" s="2" t="s">
        <v>594</v>
      </c>
      <c r="D5339" s="2" t="str">
        <f t="shared" si="82"/>
        <v>Error?</v>
      </c>
    </row>
    <row r="5340" spans="1:4" x14ac:dyDescent="0.2">
      <c r="A5340" s="5">
        <v>5279</v>
      </c>
      <c r="B5340" s="138">
        <f>'Revenues 9-14'!D65</f>
        <v>7068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7068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523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44</v>
      </c>
      <c r="D5354" s="2" t="str">
        <f t="shared" si="82"/>
        <v>Error?</v>
      </c>
    </row>
    <row r="5355" spans="1:4" x14ac:dyDescent="0.2">
      <c r="A5355" s="5">
        <v>5294</v>
      </c>
      <c r="B5355" s="138">
        <f>'Revenues 9-14'!D108</f>
        <v>567</v>
      </c>
      <c r="C5355" s="2" t="s">
        <v>594</v>
      </c>
      <c r="D5355" s="2" t="str">
        <f t="shared" si="82"/>
        <v>Error?</v>
      </c>
    </row>
    <row r="5356" spans="1:4" x14ac:dyDescent="0.2">
      <c r="A5356" s="5">
        <v>5295</v>
      </c>
      <c r="B5356" s="138">
        <f>'Revenues 9-14'!D109</f>
        <v>453923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453923</v>
      </c>
      <c r="C5508" s="2" t="s">
        <v>594</v>
      </c>
      <c r="D5508" s="2" t="str">
        <f t="shared" si="85"/>
        <v>Error?</v>
      </c>
    </row>
    <row r="5509" spans="1:4" x14ac:dyDescent="0.2">
      <c r="A5509" s="5">
        <v>5448</v>
      </c>
      <c r="B5509" s="138">
        <f>'Revenues 9-14'!E5</f>
        <v>877931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877931</v>
      </c>
      <c r="C5513" s="2" t="s">
        <v>594</v>
      </c>
      <c r="D5513" s="2" t="str">
        <f t="shared" si="85"/>
        <v>Error?</v>
      </c>
    </row>
    <row r="5514" spans="1:4" x14ac:dyDescent="0.2">
      <c r="A5514" s="5">
        <v>5453</v>
      </c>
      <c r="B5514" s="138">
        <f>'Revenues 9-14'!E14</f>
        <v>529</v>
      </c>
      <c r="D5514" s="2" t="str">
        <f t="shared" si="85"/>
        <v>Error?</v>
      </c>
    </row>
    <row r="5515" spans="1:4" x14ac:dyDescent="0.2">
      <c r="A5515" s="5">
        <v>5454</v>
      </c>
      <c r="B5515" s="138">
        <f>'Revenues 9-14'!E15</f>
        <v>778</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1307</v>
      </c>
      <c r="C5518" s="2" t="s">
        <v>594</v>
      </c>
      <c r="D5518" s="2" t="str">
        <f t="shared" si="85"/>
        <v>Error?</v>
      </c>
    </row>
    <row r="5519" spans="1:4" x14ac:dyDescent="0.2">
      <c r="A5519" s="5">
        <v>5458</v>
      </c>
      <c r="B5519" s="138">
        <f>'Revenues 9-14'!E65</f>
        <v>4530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4530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183118</v>
      </c>
      <c r="C5526" s="2" t="s">
        <v>594</v>
      </c>
      <c r="D5526" s="2" t="str">
        <f t="shared" si="85"/>
        <v>Error?</v>
      </c>
    </row>
    <row r="5527" spans="1:4" x14ac:dyDescent="0.2">
      <c r="A5527" s="5">
        <v>5466</v>
      </c>
      <c r="B5527" s="138">
        <f>'Revenues 9-14'!E109</f>
        <v>1066886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1066886</v>
      </c>
      <c r="C5552" s="2" t="s">
        <v>594</v>
      </c>
      <c r="D5552" s="2" t="str">
        <f t="shared" si="85"/>
        <v>Error?</v>
      </c>
    </row>
    <row r="5553" spans="1:4" x14ac:dyDescent="0.2">
      <c r="A5553" s="5">
        <v>5492</v>
      </c>
      <c r="B5553" s="138">
        <f>'Revenues 9-14'!F5</f>
        <v>178209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178209</v>
      </c>
      <c r="C5557" s="2" t="s">
        <v>594</v>
      </c>
      <c r="D5557" s="2" t="str">
        <f t="shared" si="85"/>
        <v>Error?</v>
      </c>
    </row>
    <row r="5558" spans="1:4" x14ac:dyDescent="0.2">
      <c r="A5558" s="5">
        <v>5497</v>
      </c>
      <c r="B5558" s="138">
        <f>'Revenues 9-14'!F14</f>
        <v>107</v>
      </c>
      <c r="D5558" s="2" t="str">
        <f t="shared" si="85"/>
        <v>Error?</v>
      </c>
    </row>
    <row r="5559" spans="1:4" x14ac:dyDescent="0.2">
      <c r="A5559" s="5">
        <v>5498</v>
      </c>
      <c r="B5559" s="138">
        <f>'Revenues 9-14'!F15</f>
        <v>196</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303</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5661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5661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13000</v>
      </c>
      <c r="D5584" s="2" t="str">
        <f t="shared" si="86"/>
        <v>Error?</v>
      </c>
    </row>
    <row r="5585" spans="1:4" x14ac:dyDescent="0.2">
      <c r="A5585" s="5">
        <v>5524</v>
      </c>
      <c r="B5585" s="138">
        <f>'Revenues 9-14'!F99</f>
        <v>93</v>
      </c>
      <c r="D5585" s="2" t="str">
        <f t="shared" si="86"/>
        <v>Error?</v>
      </c>
    </row>
    <row r="5586" spans="1:4" x14ac:dyDescent="0.2">
      <c r="A5586" s="5">
        <v>5525</v>
      </c>
      <c r="B5586" s="138">
        <f>'Revenues 9-14'!F107</f>
        <v>13320</v>
      </c>
      <c r="D5586" s="2" t="str">
        <f t="shared" si="86"/>
        <v>Error?</v>
      </c>
    </row>
    <row r="5587" spans="1:4" x14ac:dyDescent="0.2">
      <c r="A5587" s="5">
        <v>5526</v>
      </c>
      <c r="B5587" s="138">
        <f>'Revenues 9-14'!F108</f>
        <v>26413</v>
      </c>
      <c r="C5587" s="2" t="s">
        <v>594</v>
      </c>
      <c r="D5587" s="2" t="str">
        <f t="shared" si="86"/>
        <v>Error?</v>
      </c>
    </row>
    <row r="5588" spans="1:4" x14ac:dyDescent="0.2">
      <c r="A5588" s="5">
        <v>5527</v>
      </c>
      <c r="B5588" s="138">
        <f>'Revenues 9-14'!F109</f>
        <v>210586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413481</v>
      </c>
      <c r="D5615" s="2" t="str">
        <f t="shared" si="86"/>
        <v>Error?</v>
      </c>
    </row>
    <row r="5616" spans="1:4" x14ac:dyDescent="0.2">
      <c r="A5616" s="10">
        <v>5555</v>
      </c>
      <c r="D5616" s="2" t="str">
        <f t="shared" si="86"/>
        <v>OK</v>
      </c>
    </row>
    <row r="5617" spans="1:4" x14ac:dyDescent="0.2">
      <c r="A5617" s="5">
        <v>5556</v>
      </c>
      <c r="B5617" s="138">
        <f>'Revenues 9-14'!F152</f>
        <v>182829</v>
      </c>
      <c r="D5617" s="2" t="str">
        <f t="shared" si="86"/>
        <v>Error?</v>
      </c>
    </row>
    <row r="5618" spans="1:4" x14ac:dyDescent="0.2">
      <c r="A5618" s="5">
        <v>5557</v>
      </c>
      <c r="B5618" s="138">
        <f>'Revenues 9-14'!F154</f>
        <v>596310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596310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596310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806896</v>
      </c>
      <c r="C5720" s="2" t="s">
        <v>594</v>
      </c>
      <c r="D5720" s="2" t="str">
        <f t="shared" si="88"/>
        <v>Error?</v>
      </c>
    </row>
    <row r="5721" spans="1:4" x14ac:dyDescent="0.2">
      <c r="A5721" s="5">
        <v>5660</v>
      </c>
      <c r="B5721" s="138">
        <f>'Revenues 9-14'!G5</f>
        <v>199882</v>
      </c>
      <c r="D5721" s="2" t="str">
        <f t="shared" si="88"/>
        <v>Error?</v>
      </c>
    </row>
    <row r="5722" spans="1:4" x14ac:dyDescent="0.2">
      <c r="A5722" s="5">
        <v>5661</v>
      </c>
      <c r="B5722" s="138">
        <f>'Revenues 9-14'!G7</f>
        <v>0</v>
      </c>
      <c r="D5722" s="2" t="str">
        <f t="shared" si="88"/>
        <v>Error?</v>
      </c>
    </row>
    <row r="5723" spans="1:4" x14ac:dyDescent="0.2">
      <c r="A5723" s="5">
        <v>5662</v>
      </c>
      <c r="B5723" s="138">
        <f>'Revenues 9-14'!G8</f>
        <v>249875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449757</v>
      </c>
      <c r="C5725" s="2" t="s">
        <v>594</v>
      </c>
      <c r="D5725" s="2" t="str">
        <f t="shared" si="88"/>
        <v>Error?</v>
      </c>
    </row>
    <row r="5726" spans="1:4" x14ac:dyDescent="0.2">
      <c r="A5726" s="5">
        <v>5665</v>
      </c>
      <c r="B5726" s="138">
        <f>'Revenues 9-14'!G14</f>
        <v>271</v>
      </c>
      <c r="D5726" s="2" t="str">
        <f t="shared" si="88"/>
        <v>Error?</v>
      </c>
    </row>
    <row r="5727" spans="1:4" x14ac:dyDescent="0.2">
      <c r="A5727" s="5">
        <v>5666</v>
      </c>
      <c r="B5727" s="138">
        <f>'Revenues 9-14'!G15</f>
        <v>416</v>
      </c>
      <c r="D5727" s="2" t="str">
        <f t="shared" si="88"/>
        <v>Error?</v>
      </c>
    </row>
    <row r="5728" spans="1:4" x14ac:dyDescent="0.2">
      <c r="A5728" s="5">
        <v>5667</v>
      </c>
      <c r="B5728" s="138">
        <f>'Revenues 9-14'!G16</f>
        <v>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6687</v>
      </c>
      <c r="C5730" s="2" t="s">
        <v>594</v>
      </c>
      <c r="D5730" s="2" t="str">
        <f t="shared" si="88"/>
        <v>Error?</v>
      </c>
    </row>
    <row r="5731" spans="1:4" x14ac:dyDescent="0.2">
      <c r="A5731" s="5">
        <v>5670</v>
      </c>
      <c r="B5731" s="138">
        <f>'Revenues 9-14'!G65</f>
        <v>8023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8023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22</v>
      </c>
      <c r="D5736" s="2" t="str">
        <f t="shared" si="88"/>
        <v>Error?</v>
      </c>
    </row>
    <row r="5737" spans="1:4" x14ac:dyDescent="0.2">
      <c r="A5737" s="5">
        <v>5676</v>
      </c>
      <c r="B5737" s="138">
        <f>'Revenues 9-14'!G108</f>
        <v>22</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464489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1429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1429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116114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117543</v>
      </c>
      <c r="C5915" s="2" t="s">
        <v>594</v>
      </c>
      <c r="D5915" s="2" t="str">
        <f t="shared" si="91"/>
        <v>Error?</v>
      </c>
    </row>
    <row r="5916" spans="1:4" x14ac:dyDescent="0.2">
      <c r="A5916" s="5">
        <v>5855</v>
      </c>
      <c r="B5916" s="138">
        <f>'Revenues 9-14'!I5</f>
        <v>44553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44553</v>
      </c>
      <c r="C5918" s="2" t="s">
        <v>594</v>
      </c>
      <c r="D5918" s="2" t="str">
        <f t="shared" si="91"/>
        <v>Error?</v>
      </c>
    </row>
    <row r="5919" spans="1:4" x14ac:dyDescent="0.2">
      <c r="A5919" s="5">
        <v>5858</v>
      </c>
      <c r="B5919" s="138">
        <f>'Revenues 9-14'!I14</f>
        <v>27</v>
      </c>
      <c r="D5919" s="2" t="str">
        <f t="shared" si="91"/>
        <v>Error?</v>
      </c>
    </row>
    <row r="5920" spans="1:4" x14ac:dyDescent="0.2">
      <c r="A5920" s="5">
        <v>5859</v>
      </c>
      <c r="B5920" s="138">
        <f>'Revenues 9-14'!I15</f>
        <v>50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77</v>
      </c>
      <c r="C5923" s="2" t="s">
        <v>594</v>
      </c>
      <c r="D5923" s="2" t="str">
        <f t="shared" si="91"/>
        <v>Error?</v>
      </c>
    </row>
    <row r="5924" spans="1:4" x14ac:dyDescent="0.2">
      <c r="A5924" s="5">
        <v>5863</v>
      </c>
      <c r="B5924" s="138">
        <f>'Revenues 9-14'!I65</f>
        <v>9897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9897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54527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44553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44553</v>
      </c>
      <c r="C5987" s="2" t="s">
        <v>594</v>
      </c>
      <c r="D5987" s="2" t="str">
        <f t="shared" si="92"/>
        <v>Error?</v>
      </c>
    </row>
    <row r="5988" spans="1:4" x14ac:dyDescent="0.2">
      <c r="A5988" s="5">
        <v>5927</v>
      </c>
      <c r="B5988" s="138">
        <f>'Revenues 9-14'!K14</f>
        <v>27</v>
      </c>
      <c r="D5988" s="2" t="str">
        <f t="shared" si="92"/>
        <v>Error?</v>
      </c>
    </row>
    <row r="5989" spans="1:4" x14ac:dyDescent="0.2">
      <c r="A5989" s="5">
        <v>5928</v>
      </c>
      <c r="B5989" s="138">
        <f>'Revenues 9-14'!K15</f>
        <v>50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77</v>
      </c>
      <c r="C5992" s="2" t="s">
        <v>594</v>
      </c>
      <c r="D5992" s="2" t="str">
        <f t="shared" si="92"/>
        <v>Error?</v>
      </c>
    </row>
    <row r="5993" spans="1:4" x14ac:dyDescent="0.2">
      <c r="A5993" s="5">
        <v>5932</v>
      </c>
      <c r="B5993" s="138">
        <f>'Revenues 9-14'!K65</f>
        <v>966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966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45596</v>
      </c>
      <c r="C6023" s="2" t="s">
        <v>594</v>
      </c>
      <c r="D6023" s="2" t="str">
        <f t="shared" si="93"/>
        <v>Error?</v>
      </c>
    </row>
    <row r="6024" spans="1:5" x14ac:dyDescent="0.2">
      <c r="A6024" s="5">
        <v>5963</v>
      </c>
      <c r="B6024" s="138">
        <f>'Revenues 9-14'!G109</f>
        <v>464489</v>
      </c>
      <c r="C6024" s="2" t="s">
        <v>594</v>
      </c>
      <c r="D6024" s="2" t="str">
        <f t="shared" si="93"/>
        <v>Error?</v>
      </c>
    </row>
    <row r="6025" spans="1:5" x14ac:dyDescent="0.2">
      <c r="A6025" s="5">
        <v>5964</v>
      </c>
      <c r="B6025" s="138">
        <f>'Revenues 9-14'!H109</f>
        <v>117543</v>
      </c>
      <c r="C6025" s="2" t="s">
        <v>594</v>
      </c>
      <c r="D6025" s="2" t="str">
        <f t="shared" si="93"/>
        <v>Error?</v>
      </c>
    </row>
    <row r="6026" spans="1:5" x14ac:dyDescent="0.2">
      <c r="A6026" s="5">
        <v>5965</v>
      </c>
      <c r="B6026" s="138">
        <f>'Revenues 9-14'!I109</f>
        <v>54527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45596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16102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36689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828.84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255000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101570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255000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101570</v>
      </c>
      <c r="D6215" s="2" t="str">
        <f t="shared" si="96"/>
        <v>Error?</v>
      </c>
      <c r="E6215" s="2" t="s">
        <v>199</v>
      </c>
    </row>
    <row r="6216" spans="1:5" x14ac:dyDescent="0.2">
      <c r="A6216">
        <v>6155</v>
      </c>
      <c r="B6216" s="138">
        <f>'Assets-Liab 5-6'!J41</f>
        <v>101570</v>
      </c>
      <c r="D6216" s="2" t="str">
        <f t="shared" si="96"/>
        <v>Error?</v>
      </c>
      <c r="E6216" s="2" t="s">
        <v>199</v>
      </c>
    </row>
    <row r="6217" spans="1:5" x14ac:dyDescent="0.2">
      <c r="A6217">
        <v>6156</v>
      </c>
      <c r="B6217" s="138">
        <f>'Assets-Liab 5-6'!J4</f>
        <v>47235</v>
      </c>
      <c r="D6217" s="2" t="str">
        <f t="shared" si="96"/>
        <v>Error?</v>
      </c>
      <c r="E6217" s="2" t="s">
        <v>199</v>
      </c>
    </row>
    <row r="6218" spans="1:5" x14ac:dyDescent="0.2">
      <c r="A6218">
        <v>6157</v>
      </c>
      <c r="B6218" s="138">
        <f>'Assets-Liab 5-6'!J5</f>
        <v>54335</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609254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609254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609254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608479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608479</v>
      </c>
      <c r="D6229" s="2" t="str">
        <f t="shared" si="96"/>
        <v>Error?</v>
      </c>
      <c r="E6229" s="2" t="s">
        <v>199</v>
      </c>
    </row>
    <row r="6230" spans="1:5" x14ac:dyDescent="0.2">
      <c r="A6230">
        <v>6169</v>
      </c>
      <c r="B6230" s="138">
        <f>'Acct Summary 7-8'!J20</f>
        <v>775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775</v>
      </c>
      <c r="D6263" s="2" t="str">
        <f t="shared" si="96"/>
        <v>Error?</v>
      </c>
      <c r="E6263" s="2" t="s">
        <v>199</v>
      </c>
    </row>
    <row r="6264" spans="1:5" x14ac:dyDescent="0.2">
      <c r="A6264">
        <v>6203</v>
      </c>
      <c r="B6264" s="138">
        <f>'Acct Summary 7-8'!J79</f>
        <v>100795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101570</v>
      </c>
      <c r="D6266" s="2" t="str">
        <f t="shared" si="96"/>
        <v>Error?</v>
      </c>
      <c r="E6266" s="2" t="s">
        <v>199</v>
      </c>
    </row>
    <row r="6267" spans="1:5" x14ac:dyDescent="0.2">
      <c r="A6267">
        <v>6206</v>
      </c>
      <c r="B6267" s="138">
        <f>'Acct Summary 7-8'!C82</f>
        <v>334797</v>
      </c>
      <c r="D6267" s="2" t="str">
        <f t="shared" si="96"/>
        <v>Error?</v>
      </c>
      <c r="E6267" s="2" t="s">
        <v>199</v>
      </c>
    </row>
    <row r="6268" spans="1:5" x14ac:dyDescent="0.2">
      <c r="A6268">
        <v>6207</v>
      </c>
      <c r="B6268" s="138">
        <f>'Acct Summary 7-8'!D82</f>
        <v>86755</v>
      </c>
      <c r="D6268" s="2" t="str">
        <f t="shared" si="96"/>
        <v>Error?</v>
      </c>
      <c r="E6268" s="2" t="s">
        <v>199</v>
      </c>
    </row>
    <row r="6269" spans="1:5" x14ac:dyDescent="0.2">
      <c r="A6269">
        <v>6208</v>
      </c>
      <c r="B6269" s="138">
        <f>'Acct Summary 7-8'!E82</f>
        <v>48556</v>
      </c>
      <c r="D6269" s="2" t="str">
        <f t="shared" si="96"/>
        <v>Error?</v>
      </c>
      <c r="E6269" s="2" t="s">
        <v>199</v>
      </c>
    </row>
    <row r="6270" spans="1:5" x14ac:dyDescent="0.2">
      <c r="A6270">
        <v>6209</v>
      </c>
      <c r="B6270" s="138">
        <f>'Acct Summary 7-8'!F82</f>
        <v>145474</v>
      </c>
      <c r="D6270" s="2" t="str">
        <f t="shared" si="96"/>
        <v>Error?</v>
      </c>
      <c r="E6270" s="2" t="s">
        <v>199</v>
      </c>
    </row>
    <row r="6271" spans="1:5" x14ac:dyDescent="0.2">
      <c r="A6271">
        <v>6210</v>
      </c>
      <c r="B6271" s="138">
        <f>'Acct Summary 7-8'!G82</f>
        <v>200007</v>
      </c>
      <c r="D6271" s="2" t="str">
        <f t="shared" ref="D6271:D6334" si="97">IF(ISBLANK(B6271),"OK",IF(A6271-B6271=0,"OK","Error?"))</f>
        <v>Error?</v>
      </c>
      <c r="E6271" s="2" t="s">
        <v>199</v>
      </c>
    </row>
    <row r="6272" spans="1:5" x14ac:dyDescent="0.2">
      <c r="A6272">
        <v>6211</v>
      </c>
      <c r="B6272" s="138">
        <f>'Acct Summary 7-8'!H82</f>
        <v>117543</v>
      </c>
      <c r="D6272" s="2" t="str">
        <f t="shared" si="97"/>
        <v>Error?</v>
      </c>
      <c r="E6272" s="2" t="s">
        <v>199</v>
      </c>
    </row>
    <row r="6273" spans="1:5" x14ac:dyDescent="0.2">
      <c r="A6273">
        <v>6212</v>
      </c>
      <c r="B6273" s="138">
        <f>'Acct Summary 7-8'!I82</f>
        <v>45027</v>
      </c>
      <c r="D6273" s="2" t="str">
        <f t="shared" si="97"/>
        <v>Error?</v>
      </c>
      <c r="E6273" s="2" t="s">
        <v>199</v>
      </c>
    </row>
    <row r="6274" spans="1:5" x14ac:dyDescent="0.2">
      <c r="A6274">
        <v>6213</v>
      </c>
      <c r="B6274" s="138">
        <f>'Acct Summary 7-8'!J82</f>
        <v>775</v>
      </c>
      <c r="D6274" s="2" t="str">
        <f t="shared" si="97"/>
        <v>Error?</v>
      </c>
      <c r="E6274" s="2" t="s">
        <v>199</v>
      </c>
    </row>
    <row r="6275" spans="1:5" x14ac:dyDescent="0.2">
      <c r="A6275">
        <v>6214</v>
      </c>
      <c r="B6275" s="138">
        <f>'Acct Summary 7-8'!K82</f>
        <v>45596</v>
      </c>
      <c r="D6275" s="2" t="str">
        <f t="shared" si="97"/>
        <v>Error?</v>
      </c>
      <c r="E6275" s="2" t="s">
        <v>199</v>
      </c>
    </row>
    <row r="6276" spans="1:5" x14ac:dyDescent="0.2">
      <c r="A6276">
        <v>6215</v>
      </c>
      <c r="B6276" s="138">
        <f>'Acct Summary 7-8'!C83</f>
        <v>0.12778691912824722</v>
      </c>
      <c r="D6276" s="2" t="str">
        <f t="shared" si="97"/>
        <v>Error?</v>
      </c>
      <c r="E6276" s="2" t="s">
        <v>199</v>
      </c>
    </row>
    <row r="6277" spans="1:5" x14ac:dyDescent="0.2">
      <c r="A6277">
        <v>6216</v>
      </c>
      <c r="B6277" s="138">
        <f>'Acct Summary 7-8'!D83</f>
        <v>0.17213737655931602</v>
      </c>
      <c r="D6277" s="2" t="str">
        <f t="shared" si="97"/>
        <v>Error?</v>
      </c>
      <c r="E6277" s="2" t="s">
        <v>199</v>
      </c>
    </row>
    <row r="6278" spans="1:5" x14ac:dyDescent="0.2">
      <c r="A6278">
        <v>6217</v>
      </c>
      <c r="B6278" s="138">
        <f>'Acct Summary 7-8'!E83</f>
        <v>0.23719292075169385</v>
      </c>
      <c r="D6278" s="2" t="str">
        <f t="shared" si="97"/>
        <v>Error?</v>
      </c>
      <c r="E6278" s="2" t="s">
        <v>199</v>
      </c>
    </row>
    <row r="6279" spans="1:5" x14ac:dyDescent="0.2">
      <c r="A6279">
        <v>6218</v>
      </c>
      <c r="B6279" s="138">
        <f>'Acct Summary 7-8'!F83</f>
        <v>0.25115370073356896</v>
      </c>
      <c r="D6279" s="2" t="str">
        <f t="shared" si="97"/>
        <v>Error?</v>
      </c>
      <c r="E6279" s="2" t="s">
        <v>199</v>
      </c>
    </row>
    <row r="6280" spans="1:5" x14ac:dyDescent="0.2">
      <c r="A6280">
        <v>6219</v>
      </c>
      <c r="B6280" s="138">
        <f>'Acct Summary 7-8'!G83</f>
        <v>0.29656808594242334</v>
      </c>
      <c r="D6280" s="2" t="str">
        <f t="shared" si="97"/>
        <v>Error?</v>
      </c>
      <c r="E6280" s="2" t="s">
        <v>199</v>
      </c>
    </row>
    <row r="6281" spans="1:5" x14ac:dyDescent="0.2">
      <c r="A6281">
        <v>6220</v>
      </c>
      <c r="B6281" s="138">
        <f>'Acct Summary 7-8'!H83</f>
        <v>-0.5679393517713226</v>
      </c>
      <c r="D6281" s="2" t="str">
        <f t="shared" si="97"/>
        <v>Error?</v>
      </c>
      <c r="E6281" s="2" t="s">
        <v>199</v>
      </c>
    </row>
    <row r="6282" spans="1:5" x14ac:dyDescent="0.2">
      <c r="A6282">
        <v>6221</v>
      </c>
      <c r="B6282" s="138">
        <f>'Acct Summary 7-8'!I83</f>
        <v>3.4521251189310653E-2</v>
      </c>
      <c r="D6282" s="2" t="str">
        <f t="shared" si="97"/>
        <v>Error?</v>
      </c>
      <c r="E6282" s="2" t="s">
        <v>199</v>
      </c>
    </row>
    <row r="6283" spans="1:5" x14ac:dyDescent="0.2">
      <c r="A6283">
        <v>6222</v>
      </c>
      <c r="B6283" s="138">
        <f>'Acct Summary 7-8'!J83</f>
        <v>7.6302057694201042E-3</v>
      </c>
      <c r="D6283" s="2" t="str">
        <f t="shared" si="97"/>
        <v>Error?</v>
      </c>
      <c r="E6283" s="2" t="s">
        <v>199</v>
      </c>
    </row>
    <row r="6284" spans="1:5" x14ac:dyDescent="0.2">
      <c r="A6284">
        <v>6223</v>
      </c>
      <c r="B6284" s="138">
        <f>'Acct Summary 7-8'!K83</f>
        <v>0.51117164990638908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579596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579596</v>
      </c>
      <c r="D6301" s="2" t="str">
        <f t="shared" si="97"/>
        <v>Error?</v>
      </c>
      <c r="E6301" s="2" t="s">
        <v>199</v>
      </c>
    </row>
    <row r="6302" spans="1:5" x14ac:dyDescent="0.2">
      <c r="A6302">
        <v>6241</v>
      </c>
      <c r="B6302" s="138">
        <f>'Revenues 9-14'!J14</f>
        <v>350</v>
      </c>
      <c r="D6302" s="2" t="str">
        <f t="shared" si="97"/>
        <v>Error?</v>
      </c>
      <c r="E6302" s="2" t="s">
        <v>199</v>
      </c>
    </row>
    <row r="6303" spans="1:5" x14ac:dyDescent="0.2">
      <c r="A6303">
        <v>6242</v>
      </c>
      <c r="B6303" s="138">
        <f>'Revenues 9-14'!J15</f>
        <v>580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930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6268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6268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22460</v>
      </c>
      <c r="D6329" s="2" t="str">
        <f t="shared" si="97"/>
        <v>Error?</v>
      </c>
      <c r="E6329" s="2" t="s">
        <v>199</v>
      </c>
    </row>
    <row r="6330" spans="1:5" x14ac:dyDescent="0.2">
      <c r="A6330">
        <v>6269</v>
      </c>
      <c r="B6330" s="138">
        <f>'Revenues 9-14'!C100</f>
        <v>29756</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6025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22460</v>
      </c>
      <c r="D6351" s="2" t="str">
        <f t="shared" si="98"/>
        <v>Error?</v>
      </c>
      <c r="E6351" s="2" t="s">
        <v>199</v>
      </c>
    </row>
    <row r="6352" spans="1:5" x14ac:dyDescent="0.2">
      <c r="A6352">
        <v>6291</v>
      </c>
      <c r="B6352" s="138">
        <f>'Revenues 9-14'!J109</f>
        <v>609254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8939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43765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58767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64872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43810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292577</v>
      </c>
      <c r="D6880" s="2" t="str">
        <f t="shared" si="106"/>
        <v>Error?</v>
      </c>
    </row>
    <row r="6881" spans="1:4" x14ac:dyDescent="0.2">
      <c r="A6881">
        <v>6820</v>
      </c>
      <c r="B6881" s="138">
        <f>'Expenditures 15-22'!K22</f>
        <v>292577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153081</v>
      </c>
      <c r="D6983" s="2" t="str">
        <f t="shared" si="108"/>
        <v>Error?</v>
      </c>
    </row>
    <row r="6984" spans="1:4" x14ac:dyDescent="0.2">
      <c r="A6984">
        <v>6923</v>
      </c>
      <c r="B6984" s="138">
        <f>'Expenditures 15-22'!K86</f>
        <v>153081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153081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608479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609254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688</v>
      </c>
      <c r="D7073" s="2" t="str">
        <f t="shared" si="109"/>
        <v>Error?</v>
      </c>
    </row>
    <row r="7074" spans="1:4" x14ac:dyDescent="0.2">
      <c r="A7074">
        <v>7013</v>
      </c>
      <c r="B7074" s="138">
        <f>'Expenditures 15-22'!K216</f>
        <v>688</v>
      </c>
      <c r="D7074" s="2" t="str">
        <f t="shared" si="109"/>
        <v>Error?</v>
      </c>
    </row>
    <row r="7075" spans="1:4" x14ac:dyDescent="0.2">
      <c r="A7075">
        <v>7014</v>
      </c>
      <c r="B7075" s="138">
        <f>'Expenditures 15-22'!D218</f>
        <v>2586</v>
      </c>
      <c r="D7075" s="2" t="str">
        <f t="shared" si="109"/>
        <v>Error?</v>
      </c>
    </row>
    <row r="7076" spans="1:4" x14ac:dyDescent="0.2">
      <c r="A7076">
        <v>7015</v>
      </c>
      <c r="B7076" s="138">
        <f>'Expenditures 15-22'!K218</f>
        <v>2586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405</v>
      </c>
      <c r="D7079" s="2" t="str">
        <f t="shared" si="109"/>
        <v>Error?</v>
      </c>
    </row>
    <row r="7080" spans="1:4" x14ac:dyDescent="0.2">
      <c r="A7080">
        <v>7019</v>
      </c>
      <c r="B7080" s="138">
        <f>'Expenditures 15-22'!K226</f>
        <v>405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50938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50938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54743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54743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374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374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480000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12503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492503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9921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9921</v>
      </c>
      <c r="D7198" s="2" t="str">
        <f t="shared" si="111"/>
        <v>Error?</v>
      </c>
    </row>
    <row r="7199" spans="1:4" x14ac:dyDescent="0.2">
      <c r="A7199">
        <v>7138</v>
      </c>
      <c r="B7199" s="138">
        <f>'Expenditures 15-22'!C330</f>
        <v>480000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128479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608479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480000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128479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608479</v>
      </c>
      <c r="D7224" s="2" t="str">
        <f t="shared" si="111"/>
        <v>Error?</v>
      </c>
    </row>
    <row r="7225" spans="1:4" x14ac:dyDescent="0.2">
      <c r="A7225">
        <v>7164</v>
      </c>
      <c r="B7225" s="138">
        <f>'Expenditures 15-22'!K343</f>
        <v>775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14893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109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50099</v>
      </c>
      <c r="D7251" s="2" t="str">
        <f t="shared" si="112"/>
        <v>Error?</v>
      </c>
    </row>
    <row r="7252" spans="1:4" x14ac:dyDescent="0.2">
      <c r="A7252">
        <f t="shared" si="113"/>
        <v>7191</v>
      </c>
      <c r="B7252" s="138">
        <f>'Expenditures 15-22'!D9</f>
        <v>14242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531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25641</v>
      </c>
      <c r="D7263" s="2" t="str">
        <f t="shared" si="112"/>
        <v>Error?</v>
      </c>
    </row>
    <row r="7264" spans="1:4" x14ac:dyDescent="0.2">
      <c r="A7264">
        <f t="shared" si="113"/>
        <v>7203</v>
      </c>
      <c r="B7264" s="138">
        <f>'Expenditures 15-22'!D17</f>
        <v>12495</v>
      </c>
      <c r="D7264" s="2" t="str">
        <f t="shared" si="112"/>
        <v>Error?</v>
      </c>
    </row>
    <row r="7265" spans="1:5" x14ac:dyDescent="0.2">
      <c r="A7265">
        <f t="shared" si="113"/>
        <v>7204</v>
      </c>
      <c r="B7265" s="138">
        <f>'Expenditures 15-22'!E17</f>
        <v>4594</v>
      </c>
      <c r="D7265" s="2" t="str">
        <f t="shared" si="112"/>
        <v>Error?</v>
      </c>
    </row>
    <row r="7266" spans="1:5" x14ac:dyDescent="0.2">
      <c r="A7266">
        <f t="shared" si="113"/>
        <v>7205</v>
      </c>
      <c r="B7266" s="138">
        <f>'Expenditures 15-22'!F17</f>
        <v>1080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198</v>
      </c>
      <c r="D7615" s="2" t="str">
        <f t="shared" ref="D7615:D7678" si="124">IF(ISBLANK(B7615),"OK",IF(A7615-B7615=0,"OK","Error?"))</f>
        <v>Error?</v>
      </c>
      <c r="E7615" s="2" t="s">
        <v>19</v>
      </c>
    </row>
    <row r="7616" spans="1:5" x14ac:dyDescent="0.2">
      <c r="A7616">
        <f t="shared" si="123"/>
        <v>7555</v>
      </c>
      <c r="B7616" s="138">
        <f>'Cap Outlay Deprec 26'!D14</f>
        <v>17384</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17582</v>
      </c>
      <c r="D7618" s="2" t="str">
        <f t="shared" si="124"/>
        <v>Error?</v>
      </c>
      <c r="E7618" s="2" t="s">
        <v>19</v>
      </c>
    </row>
    <row r="7619" spans="1:5" x14ac:dyDescent="0.2">
      <c r="A7619">
        <f t="shared" si="123"/>
        <v>7558</v>
      </c>
      <c r="B7619" s="138">
        <f>'Cap Outlay Deprec 26'!H14</f>
        <v>198</v>
      </c>
      <c r="D7619" s="2" t="str">
        <f t="shared" si="124"/>
        <v>Error?</v>
      </c>
      <c r="E7619" s="2" t="s">
        <v>19</v>
      </c>
    </row>
    <row r="7620" spans="1:5" x14ac:dyDescent="0.2">
      <c r="A7620">
        <f t="shared" si="123"/>
        <v>7559</v>
      </c>
      <c r="B7620" s="138">
        <f>'Cap Outlay Deprec 26'!I14</f>
        <v>5795</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5993</v>
      </c>
      <c r="D7622" s="2" t="str">
        <f t="shared" si="124"/>
        <v>Error?</v>
      </c>
      <c r="E7622" s="2" t="s">
        <v>19</v>
      </c>
    </row>
    <row r="7623" spans="1:5" x14ac:dyDescent="0.2">
      <c r="A7623">
        <f t="shared" si="123"/>
        <v>7562</v>
      </c>
      <c r="B7623" s="138">
        <f>'Cap Outlay Deprec 26'!L14</f>
        <v>11589</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494427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77959</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2432</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6025</v>
      </c>
      <c r="D7712" s="2" t="str">
        <f t="shared" si="126"/>
        <v>Error?</v>
      </c>
      <c r="E7712" s="2" t="s">
        <v>881</v>
      </c>
    </row>
    <row r="7713" spans="1:6" x14ac:dyDescent="0.2">
      <c r="A7713">
        <v>7652</v>
      </c>
      <c r="B7713" s="138">
        <f>'Rest Tax Levies-Tort Im 25'!J8</f>
        <v>183118</v>
      </c>
      <c r="D7713" s="2" t="str">
        <f t="shared" si="126"/>
        <v>Error?</v>
      </c>
      <c r="E7713" s="2" t="s">
        <v>881</v>
      </c>
    </row>
    <row r="7714" spans="1:6" x14ac:dyDescent="0.2">
      <c r="A7714">
        <v>7653</v>
      </c>
      <c r="B7714" s="138">
        <f>'Rest Tax Levies-Tort Im 25'!K9</f>
        <v>12213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185550</v>
      </c>
      <c r="D7718" s="2" t="str">
        <f t="shared" si="126"/>
        <v>Error?</v>
      </c>
      <c r="E7718" s="2" t="s">
        <v>881</v>
      </c>
    </row>
    <row r="7719" spans="1:6" x14ac:dyDescent="0.2">
      <c r="A7719">
        <v>7658</v>
      </c>
      <c r="B7719" s="138">
        <f>'Rest Tax Levies-Tort Im 25'!K12</f>
        <v>18238</v>
      </c>
      <c r="D7719" s="2" t="str">
        <f t="shared" si="126"/>
        <v>Error?</v>
      </c>
      <c r="E7719" s="2" t="s">
        <v>881</v>
      </c>
    </row>
    <row r="7720" spans="1:6" x14ac:dyDescent="0.2">
      <c r="A7720">
        <v>7659</v>
      </c>
      <c r="B7720" s="138">
        <f>'Rest Tax Levies-Tort Im 25'!H14</f>
        <v>35643</v>
      </c>
      <c r="D7720" s="2" t="str">
        <f t="shared" si="126"/>
        <v>Error?</v>
      </c>
      <c r="E7720" s="2" t="s">
        <v>881</v>
      </c>
    </row>
    <row r="7721" spans="1:6" x14ac:dyDescent="0.2">
      <c r="A7721">
        <v>7660</v>
      </c>
      <c r="B7721" s="138">
        <f>'Rest Tax Levies-Tort Im 25'!K14</f>
        <v>18238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12250</v>
      </c>
      <c r="D7724" s="2" t="str">
        <f t="shared" si="126"/>
        <v>Error?</v>
      </c>
      <c r="E7724" s="2" t="s">
        <v>881</v>
      </c>
      <c r="F7724" s="2"/>
    </row>
    <row r="7725" spans="1:6" x14ac:dyDescent="0.2">
      <c r="A7725">
        <v>7664</v>
      </c>
      <c r="B7725" s="138">
        <f>'Rest Tax Levies-Tort Im 25'!J19</f>
        <v>135000</v>
      </c>
      <c r="D7725" s="2" t="str">
        <f t="shared" si="126"/>
        <v>Error?</v>
      </c>
      <c r="E7725" s="2" t="s">
        <v>881</v>
      </c>
    </row>
    <row r="7726" spans="1:6" x14ac:dyDescent="0.2">
      <c r="A7726">
        <v>7665</v>
      </c>
      <c r="B7726" s="138">
        <f>'Rest Tax Levies-Tort Im 25'!J20</f>
        <v>500</v>
      </c>
      <c r="D7726" s="2" t="str">
        <f t="shared" si="126"/>
        <v>Error?</v>
      </c>
      <c r="E7726" s="2" t="s">
        <v>881</v>
      </c>
    </row>
    <row r="7727" spans="1:6" x14ac:dyDescent="0.2">
      <c r="A7727">
        <v>7666</v>
      </c>
      <c r="B7727" s="138">
        <f>'Rest Tax Levies-Tort Im 25'!J21</f>
        <v>147750</v>
      </c>
      <c r="D7727" s="2" t="str">
        <f t="shared" si="126"/>
        <v>Error?</v>
      </c>
      <c r="E7727" s="2" t="s">
        <v>881</v>
      </c>
    </row>
    <row r="7728" spans="1:6" x14ac:dyDescent="0.2">
      <c r="A7728">
        <v>7667</v>
      </c>
      <c r="B7728" s="138">
        <f>'Revenues 9-14'!E103</f>
        <v>183118</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147750</v>
      </c>
      <c r="D7730" s="2" t="str">
        <f t="shared" si="126"/>
        <v>Error?</v>
      </c>
      <c r="E7730" s="2" t="s">
        <v>881</v>
      </c>
    </row>
    <row r="7731" spans="1:6" x14ac:dyDescent="0.2">
      <c r="A7731">
        <v>7670</v>
      </c>
      <c r="B7731" s="138">
        <f>'Revenues 9-14'!H103</f>
        <v>116114</v>
      </c>
      <c r="D7731" s="2" t="str">
        <f t="shared" si="126"/>
        <v>Error?</v>
      </c>
      <c r="E7731" s="2" t="s">
        <v>881</v>
      </c>
    </row>
    <row r="7732" spans="1:6" x14ac:dyDescent="0.2">
      <c r="A7732">
        <v>7671</v>
      </c>
      <c r="B7732" s="138">
        <f>'Rest Tax Levies-Tort Im 25'!J24</f>
        <v>115759</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115759</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627908</v>
      </c>
      <c r="D7797" s="2" t="str">
        <f t="shared" si="127"/>
        <v>Error?</v>
      </c>
      <c r="E7797" s="4" t="s">
        <v>2015</v>
      </c>
    </row>
    <row r="7798" spans="1:5" x14ac:dyDescent="0.2">
      <c r="A7798">
        <v>7737</v>
      </c>
      <c r="B7798" s="138">
        <f>'Contracts Paid in CY 29'!F141</f>
        <v>50000</v>
      </c>
      <c r="D7798" s="2" t="str">
        <f t="shared" si="127"/>
        <v>Error?</v>
      </c>
      <c r="E7798" s="4" t="s">
        <v>2015</v>
      </c>
    </row>
    <row r="7799" spans="1:5" x14ac:dyDescent="0.2">
      <c r="A7799">
        <v>7738</v>
      </c>
      <c r="B7799" s="138">
        <f>'Contracts Paid in CY 29'!G141</f>
        <v>577908</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556" t="s">
        <v>1253</v>
      </c>
      <c r="B2" s="2556"/>
      <c r="C2" s="2556"/>
      <c r="D2" s="2556"/>
      <c r="E2" s="2556"/>
      <c r="F2" s="2556"/>
      <c r="G2" s="2556"/>
      <c r="H2" s="2556"/>
      <c r="I2" s="2556"/>
      <c r="J2" s="2556"/>
      <c r="K2" s="2556"/>
      <c r="L2" s="2556"/>
    </row>
    <row r="3" spans="1:29" ht="13.5" customHeight="1" x14ac:dyDescent="0.2">
      <c r="A3" s="2540" t="s">
        <v>1252</v>
      </c>
      <c r="B3" s="2540"/>
      <c r="C3" s="2540"/>
      <c r="D3" s="2540"/>
      <c r="E3" s="2540"/>
      <c r="F3" s="2540"/>
      <c r="G3" s="2540"/>
      <c r="H3" s="2540"/>
      <c r="I3" s="2540"/>
      <c r="J3" s="2540"/>
      <c r="K3" s="2540"/>
      <c r="L3" s="2540"/>
    </row>
    <row r="4" spans="1:29" ht="13.5" customHeight="1" x14ac:dyDescent="0.2">
      <c r="A4" s="2556" t="s">
        <v>1798</v>
      </c>
      <c r="B4" s="2573"/>
      <c r="C4" s="2573"/>
      <c r="D4" s="2573"/>
      <c r="E4" s="2573"/>
      <c r="F4" s="2573"/>
      <c r="G4" s="2573"/>
      <c r="H4" s="2573"/>
      <c r="I4" s="2573"/>
      <c r="J4" s="2573"/>
      <c r="K4" s="2573"/>
      <c r="L4" s="2573"/>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534" t="str">
        <f>COVER!A17</f>
        <v>Midwest Central CUSD 191</v>
      </c>
      <c r="B7" s="2535"/>
      <c r="C7" s="2535"/>
      <c r="D7" s="2574"/>
      <c r="E7" s="2575">
        <f>COVER!A13</f>
        <v>53060191026</v>
      </c>
      <c r="F7" s="2576"/>
      <c r="G7" s="2541" t="str">
        <f>COVER!T23</f>
        <v>066-005027</v>
      </c>
      <c r="H7" s="2542"/>
      <c r="I7" s="2542"/>
      <c r="J7" s="2542"/>
      <c r="K7" s="2542"/>
      <c r="L7" s="2543"/>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544"/>
      <c r="B9" s="2545"/>
      <c r="C9" s="2545"/>
      <c r="D9" s="2545"/>
      <c r="E9" s="2545"/>
      <c r="F9" s="2546"/>
      <c r="G9" s="2547" t="str">
        <f>COVER!T13</f>
        <v>Gorenz and Associates, Ltd.</v>
      </c>
      <c r="H9" s="2548"/>
      <c r="I9" s="2548"/>
      <c r="J9" s="2548"/>
      <c r="K9" s="2548"/>
      <c r="L9" s="2549"/>
    </row>
    <row r="10" spans="1:29" ht="13.5" customHeight="1" x14ac:dyDescent="0.2">
      <c r="A10" s="2531" t="str">
        <f>COVER!A38</f>
        <v>Todd Hellrigel</v>
      </c>
      <c r="B10" s="2532"/>
      <c r="C10" s="2532"/>
      <c r="D10" s="2532"/>
      <c r="E10" s="2532"/>
      <c r="F10" s="2533"/>
      <c r="G10" s="2547" t="str">
        <f>COVER!T17</f>
        <v>4200 N Knoxville Ave</v>
      </c>
      <c r="H10" s="2562"/>
      <c r="I10" s="2562"/>
      <c r="J10" s="2562"/>
      <c r="K10" s="2562"/>
      <c r="L10" s="2563"/>
    </row>
    <row r="11" spans="1:29" ht="13.5" customHeight="1" x14ac:dyDescent="0.2">
      <c r="A11" s="1183" t="s">
        <v>1599</v>
      </c>
      <c r="B11" s="1184"/>
      <c r="C11" s="1185"/>
      <c r="D11" s="1190"/>
      <c r="E11" s="1185"/>
      <c r="F11" s="1189"/>
      <c r="G11" s="2547" t="str">
        <f>COVER!T19</f>
        <v>Peoria</v>
      </c>
      <c r="H11" s="2562"/>
      <c r="I11" s="2562"/>
      <c r="J11" s="2562"/>
      <c r="K11" s="2562"/>
      <c r="L11" s="2563"/>
    </row>
    <row r="12" spans="1:29" ht="13.5" customHeight="1" x14ac:dyDescent="0.2">
      <c r="A12" s="2567" t="s">
        <v>1598</v>
      </c>
      <c r="B12" s="2568"/>
      <c r="C12" s="2568"/>
      <c r="D12" s="2568"/>
      <c r="E12" s="2568"/>
      <c r="F12" s="2569"/>
      <c r="G12" s="2564"/>
      <c r="H12" s="2565"/>
      <c r="I12" s="2565"/>
      <c r="J12" s="2565"/>
      <c r="K12" s="2565"/>
      <c r="L12" s="2566"/>
    </row>
    <row r="13" spans="1:29" ht="13.5" customHeight="1" x14ac:dyDescent="0.2">
      <c r="A13" s="2547"/>
      <c r="B13" s="2562"/>
      <c r="C13" s="2562"/>
      <c r="D13" s="2562"/>
      <c r="E13" s="2562"/>
      <c r="F13" s="2563"/>
      <c r="G13" s="2557" t="s">
        <v>1600</v>
      </c>
      <c r="H13" s="2558"/>
      <c r="I13" s="2570" t="str">
        <f>COVER!T25</f>
        <v>tpeffer@gorenzcpa.com</v>
      </c>
      <c r="J13" s="2571"/>
      <c r="K13" s="2571"/>
      <c r="L13" s="2572"/>
    </row>
    <row r="14" spans="1:29" ht="13.5" customHeight="1" x14ac:dyDescent="0.2">
      <c r="A14" s="2547" t="str">
        <f>COVER!A19</f>
        <v>1010 S. Washington Street</v>
      </c>
      <c r="B14" s="2562"/>
      <c r="C14" s="2562"/>
      <c r="D14" s="2562"/>
      <c r="E14" s="2562"/>
      <c r="F14" s="2563"/>
      <c r="G14" s="1194" t="s">
        <v>1247</v>
      </c>
      <c r="H14" s="1192"/>
      <c r="I14" s="1192"/>
      <c r="J14" s="1192"/>
      <c r="K14" s="1192"/>
      <c r="L14" s="1193"/>
    </row>
    <row r="15" spans="1:29" ht="13.5" customHeight="1" x14ac:dyDescent="0.2">
      <c r="A15" s="2547" t="s">
        <v>2233</v>
      </c>
      <c r="B15" s="2562"/>
      <c r="C15" s="2562"/>
      <c r="D15" s="2562"/>
      <c r="E15" s="2562"/>
      <c r="F15" s="2563"/>
      <c r="G15" s="2559" t="str">
        <f>COVER!T15</f>
        <v>Thomas R. Peffer, CPA</v>
      </c>
      <c r="H15" s="2560"/>
      <c r="I15" s="2560"/>
      <c r="J15" s="2560"/>
      <c r="K15" s="2560"/>
      <c r="L15" s="2561"/>
    </row>
    <row r="16" spans="1:29" ht="12.2" customHeight="1" x14ac:dyDescent="0.2">
      <c r="A16" s="2537" t="s">
        <v>2234</v>
      </c>
      <c r="B16" s="2538"/>
      <c r="C16" s="2538"/>
      <c r="D16" s="2538"/>
      <c r="E16" s="2538"/>
      <c r="F16" s="2539"/>
      <c r="G16" s="2550"/>
      <c r="H16" s="2551"/>
      <c r="I16" s="2551"/>
      <c r="J16" s="2551"/>
      <c r="K16" s="2551"/>
      <c r="L16" s="2552"/>
    </row>
    <row r="17" spans="1:13" ht="12.2" customHeight="1" x14ac:dyDescent="0.2">
      <c r="A17" s="2553"/>
      <c r="B17" s="2554"/>
      <c r="C17" s="2554"/>
      <c r="D17" s="2554"/>
      <c r="E17" s="2554"/>
      <c r="F17" s="2555"/>
      <c r="G17" s="1194" t="s">
        <v>1246</v>
      </c>
      <c r="H17" s="1192"/>
      <c r="I17" s="1192"/>
      <c r="J17" s="1192"/>
      <c r="K17" s="1196" t="s">
        <v>1245</v>
      </c>
      <c r="L17" s="1189"/>
      <c r="M17" s="1182"/>
    </row>
    <row r="18" spans="1:13" ht="12.2" customHeight="1" x14ac:dyDescent="0.2">
      <c r="A18" s="2531"/>
      <c r="B18" s="2532"/>
      <c r="C18" s="2532"/>
      <c r="D18" s="2532"/>
      <c r="E18" s="2532"/>
      <c r="F18" s="2533"/>
      <c r="G18" s="2534" t="str">
        <f>COVER!T21</f>
        <v>309-685-7621</v>
      </c>
      <c r="H18" s="2535"/>
      <c r="I18" s="2535"/>
      <c r="J18" s="2535"/>
      <c r="K18" s="2534" t="str">
        <f>COVER!X21</f>
        <v>309-685-4758</v>
      </c>
      <c r="L18" s="2536"/>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1799</v>
      </c>
    </row>
    <row r="22" spans="1:13" ht="12.2" customHeight="1" x14ac:dyDescent="0.2">
      <c r="A22" s="1199"/>
    </row>
    <row r="23" spans="1:13" ht="12.2" customHeight="1" x14ac:dyDescent="0.2">
      <c r="A23" s="1199"/>
      <c r="B23" s="1200" t="s">
        <v>2081</v>
      </c>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t="s">
        <v>2081</v>
      </c>
      <c r="C26" s="1201" t="s">
        <v>1800</v>
      </c>
    </row>
    <row r="27" spans="1:13" s="1197" customFormat="1" ht="9" customHeight="1" x14ac:dyDescent="0.2">
      <c r="B27" s="1202"/>
      <c r="C27" s="1201"/>
    </row>
    <row r="28" spans="1:13" s="1197" customFormat="1" ht="12.2" customHeight="1" x14ac:dyDescent="0.2">
      <c r="A28" s="1204"/>
      <c r="B28" s="1200" t="s">
        <v>2081</v>
      </c>
      <c r="C28" s="1201" t="s">
        <v>1801</v>
      </c>
    </row>
    <row r="29" spans="1:13" s="1197" customFormat="1" ht="9" customHeight="1" x14ac:dyDescent="0.2">
      <c r="A29" s="1204"/>
      <c r="B29" s="1202"/>
      <c r="C29" s="1201"/>
    </row>
    <row r="30" spans="1:13" s="1197" customFormat="1" ht="12.2" customHeight="1" x14ac:dyDescent="0.2">
      <c r="B30" s="1200" t="s">
        <v>2081</v>
      </c>
      <c r="C30" s="1201" t="s">
        <v>1642</v>
      </c>
      <c r="D30" s="1195"/>
      <c r="E30" s="1195"/>
    </row>
    <row r="31" spans="1:13" s="1197" customFormat="1" ht="9" customHeight="1" x14ac:dyDescent="0.2">
      <c r="B31" s="1202"/>
      <c r="C31" s="1201"/>
      <c r="D31" s="1195"/>
      <c r="E31" s="1195"/>
    </row>
    <row r="32" spans="1:13" s="1197" customFormat="1" ht="12.2" customHeight="1" x14ac:dyDescent="0.2">
      <c r="B32" s="1200" t="s">
        <v>2081</v>
      </c>
      <c r="C32" s="1201" t="s">
        <v>1643</v>
      </c>
      <c r="D32" s="1195"/>
      <c r="E32" s="1195"/>
    </row>
    <row r="33" spans="1:8" s="1197" customFormat="1" ht="10.9" customHeight="1" x14ac:dyDescent="0.2">
      <c r="B33" s="1202"/>
      <c r="C33" s="1205" t="s">
        <v>1802</v>
      </c>
      <c r="D33" s="1195"/>
      <c r="E33" s="1195"/>
    </row>
    <row r="34" spans="1:8" ht="9" customHeight="1" x14ac:dyDescent="0.2">
      <c r="B34" s="1202"/>
      <c r="C34" s="1205"/>
    </row>
    <row r="35" spans="1:8" s="1197" customFormat="1" ht="13.5" customHeight="1" x14ac:dyDescent="0.2">
      <c r="B35" s="1200" t="s">
        <v>2081</v>
      </c>
      <c r="C35" s="1201" t="s">
        <v>1644</v>
      </c>
    </row>
    <row r="36" spans="1:8" s="1197" customFormat="1" ht="10.9" customHeight="1" x14ac:dyDescent="0.2">
      <c r="B36" s="1202"/>
      <c r="C36" s="1205" t="s">
        <v>1645</v>
      </c>
    </row>
    <row r="37" spans="1:8" ht="9" customHeight="1" x14ac:dyDescent="0.2">
      <c r="B37" s="1202"/>
      <c r="C37" s="1205"/>
    </row>
    <row r="38" spans="1:8" s="1197" customFormat="1" ht="12.2" customHeight="1" x14ac:dyDescent="0.2">
      <c r="B38" s="1200" t="s">
        <v>2081</v>
      </c>
      <c r="C38" s="1201" t="s">
        <v>1646</v>
      </c>
    </row>
    <row r="39" spans="1:8" ht="9" customHeight="1" x14ac:dyDescent="0.2">
      <c r="B39" s="1202"/>
      <c r="C39" s="1205"/>
    </row>
    <row r="40" spans="1:8" s="1197" customFormat="1" ht="13.5" customHeight="1" x14ac:dyDescent="0.2">
      <c r="B40" s="1200" t="s">
        <v>2081</v>
      </c>
      <c r="C40" s="1201" t="s">
        <v>1647</v>
      </c>
    </row>
    <row r="41" spans="1:8" ht="9" customHeight="1" x14ac:dyDescent="0.2">
      <c r="A41" s="1206"/>
      <c r="B41" s="1202"/>
      <c r="C41" s="1205"/>
    </row>
    <row r="42" spans="1:8" s="1197" customFormat="1" ht="13.5" customHeight="1" x14ac:dyDescent="0.2">
      <c r="B42" s="1200" t="s">
        <v>2081</v>
      </c>
      <c r="C42" s="1201" t="s">
        <v>1942</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t="s">
        <v>2081</v>
      </c>
      <c r="C46" s="1208" t="s">
        <v>1648</v>
      </c>
      <c r="D46" s="1195"/>
      <c r="E46" s="1195"/>
      <c r="F46" s="1195"/>
      <c r="G46" s="1195"/>
      <c r="H46" s="1195"/>
    </row>
    <row r="47" spans="1:8" ht="9" customHeight="1" x14ac:dyDescent="0.2"/>
    <row r="48" spans="1:8" ht="12.2" customHeight="1" x14ac:dyDescent="0.2">
      <c r="B48" s="1209"/>
      <c r="C48" s="1210" t="s">
        <v>1649</v>
      </c>
    </row>
    <row r="49" spans="1:12" ht="9" customHeight="1" x14ac:dyDescent="0.2"/>
    <row r="50" spans="1:12" ht="6" customHeight="1" x14ac:dyDescent="0.2">
      <c r="C50" s="1210"/>
    </row>
    <row r="51" spans="1:12" ht="12.2" customHeight="1" x14ac:dyDescent="0.2">
      <c r="A51" s="1212" t="s">
        <v>1803</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577" t="str">
        <f>'Single Audit Cover'!A7</f>
        <v>Midwest Central CUSD 191</v>
      </c>
      <c r="B1" s="2573"/>
      <c r="C1" s="2573"/>
      <c r="D1" s="2573"/>
    </row>
    <row r="2" spans="1:11" s="1213" customFormat="1" ht="12.75" x14ac:dyDescent="0.2">
      <c r="A2" s="2578">
        <f>'Single Audit Cover'!E7</f>
        <v>53060191026</v>
      </c>
      <c r="B2" s="2579"/>
      <c r="C2" s="2579"/>
      <c r="D2" s="2579"/>
    </row>
    <row r="3" spans="1:11" s="1213" customFormat="1" ht="12.75" x14ac:dyDescent="0.2">
      <c r="A3" s="2577" t="s">
        <v>1593</v>
      </c>
      <c r="B3" s="2573"/>
      <c r="C3" s="2573"/>
      <c r="D3" s="2573"/>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1804</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1805</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1806</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1807</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1828</v>
      </c>
      <c r="E24" s="1226"/>
      <c r="F24" s="1226"/>
      <c r="G24" s="1226"/>
      <c r="H24" s="1226"/>
      <c r="I24" s="1226"/>
      <c r="J24" s="1226"/>
      <c r="K24" s="1226"/>
    </row>
    <row r="25" spans="1:11" x14ac:dyDescent="0.2">
      <c r="A25" s="1220"/>
      <c r="B25" s="1229"/>
      <c r="D25" s="1228" t="s">
        <v>1808</v>
      </c>
      <c r="E25" s="1226"/>
      <c r="F25" s="1226"/>
      <c r="G25" s="1226"/>
      <c r="H25" s="1226"/>
      <c r="I25" s="1226"/>
      <c r="J25" s="1226"/>
      <c r="K25" s="1226"/>
    </row>
    <row r="26" spans="1:11" x14ac:dyDescent="0.2">
      <c r="A26" s="1220"/>
      <c r="B26" s="1229"/>
      <c r="D26" s="1233" t="s">
        <v>1809</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1650</v>
      </c>
      <c r="E28" s="1226"/>
      <c r="F28" s="1226"/>
      <c r="G28" s="1226"/>
      <c r="H28" s="1226"/>
      <c r="I28" s="1226"/>
      <c r="J28" s="1226"/>
      <c r="K28" s="1226"/>
    </row>
    <row r="29" spans="1:11" ht="10.5" customHeight="1" x14ac:dyDescent="0.2">
      <c r="A29" s="1220"/>
      <c r="D29" s="1234" t="s">
        <v>1651</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1652</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1652</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1653</v>
      </c>
    </row>
    <row r="41" spans="1:5" ht="3" customHeight="1" x14ac:dyDescent="0.2">
      <c r="A41" s="1220"/>
      <c r="B41" s="1237"/>
      <c r="C41" s="1238"/>
      <c r="D41" s="1219"/>
    </row>
    <row r="42" spans="1:5" ht="10.5" customHeight="1" x14ac:dyDescent="0.2">
      <c r="A42" s="1220"/>
      <c r="B42" s="1239"/>
      <c r="C42" s="1230">
        <v>11</v>
      </c>
      <c r="D42" s="1241" t="s">
        <v>1654</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1655</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1810</v>
      </c>
    </row>
    <row r="57" spans="1:4" ht="10.5" customHeight="1" x14ac:dyDescent="0.2">
      <c r="A57" s="1220"/>
      <c r="D57" s="1235" t="s">
        <v>1811</v>
      </c>
    </row>
    <row r="58" spans="1:4" x14ac:dyDescent="0.2">
      <c r="A58" s="1220"/>
      <c r="C58" s="1242"/>
      <c r="D58" s="1235" t="s">
        <v>1812</v>
      </c>
    </row>
    <row r="59" spans="1:4" ht="10.5" customHeight="1" x14ac:dyDescent="0.2">
      <c r="A59" s="1220"/>
      <c r="D59" s="1219" t="s">
        <v>1271</v>
      </c>
    </row>
    <row r="60" spans="1:4" ht="10.5" customHeight="1" x14ac:dyDescent="0.2">
      <c r="A60" s="1220"/>
      <c r="D60" s="1243" t="s">
        <v>1680</v>
      </c>
    </row>
    <row r="61" spans="1:4" ht="10.5" customHeight="1" x14ac:dyDescent="0.2">
      <c r="A61" s="1220"/>
      <c r="C61" s="1242"/>
      <c r="D61" s="1235" t="s">
        <v>1813</v>
      </c>
    </row>
    <row r="62" spans="1:4" ht="10.5" customHeight="1" x14ac:dyDescent="0.2">
      <c r="A62" s="1220"/>
      <c r="D62" s="1244" t="s">
        <v>1270</v>
      </c>
    </row>
    <row r="63" spans="1:4" ht="10.5" customHeight="1" x14ac:dyDescent="0.2">
      <c r="A63" s="1220"/>
      <c r="D63" s="1219" t="s">
        <v>1656</v>
      </c>
    </row>
    <row r="64" spans="1:4" ht="10.5" customHeight="1" x14ac:dyDescent="0.2">
      <c r="A64" s="1220"/>
      <c r="D64" s="1243" t="s">
        <v>1679</v>
      </c>
    </row>
    <row r="65" spans="1:4" x14ac:dyDescent="0.2">
      <c r="A65" s="1220"/>
      <c r="C65" s="1242"/>
      <c r="D65" s="1235" t="s">
        <v>1814</v>
      </c>
    </row>
    <row r="66" spans="1:4" ht="10.5" customHeight="1" x14ac:dyDescent="0.2">
      <c r="A66" s="1220"/>
      <c r="D66" s="1245" t="s">
        <v>1269</v>
      </c>
    </row>
    <row r="67" spans="1:4" ht="10.5" customHeight="1" x14ac:dyDescent="0.2">
      <c r="A67" s="1220"/>
      <c r="D67" s="1219" t="s">
        <v>1657</v>
      </c>
    </row>
    <row r="68" spans="1:4" ht="10.5" customHeight="1" x14ac:dyDescent="0.2">
      <c r="A68" s="1220"/>
      <c r="D68" s="1243" t="s">
        <v>1679</v>
      </c>
    </row>
    <row r="69" spans="1:4" ht="10.5" customHeight="1" x14ac:dyDescent="0.2">
      <c r="A69" s="1220"/>
      <c r="C69" s="1242"/>
      <c r="D69" s="1235" t="s">
        <v>1815</v>
      </c>
    </row>
    <row r="70" spans="1:4" x14ac:dyDescent="0.2">
      <c r="A70" s="1220"/>
      <c r="D70" s="1244" t="s">
        <v>1268</v>
      </c>
    </row>
    <row r="71" spans="1:4" ht="3" customHeight="1" x14ac:dyDescent="0.2">
      <c r="A71" s="1220"/>
      <c r="D71" s="1219"/>
    </row>
    <row r="72" spans="1:4" x14ac:dyDescent="0.2">
      <c r="A72" s="1220"/>
      <c r="B72" s="1223"/>
      <c r="C72" s="1224">
        <f>C56+1</f>
        <v>18</v>
      </c>
      <c r="D72" s="1245" t="s">
        <v>1816</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1817</v>
      </c>
    </row>
    <row r="77" spans="1:4" ht="3" customHeight="1" x14ac:dyDescent="0.2">
      <c r="A77" s="1220"/>
      <c r="B77" s="1227"/>
      <c r="C77" s="1224"/>
      <c r="D77" s="1246"/>
    </row>
    <row r="78" spans="1:4" x14ac:dyDescent="0.2">
      <c r="A78" s="1220"/>
      <c r="B78" s="1223"/>
      <c r="C78" s="1224">
        <f>C76+1</f>
        <v>21</v>
      </c>
      <c r="D78" s="1219" t="s">
        <v>1818</v>
      </c>
    </row>
    <row r="79" spans="1:4" ht="3" customHeight="1" x14ac:dyDescent="0.2">
      <c r="A79" s="1220"/>
      <c r="B79" s="1227"/>
      <c r="C79" s="1224"/>
      <c r="D79" s="1219"/>
    </row>
    <row r="80" spans="1:4" x14ac:dyDescent="0.2">
      <c r="A80" s="1220"/>
      <c r="B80" s="1223"/>
      <c r="C80" s="1224">
        <f>C78+1</f>
        <v>22</v>
      </c>
      <c r="D80" s="1247" t="s">
        <v>1819</v>
      </c>
    </row>
    <row r="81" spans="1:4" ht="3" customHeight="1" x14ac:dyDescent="0.2">
      <c r="A81" s="1220"/>
      <c r="B81" s="1227"/>
      <c r="C81" s="1224"/>
      <c r="D81" s="1247"/>
    </row>
    <row r="82" spans="1:4" x14ac:dyDescent="0.2">
      <c r="A82" s="1220"/>
      <c r="B82" s="1223"/>
      <c r="C82" s="1224">
        <f>C80+1</f>
        <v>23</v>
      </c>
      <c r="D82" s="1246" t="s">
        <v>1820</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1821</v>
      </c>
    </row>
    <row r="92" spans="1:4" x14ac:dyDescent="0.2">
      <c r="A92" s="1220"/>
      <c r="B92" s="1248"/>
      <c r="C92" s="1242"/>
      <c r="D92" s="1235" t="s">
        <v>1262</v>
      </c>
    </row>
    <row r="93" spans="1:4" ht="4.5" customHeight="1" x14ac:dyDescent="0.2">
      <c r="A93" s="1220"/>
      <c r="D93" s="1219"/>
    </row>
    <row r="94" spans="1:4" x14ac:dyDescent="0.2">
      <c r="A94" s="1220"/>
      <c r="B94" s="1221" t="s">
        <v>1658</v>
      </c>
      <c r="C94" s="1222"/>
      <c r="D94" s="1219"/>
    </row>
    <row r="95" spans="1:4" ht="4.5" customHeight="1" x14ac:dyDescent="0.2">
      <c r="A95" s="1220"/>
      <c r="B95" s="1221"/>
      <c r="C95" s="1222"/>
      <c r="D95" s="1219"/>
    </row>
    <row r="96" spans="1:4" x14ac:dyDescent="0.2">
      <c r="A96" s="1220"/>
      <c r="B96" s="1223"/>
      <c r="C96" s="1224">
        <f>C91+1</f>
        <v>28</v>
      </c>
      <c r="D96" s="1235" t="s">
        <v>1822</v>
      </c>
    </row>
    <row r="97" spans="1:4" ht="3" customHeight="1" x14ac:dyDescent="0.2">
      <c r="A97" s="1220"/>
      <c r="B97" s="1227"/>
      <c r="C97" s="1224"/>
      <c r="D97" s="1235"/>
    </row>
    <row r="98" spans="1:4" x14ac:dyDescent="0.2">
      <c r="A98" s="1220"/>
      <c r="B98" s="1223"/>
      <c r="C98" s="1224">
        <f>C96+1</f>
        <v>29</v>
      </c>
      <c r="D98" s="1249" t="s">
        <v>1823</v>
      </c>
    </row>
    <row r="99" spans="1:4" ht="3" customHeight="1" x14ac:dyDescent="0.2">
      <c r="A99" s="1220"/>
      <c r="B99" s="1227"/>
      <c r="C99" s="1224"/>
      <c r="D99" s="1249"/>
    </row>
    <row r="100" spans="1:4" x14ac:dyDescent="0.2">
      <c r="A100" s="1220"/>
      <c r="B100" s="1223"/>
      <c r="C100" s="1224">
        <f>C98+1</f>
        <v>30</v>
      </c>
      <c r="D100" s="1235" t="s">
        <v>1824</v>
      </c>
    </row>
    <row r="101" spans="1:4" ht="3" customHeight="1" x14ac:dyDescent="0.2">
      <c r="A101" s="1220"/>
      <c r="B101" s="1227"/>
      <c r="C101" s="1224"/>
      <c r="D101" s="1250"/>
    </row>
    <row r="102" spans="1:4" x14ac:dyDescent="0.2">
      <c r="A102" s="1220"/>
      <c r="B102" s="1223"/>
      <c r="C102" s="1224">
        <f>C100+1</f>
        <v>31</v>
      </c>
      <c r="D102" s="1235" t="s">
        <v>1659</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1660</v>
      </c>
    </row>
    <row r="107" spans="1:4" ht="3" customHeight="1" x14ac:dyDescent="0.2">
      <c r="A107" s="1220"/>
      <c r="B107" s="1227"/>
      <c r="C107" s="1224"/>
      <c r="D107" s="1219"/>
    </row>
    <row r="108" spans="1:4" x14ac:dyDescent="0.2">
      <c r="A108" s="1220"/>
      <c r="B108" s="1223"/>
      <c r="C108" s="1224">
        <v>33</v>
      </c>
      <c r="D108" s="1219" t="s">
        <v>1825</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1826</v>
      </c>
    </row>
    <row r="118" spans="1:4" ht="3" customHeight="1" x14ac:dyDescent="0.2">
      <c r="A118" s="1220"/>
      <c r="B118" s="1227"/>
      <c r="C118" s="1224"/>
      <c r="D118" s="1235"/>
    </row>
    <row r="119" spans="1:4" x14ac:dyDescent="0.2">
      <c r="A119" s="1220"/>
      <c r="B119" s="1223"/>
      <c r="C119" s="1224">
        <f>C117+1</f>
        <v>38</v>
      </c>
      <c r="D119" s="1235" t="s">
        <v>1827</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1943</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581" t="str">
        <f>'Single Audit Cover'!A7</f>
        <v>Midwest Central CUSD 191</v>
      </c>
      <c r="B1" s="2581"/>
      <c r="C1" s="2581"/>
      <c r="D1" s="2581"/>
      <c r="E1" s="2581"/>
    </row>
    <row r="2" spans="1:5" x14ac:dyDescent="0.2">
      <c r="A2" s="2582">
        <f>'Single Audit Cover'!E7</f>
        <v>53060191026</v>
      </c>
      <c r="B2" s="2582"/>
      <c r="C2" s="2582"/>
      <c r="D2" s="2582"/>
      <c r="E2" s="2582"/>
    </row>
    <row r="3" spans="1:5" ht="4.5" customHeight="1" x14ac:dyDescent="0.2"/>
    <row r="4" spans="1:5" x14ac:dyDescent="0.2">
      <c r="A4" s="2581" t="s">
        <v>1307</v>
      </c>
      <c r="B4" s="2581"/>
      <c r="C4" s="2581"/>
      <c r="D4" s="2581"/>
      <c r="E4" s="2581"/>
    </row>
    <row r="5" spans="1:5" x14ac:dyDescent="0.2">
      <c r="A5" s="2584" t="str">
        <f>'Single Audit Cover'!A4</f>
        <v>Year Ending June 30, 2018</v>
      </c>
      <c r="B5" s="2584"/>
      <c r="C5" s="2584"/>
      <c r="D5" s="2584"/>
      <c r="E5" s="2584"/>
    </row>
    <row r="6" spans="1:5" x14ac:dyDescent="0.2">
      <c r="A6" s="2581" t="s">
        <v>1306</v>
      </c>
      <c r="B6" s="2581"/>
      <c r="C6" s="2581"/>
      <c r="D6" s="2581"/>
      <c r="E6" s="2581"/>
    </row>
    <row r="8" spans="1:5" x14ac:dyDescent="0.2">
      <c r="A8" s="1258" t="s">
        <v>1305</v>
      </c>
    </row>
    <row r="10" spans="1:5" x14ac:dyDescent="0.2">
      <c r="A10" s="1259" t="s">
        <v>1304</v>
      </c>
      <c r="B10" s="1260" t="s">
        <v>1303</v>
      </c>
      <c r="C10" s="1260"/>
      <c r="D10" s="1261">
        <f>SUM('Acct Summary 7-8'!C7:K7)</f>
        <v>871262</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1829</v>
      </c>
      <c r="B14" s="1260"/>
      <c r="C14" s="1260"/>
      <c r="D14" s="1262">
        <f>'ICR Computation 30'!E11</f>
        <v>36689</v>
      </c>
    </row>
    <row r="15" spans="1:5" x14ac:dyDescent="0.2">
      <c r="A15" s="1259"/>
      <c r="B15" s="1260"/>
      <c r="C15" s="1260"/>
    </row>
    <row r="16" spans="1:5" x14ac:dyDescent="0.2">
      <c r="A16" s="1259" t="s">
        <v>1951</v>
      </c>
      <c r="B16" s="1260"/>
      <c r="C16" s="1260"/>
    </row>
    <row r="17" spans="1:4" x14ac:dyDescent="0.2">
      <c r="A17" s="1259" t="s">
        <v>1601</v>
      </c>
      <c r="B17" s="1260" t="s">
        <v>1298</v>
      </c>
      <c r="C17" s="1260"/>
      <c r="D17" s="1262">
        <f>-SUM('Revenues 9-14'!C271:D271,'Revenues 9-14'!F271:G271)</f>
        <v>-68334</v>
      </c>
    </row>
    <row r="19" spans="1:4" ht="13.5" thickBot="1" x14ac:dyDescent="0.25">
      <c r="A19" s="1263" t="s">
        <v>1297</v>
      </c>
      <c r="D19" s="1264">
        <f>SUM(D10:D17)</f>
        <v>839617</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583" t="s">
        <v>2242</v>
      </c>
      <c r="B24" s="2583"/>
      <c r="D24" s="1266">
        <v>-36689</v>
      </c>
    </row>
    <row r="25" spans="1:4" x14ac:dyDescent="0.2">
      <c r="A25" s="2580"/>
      <c r="B25" s="2580"/>
      <c r="D25" s="1266"/>
    </row>
    <row r="26" spans="1:4" x14ac:dyDescent="0.2">
      <c r="A26" s="2580"/>
      <c r="B26" s="2580"/>
      <c r="D26" s="1266"/>
    </row>
    <row r="27" spans="1:4" x14ac:dyDescent="0.2">
      <c r="A27" s="2580"/>
      <c r="B27" s="2580"/>
      <c r="D27" s="1266"/>
    </row>
    <row r="28" spans="1:4" x14ac:dyDescent="0.2">
      <c r="A28" s="2580"/>
      <c r="B28" s="2580"/>
      <c r="D28" s="1266"/>
    </row>
    <row r="29" spans="1:4" x14ac:dyDescent="0.2">
      <c r="A29" s="2580"/>
      <c r="B29" s="2580"/>
      <c r="D29" s="1266"/>
    </row>
    <row r="30" spans="1:4" x14ac:dyDescent="0.2">
      <c r="A30" s="2580"/>
      <c r="B30" s="2580"/>
      <c r="D30" s="1266"/>
    </row>
    <row r="32" spans="1:4" x14ac:dyDescent="0.2">
      <c r="A32" s="1258" t="s">
        <v>1295</v>
      </c>
      <c r="D32" s="1261">
        <f>SUM(D19:D30)</f>
        <v>802928</v>
      </c>
    </row>
    <row r="33" spans="1:4" x14ac:dyDescent="0.2">
      <c r="D33" s="1267"/>
    </row>
    <row r="34" spans="1:4" x14ac:dyDescent="0.2">
      <c r="A34" s="317" t="s">
        <v>1294</v>
      </c>
    </row>
    <row r="35" spans="1:4" x14ac:dyDescent="0.2">
      <c r="A35" s="317" t="s">
        <v>1293</v>
      </c>
      <c r="B35" s="1256" t="s">
        <v>1292</v>
      </c>
      <c r="D35" s="1268">
        <v>802928</v>
      </c>
    </row>
    <row r="37" spans="1:4" x14ac:dyDescent="0.2">
      <c r="A37" s="1258" t="s">
        <v>1291</v>
      </c>
    </row>
    <row r="39" spans="1:4" ht="13.35" customHeight="1" x14ac:dyDescent="0.2">
      <c r="A39" s="1265" t="s">
        <v>1290</v>
      </c>
    </row>
    <row r="40" spans="1:4" x14ac:dyDescent="0.2">
      <c r="A40" s="2580"/>
      <c r="B40" s="2580"/>
      <c r="D40" s="1266"/>
    </row>
    <row r="41" spans="1:4" x14ac:dyDescent="0.2">
      <c r="A41" s="2580"/>
      <c r="B41" s="2580"/>
      <c r="D41" s="1269"/>
    </row>
    <row r="42" spans="1:4" x14ac:dyDescent="0.2">
      <c r="A42" s="2580"/>
      <c r="B42" s="2580"/>
      <c r="D42" s="1269"/>
    </row>
    <row r="43" spans="1:4" x14ac:dyDescent="0.2">
      <c r="A43" s="2580"/>
      <c r="B43" s="2580"/>
      <c r="D43" s="1269"/>
    </row>
    <row r="44" spans="1:4" x14ac:dyDescent="0.2">
      <c r="A44" s="2580"/>
      <c r="B44" s="2580"/>
      <c r="D44" s="1269"/>
    </row>
    <row r="45" spans="1:4" x14ac:dyDescent="0.2">
      <c r="A45" s="2580"/>
      <c r="B45" s="2580"/>
      <c r="D45" s="1269"/>
    </row>
    <row r="47" spans="1:4" x14ac:dyDescent="0.2">
      <c r="B47" s="1270" t="s">
        <v>1289</v>
      </c>
      <c r="C47" s="1270"/>
      <c r="D47" s="1271">
        <f>SUM(D35:D45)</f>
        <v>802928</v>
      </c>
    </row>
    <row r="49" spans="2:4" x14ac:dyDescent="0.2">
      <c r="B49" s="1270" t="s">
        <v>1288</v>
      </c>
      <c r="C49" s="1270"/>
      <c r="D49" s="127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5"/>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586" t="str">
        <f>'Single Audit Cover'!A7</f>
        <v>Midwest Central CUSD 191</v>
      </c>
      <c r="B1" s="2586"/>
      <c r="C1" s="2586"/>
      <c r="D1" s="2586"/>
      <c r="E1" s="2586"/>
      <c r="F1" s="2586"/>
    </row>
    <row r="2" spans="1:7" ht="13.5" customHeight="1" x14ac:dyDescent="0.2">
      <c r="A2" s="2587">
        <f>'Single Audit Cover'!E7</f>
        <v>53060191026</v>
      </c>
      <c r="B2" s="2587"/>
      <c r="C2" s="2587"/>
      <c r="D2" s="2587"/>
      <c r="E2" s="2587"/>
      <c r="F2" s="2587"/>
      <c r="G2" s="1273"/>
    </row>
    <row r="3" spans="1:7" ht="15.75" customHeight="1" x14ac:dyDescent="0.2">
      <c r="A3" s="2588" t="s">
        <v>1333</v>
      </c>
      <c r="B3" s="2588"/>
      <c r="C3" s="2588"/>
      <c r="D3" s="2588"/>
      <c r="E3" s="2588"/>
      <c r="F3" s="2588"/>
    </row>
    <row r="4" spans="1:7" ht="13.5" customHeight="1" x14ac:dyDescent="0.2">
      <c r="A4" s="2589" t="str">
        <f>'Single Audit Cover'!A4</f>
        <v>Year Ending June 30, 2018</v>
      </c>
      <c r="B4" s="2589"/>
      <c r="C4" s="2589"/>
      <c r="D4" s="2589"/>
      <c r="E4" s="2589"/>
      <c r="F4" s="2589"/>
    </row>
    <row r="5" spans="1:7" ht="8.25" customHeight="1" x14ac:dyDescent="0.2">
      <c r="C5" s="317"/>
      <c r="D5" s="317"/>
    </row>
    <row r="6" spans="1:7" ht="13.5" customHeight="1" x14ac:dyDescent="0.2">
      <c r="A6" s="1274" t="s">
        <v>1830</v>
      </c>
      <c r="C6" s="317"/>
      <c r="D6" s="317"/>
    </row>
    <row r="7" spans="1:7" ht="60.95" customHeight="1" x14ac:dyDescent="0.2">
      <c r="A7" s="2585" t="s">
        <v>2214</v>
      </c>
      <c r="B7" s="2585"/>
      <c r="C7" s="2585"/>
      <c r="D7" s="2585"/>
      <c r="E7" s="2585"/>
      <c r="F7" s="2585"/>
    </row>
    <row r="8" spans="1:7" ht="12" customHeight="1" x14ac:dyDescent="0.2">
      <c r="A8" s="1274"/>
      <c r="B8" s="1280"/>
      <c r="C8" s="1280"/>
      <c r="D8" s="1280"/>
    </row>
    <row r="9" spans="1:7" ht="15" customHeight="1" x14ac:dyDescent="0.2">
      <c r="A9" s="1275" t="s">
        <v>1831</v>
      </c>
      <c r="B9" s="1278"/>
      <c r="C9" s="1278"/>
      <c r="D9" s="1278"/>
      <c r="E9" s="1276"/>
      <c r="F9" s="1276"/>
      <c r="G9" s="1276"/>
    </row>
    <row r="10" spans="1:7" ht="15" customHeight="1" x14ac:dyDescent="0.2">
      <c r="A10" s="1277" t="s">
        <v>1628</v>
      </c>
      <c r="B10" s="1278"/>
      <c r="C10" s="1279"/>
      <c r="D10" s="1278" t="s">
        <v>1629</v>
      </c>
      <c r="E10" s="1279" t="s">
        <v>2081</v>
      </c>
      <c r="F10" s="1278" t="s">
        <v>101</v>
      </c>
      <c r="G10" s="1276"/>
    </row>
    <row r="11" spans="1:7" ht="12" customHeight="1" x14ac:dyDescent="0.2">
      <c r="A11" s="1277"/>
      <c r="B11" s="1278"/>
      <c r="C11" s="1925"/>
      <c r="D11" s="1278"/>
      <c r="E11" s="1925"/>
      <c r="F11" s="1278"/>
      <c r="G11" s="1276"/>
    </row>
    <row r="12" spans="1:7" x14ac:dyDescent="0.2">
      <c r="A12" s="1274" t="s">
        <v>1668</v>
      </c>
      <c r="C12" s="1258"/>
      <c r="D12" s="1258"/>
    </row>
    <row r="13" spans="1:7" ht="24.75" customHeight="1" x14ac:dyDescent="0.2">
      <c r="A13" s="2585" t="s">
        <v>2215</v>
      </c>
      <c r="B13" s="2585"/>
      <c r="C13" s="2585"/>
      <c r="D13" s="2585"/>
      <c r="E13" s="2585"/>
      <c r="F13" s="2585"/>
    </row>
    <row r="14" spans="1:7" ht="9.75" customHeight="1" x14ac:dyDescent="0.2">
      <c r="C14" s="1258"/>
      <c r="D14" s="1258"/>
    </row>
    <row r="15" spans="1:7" ht="13.5" customHeight="1" x14ac:dyDescent="0.2">
      <c r="C15" s="1869" t="s">
        <v>1332</v>
      </c>
      <c r="D15" s="2591" t="s">
        <v>1331</v>
      </c>
      <c r="E15" s="2591"/>
      <c r="F15" s="2591"/>
    </row>
    <row r="16" spans="1:7" ht="13.5" customHeight="1" x14ac:dyDescent="0.2">
      <c r="A16" s="1280"/>
      <c r="B16" s="1274" t="s">
        <v>1330</v>
      </c>
      <c r="C16" s="1869" t="s">
        <v>1329</v>
      </c>
      <c r="D16" s="2592" t="s">
        <v>1669</v>
      </c>
      <c r="E16" s="2592"/>
      <c r="F16" s="2592"/>
    </row>
    <row r="17" spans="1:6" ht="20.45" customHeight="1" x14ac:dyDescent="0.2">
      <c r="A17" s="1281"/>
      <c r="B17" s="1282" t="s">
        <v>2213</v>
      </c>
      <c r="C17" s="1283"/>
      <c r="D17" s="2590"/>
      <c r="E17" s="2590"/>
      <c r="F17" s="2590"/>
    </row>
    <row r="18" spans="1:6" ht="20.65" hidden="1" customHeight="1" x14ac:dyDescent="0.2">
      <c r="A18" s="1281"/>
      <c r="B18" s="1282"/>
      <c r="C18" s="1283"/>
      <c r="D18" s="2590"/>
      <c r="E18" s="2590"/>
      <c r="F18" s="2590"/>
    </row>
    <row r="19" spans="1:6" ht="20.65" hidden="1" customHeight="1" x14ac:dyDescent="0.2">
      <c r="A19" s="1281"/>
      <c r="B19" s="1282"/>
      <c r="C19" s="1283"/>
      <c r="D19" s="2590"/>
      <c r="E19" s="2590"/>
      <c r="F19" s="2590"/>
    </row>
    <row r="20" spans="1:6" ht="20.65" hidden="1" customHeight="1" x14ac:dyDescent="0.2">
      <c r="A20" s="1281"/>
      <c r="B20" s="1282"/>
      <c r="C20" s="1283"/>
      <c r="D20" s="2590"/>
      <c r="E20" s="2590"/>
      <c r="F20" s="2590"/>
    </row>
    <row r="21" spans="1:6" ht="20.65" hidden="1" customHeight="1" x14ac:dyDescent="0.2">
      <c r="A21" s="1281"/>
      <c r="B21" s="1282"/>
      <c r="C21" s="1283"/>
      <c r="D21" s="2590"/>
      <c r="E21" s="2590"/>
      <c r="F21" s="2590"/>
    </row>
    <row r="22" spans="1:6" ht="20.65" hidden="1" customHeight="1" x14ac:dyDescent="0.2">
      <c r="A22" s="1281"/>
      <c r="B22" s="1282"/>
      <c r="C22" s="1283"/>
      <c r="D22" s="2590"/>
      <c r="E22" s="2590"/>
      <c r="F22" s="2590"/>
    </row>
    <row r="23" spans="1:6" ht="20.65" hidden="1" customHeight="1" x14ac:dyDescent="0.2">
      <c r="A23" s="1281"/>
      <c r="B23" s="1282"/>
      <c r="C23" s="1283"/>
      <c r="D23" s="2590"/>
      <c r="E23" s="2590"/>
      <c r="F23" s="2590"/>
    </row>
    <row r="24" spans="1:6" ht="20.65" hidden="1" customHeight="1" x14ac:dyDescent="0.2">
      <c r="A24" s="1281"/>
      <c r="B24" s="1282"/>
      <c r="C24" s="1283"/>
      <c r="D24" s="2590"/>
      <c r="E24" s="2590"/>
      <c r="F24" s="2590"/>
    </row>
    <row r="25" spans="1:6" ht="20.65" hidden="1" customHeight="1" x14ac:dyDescent="0.2">
      <c r="A25" s="1281"/>
      <c r="B25" s="1282"/>
      <c r="C25" s="1283"/>
      <c r="D25" s="2590"/>
      <c r="E25" s="2590"/>
      <c r="F25" s="2590"/>
    </row>
    <row r="26" spans="1:6" ht="20.65" hidden="1" customHeight="1" x14ac:dyDescent="0.2">
      <c r="A26" s="1281"/>
      <c r="B26" s="1282"/>
      <c r="C26" s="1283"/>
      <c r="D26" s="2590"/>
      <c r="E26" s="2590"/>
      <c r="F26" s="2590"/>
    </row>
    <row r="27" spans="1:6" ht="20.65" hidden="1" customHeight="1" x14ac:dyDescent="0.2">
      <c r="A27" s="1281"/>
      <c r="B27" s="1282"/>
      <c r="C27" s="1283"/>
      <c r="D27" s="2590"/>
      <c r="E27" s="2590"/>
      <c r="F27" s="2590"/>
    </row>
    <row r="28" spans="1:6" ht="20.65" hidden="1" customHeight="1" x14ac:dyDescent="0.2">
      <c r="A28" s="1281"/>
      <c r="B28" s="1282"/>
      <c r="C28" s="1283"/>
      <c r="D28" s="2590"/>
      <c r="E28" s="2590"/>
      <c r="F28" s="2590"/>
    </row>
    <row r="29" spans="1:6" ht="20.65" hidden="1" customHeight="1" x14ac:dyDescent="0.2">
      <c r="A29" s="1281"/>
      <c r="B29" s="1282"/>
      <c r="C29" s="1283"/>
      <c r="D29" s="2590"/>
      <c r="E29" s="2590"/>
      <c r="F29" s="2590"/>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594" t="s">
        <v>2216</v>
      </c>
      <c r="B32" s="2594"/>
      <c r="C32" s="2594"/>
      <c r="D32" s="2594"/>
      <c r="E32" s="2594"/>
      <c r="F32" s="2594"/>
    </row>
    <row r="33" spans="1:6" ht="13.5" customHeight="1" x14ac:dyDescent="0.2">
      <c r="A33" s="328" t="s">
        <v>1509</v>
      </c>
      <c r="B33" s="328"/>
      <c r="C33" s="1286">
        <v>25847</v>
      </c>
      <c r="D33" s="1926"/>
      <c r="E33" s="1284"/>
    </row>
    <row r="34" spans="1:6" ht="13.5" customHeight="1" x14ac:dyDescent="0.2">
      <c r="A34" s="328" t="s">
        <v>1944</v>
      </c>
      <c r="B34" s="328"/>
      <c r="C34" s="1287">
        <v>10843</v>
      </c>
      <c r="D34" s="1926" t="s">
        <v>1670</v>
      </c>
      <c r="E34" s="2595">
        <f>+C33+C34</f>
        <v>36690</v>
      </c>
      <c r="F34" s="2596"/>
    </row>
    <row r="35" spans="1:6" ht="13.5" customHeight="1" x14ac:dyDescent="0.2">
      <c r="A35" s="328"/>
      <c r="B35" s="328"/>
      <c r="C35" s="2077"/>
      <c r="D35" s="1926"/>
      <c r="E35" s="2078"/>
      <c r="F35" s="2079"/>
    </row>
    <row r="36" spans="1:6" ht="13.5" customHeight="1" x14ac:dyDescent="0.2">
      <c r="A36" s="1285" t="s">
        <v>2217</v>
      </c>
      <c r="B36" s="328"/>
      <c r="C36" s="2077"/>
      <c r="D36" s="1926"/>
      <c r="E36" s="2078"/>
      <c r="F36" s="2079"/>
    </row>
    <row r="37" spans="1:6" ht="37.5" customHeight="1" x14ac:dyDescent="0.2">
      <c r="A37" s="2598" t="s">
        <v>2219</v>
      </c>
      <c r="B37" s="2598"/>
      <c r="C37" s="2598"/>
      <c r="D37" s="2598"/>
      <c r="E37" s="2598"/>
      <c r="F37" s="2598"/>
    </row>
    <row r="38" spans="1:6" ht="12" customHeight="1" x14ac:dyDescent="0.2">
      <c r="A38" s="328"/>
      <c r="B38" s="328"/>
      <c r="C38" s="1927"/>
      <c r="D38" s="1926"/>
      <c r="E38" s="1288"/>
      <c r="F38" s="1289"/>
    </row>
    <row r="39" spans="1:6" ht="13.5" customHeight="1" x14ac:dyDescent="0.2">
      <c r="A39" s="1285" t="s">
        <v>2218</v>
      </c>
      <c r="B39" s="328"/>
      <c r="C39" s="1476"/>
      <c r="D39" s="1926"/>
      <c r="E39" s="1284"/>
    </row>
    <row r="40" spans="1:6" ht="14.25" customHeight="1" x14ac:dyDescent="0.2">
      <c r="A40" s="328" t="s">
        <v>1563</v>
      </c>
      <c r="B40" s="328"/>
      <c r="C40" s="1928"/>
      <c r="D40" s="1926"/>
      <c r="E40" s="1284"/>
    </row>
    <row r="41" spans="1:6" ht="14.25" customHeight="1" x14ac:dyDescent="0.2">
      <c r="A41" s="328"/>
      <c r="B41" s="328" t="s">
        <v>1510</v>
      </c>
      <c r="C41" s="1290" t="s">
        <v>401</v>
      </c>
      <c r="D41" s="1926"/>
      <c r="E41" s="1284"/>
    </row>
    <row r="42" spans="1:6" ht="14.25" customHeight="1" x14ac:dyDescent="0.2">
      <c r="A42" s="328"/>
      <c r="B42" s="328" t="s">
        <v>1511</v>
      </c>
      <c r="C42" s="1290" t="s">
        <v>401</v>
      </c>
      <c r="D42" s="1926"/>
      <c r="E42" s="1284"/>
    </row>
    <row r="43" spans="1:6" ht="14.25" customHeight="1" x14ac:dyDescent="0.2">
      <c r="A43" s="328"/>
      <c r="B43" s="328" t="s">
        <v>1512</v>
      </c>
      <c r="C43" s="1290" t="s">
        <v>401</v>
      </c>
      <c r="D43" s="1926"/>
      <c r="E43" s="1284"/>
    </row>
    <row r="44" spans="1:6" ht="14.25" customHeight="1" x14ac:dyDescent="0.2">
      <c r="A44" s="328"/>
      <c r="B44" s="328" t="s">
        <v>1513</v>
      </c>
      <c r="C44" s="1290" t="s">
        <v>401</v>
      </c>
      <c r="D44" s="1926"/>
      <c r="E44" s="1284"/>
    </row>
    <row r="45" spans="1:6" ht="14.25" customHeight="1" x14ac:dyDescent="0.2">
      <c r="A45" s="328" t="s">
        <v>1514</v>
      </c>
      <c r="B45" s="328"/>
      <c r="C45" s="1924" t="s">
        <v>401</v>
      </c>
      <c r="D45" s="1926"/>
      <c r="E45" s="1284"/>
    </row>
    <row r="46" spans="1:6" ht="14.25" customHeight="1" x14ac:dyDescent="0.2">
      <c r="A46" s="328" t="s">
        <v>1515</v>
      </c>
      <c r="B46" s="328"/>
      <c r="C46" s="1291" t="s">
        <v>401</v>
      </c>
      <c r="D46" s="1926"/>
      <c r="E46" s="1284"/>
    </row>
    <row r="47" spans="1:6" ht="14.25" customHeight="1" x14ac:dyDescent="0.2">
      <c r="A47" s="328"/>
      <c r="B47" s="328"/>
      <c r="C47" s="1928" t="s">
        <v>1516</v>
      </c>
      <c r="D47" s="1926"/>
      <c r="E47" s="1284"/>
    </row>
    <row r="48" spans="1:6" ht="13.5" customHeight="1" x14ac:dyDescent="0.2">
      <c r="B48" s="322"/>
      <c r="C48" s="1292"/>
      <c r="D48" s="1292"/>
    </row>
    <row r="49" spans="1:6" x14ac:dyDescent="0.2">
      <c r="A49" s="1293" t="s">
        <v>1832</v>
      </c>
      <c r="C49" s="317"/>
      <c r="D49" s="317"/>
    </row>
    <row r="50" spans="1:6" s="322" customFormat="1" ht="11.25" customHeight="1" x14ac:dyDescent="0.2">
      <c r="A50" s="1294"/>
      <c r="B50" s="1295"/>
      <c r="C50" s="1295"/>
      <c r="D50" s="1295"/>
      <c r="E50" s="1295"/>
      <c r="F50" s="1295"/>
    </row>
    <row r="51" spans="1:6" s="322" customFormat="1" ht="6" customHeight="1" x14ac:dyDescent="0.2">
      <c r="A51" s="1296"/>
    </row>
    <row r="52" spans="1:6" s="1298" customFormat="1" ht="23.25" customHeight="1" x14ac:dyDescent="0.2">
      <c r="A52" s="1297">
        <v>5</v>
      </c>
      <c r="B52" s="2597" t="s">
        <v>1671</v>
      </c>
      <c r="C52" s="2597"/>
      <c r="D52" s="2597"/>
      <c r="E52" s="1397"/>
    </row>
    <row r="53" spans="1:6" s="1298" customFormat="1" ht="3.75" customHeight="1" x14ac:dyDescent="0.2">
      <c r="A53" s="1297"/>
      <c r="B53" s="1868"/>
      <c r="C53" s="1868"/>
      <c r="D53" s="1868"/>
      <c r="E53" s="1397"/>
    </row>
    <row r="54" spans="1:6" s="1298" customFormat="1" ht="20.25" customHeight="1" x14ac:dyDescent="0.2">
      <c r="A54" s="1299">
        <v>6</v>
      </c>
      <c r="B54" s="2593" t="s">
        <v>1631</v>
      </c>
      <c r="C54" s="2593"/>
      <c r="D54" s="2593"/>
    </row>
    <row r="55" spans="1:6" ht="14.25" customHeight="1" x14ac:dyDescent="0.2">
      <c r="A55" s="1299"/>
      <c r="B55" s="2593"/>
      <c r="C55" s="2593"/>
      <c r="D55" s="2593"/>
    </row>
  </sheetData>
  <mergeCells count="27">
    <mergeCell ref="B54:D54"/>
    <mergeCell ref="B55:D55"/>
    <mergeCell ref="D27:F27"/>
    <mergeCell ref="D28:F28"/>
    <mergeCell ref="D29:F29"/>
    <mergeCell ref="A32:F32"/>
    <mergeCell ref="E34:F34"/>
    <mergeCell ref="B52:D52"/>
    <mergeCell ref="A37:F37"/>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540" t="str">
        <f>'Single Audit Cover'!A7</f>
        <v>Midwest Central CUSD 191</v>
      </c>
      <c r="C1" s="2599"/>
      <c r="D1" s="2599"/>
      <c r="E1" s="2599"/>
      <c r="F1" s="2599"/>
      <c r="G1" s="2599"/>
      <c r="H1" s="2599"/>
      <c r="I1" s="2599"/>
      <c r="J1" s="2599"/>
      <c r="K1" s="2599"/>
      <c r="L1" s="2599"/>
      <c r="M1" s="2599"/>
    </row>
    <row r="2" spans="2:14" ht="15" x14ac:dyDescent="0.2">
      <c r="B2" s="2587">
        <f>'Single Audit Cover'!E7</f>
        <v>53060191026</v>
      </c>
      <c r="C2" s="2587"/>
      <c r="D2" s="2587"/>
      <c r="E2" s="2587"/>
      <c r="F2" s="2587"/>
      <c r="G2" s="2587"/>
      <c r="H2" s="2587"/>
      <c r="I2" s="2587"/>
      <c r="J2" s="2587"/>
      <c r="K2" s="2587"/>
      <c r="L2" s="2587"/>
      <c r="M2" s="2587"/>
      <c r="N2" s="1300"/>
    </row>
    <row r="3" spans="2:14" ht="15" x14ac:dyDescent="0.2">
      <c r="B3" s="2600" t="s">
        <v>1281</v>
      </c>
      <c r="C3" s="2600"/>
      <c r="D3" s="2600"/>
      <c r="E3" s="2600"/>
      <c r="F3" s="2600"/>
      <c r="G3" s="2600"/>
      <c r="H3" s="2600"/>
      <c r="I3" s="2600"/>
      <c r="J3" s="2600"/>
      <c r="K3" s="2600"/>
      <c r="L3" s="2600"/>
      <c r="M3" s="2600"/>
      <c r="N3" s="1300"/>
    </row>
    <row r="4" spans="2:14" ht="15" x14ac:dyDescent="0.2">
      <c r="B4" s="2601" t="str">
        <f>'Single Audit Cover'!A4</f>
        <v>Year Ending June 30, 2018</v>
      </c>
      <c r="C4" s="2601"/>
      <c r="D4" s="2601"/>
      <c r="E4" s="2601"/>
      <c r="F4" s="2601"/>
      <c r="G4" s="2601"/>
      <c r="H4" s="2601"/>
      <c r="I4" s="2601"/>
      <c r="J4" s="2601"/>
      <c r="K4" s="2601"/>
      <c r="L4" s="2601"/>
      <c r="M4" s="2601"/>
      <c r="N4" s="1300"/>
    </row>
    <row r="6" spans="2:14" x14ac:dyDescent="0.2">
      <c r="B6" s="1301"/>
      <c r="C6" s="1302"/>
      <c r="D6" s="1303" t="s">
        <v>1327</v>
      </c>
      <c r="E6" s="1304" t="s">
        <v>548</v>
      </c>
      <c r="F6" s="1305"/>
      <c r="G6" s="1306" t="s">
        <v>1833</v>
      </c>
      <c r="H6" s="1304"/>
      <c r="I6" s="1304"/>
      <c r="J6" s="1304"/>
      <c r="K6" s="1307"/>
      <c r="L6" s="1308"/>
      <c r="M6" s="1309"/>
    </row>
    <row r="7" spans="2:14" x14ac:dyDescent="0.2">
      <c r="B7" s="1310" t="s">
        <v>1661</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1662</v>
      </c>
      <c r="I8" s="1317" t="s">
        <v>1324</v>
      </c>
      <c r="J8" s="1316" t="s">
        <v>1945</v>
      </c>
      <c r="K8" s="1317" t="s">
        <v>1323</v>
      </c>
      <c r="L8" s="1318" t="s">
        <v>1319</v>
      </c>
      <c r="M8" s="1319" t="s">
        <v>30</v>
      </c>
    </row>
    <row r="9" spans="2:14" ht="14.25" x14ac:dyDescent="0.2">
      <c r="B9" s="1323" t="s">
        <v>1321</v>
      </c>
      <c r="C9" s="1311" t="s">
        <v>1834</v>
      </c>
      <c r="D9" s="1312" t="s">
        <v>1835</v>
      </c>
      <c r="E9" s="1320" t="s">
        <v>1662</v>
      </c>
      <c r="F9" s="1321" t="s">
        <v>1945</v>
      </c>
      <c r="G9" s="1322" t="s">
        <v>1662</v>
      </c>
      <c r="H9" s="1315" t="s">
        <v>1663</v>
      </c>
      <c r="I9" s="1317" t="s">
        <v>1945</v>
      </c>
      <c r="J9" s="1316" t="s">
        <v>1663</v>
      </c>
      <c r="K9" s="1317" t="s">
        <v>1320</v>
      </c>
      <c r="L9" s="1324" t="s">
        <v>1664</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t="s">
        <v>2080</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1836</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1946</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1837</v>
      </c>
      <c r="C37" s="1363"/>
      <c r="D37" s="1363"/>
      <c r="E37" s="1363"/>
      <c r="F37" s="1363"/>
      <c r="G37" s="1363"/>
      <c r="H37" s="1363"/>
      <c r="I37" s="1364"/>
      <c r="J37" s="1364"/>
      <c r="K37" s="1364"/>
      <c r="L37" s="1364"/>
      <c r="M37" s="1364"/>
    </row>
    <row r="38" spans="2:13" ht="11.25" customHeight="1" x14ac:dyDescent="0.2">
      <c r="B38" s="1365" t="s">
        <v>1665</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1838</v>
      </c>
      <c r="C40" s="1364"/>
      <c r="D40" s="1364"/>
      <c r="E40" s="1364"/>
      <c r="F40" s="1364"/>
      <c r="G40" s="1364"/>
      <c r="H40" s="1364"/>
      <c r="I40" s="1364"/>
      <c r="J40" s="1364"/>
      <c r="K40" s="1364"/>
      <c r="L40" s="1364"/>
      <c r="M40" s="1364"/>
    </row>
    <row r="41" spans="2:13" ht="11.25" customHeight="1" x14ac:dyDescent="0.2">
      <c r="B41" s="1298" t="s">
        <v>1666</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1839</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1840</v>
      </c>
      <c r="C45" s="1366"/>
      <c r="D45" s="1367"/>
      <c r="E45" s="1298"/>
      <c r="F45" s="1298"/>
      <c r="G45" s="1298"/>
      <c r="H45" s="1298"/>
      <c r="I45" s="1298"/>
      <c r="J45" s="1298"/>
      <c r="K45" s="1368"/>
      <c r="L45" s="1368"/>
      <c r="M45" s="1298"/>
    </row>
    <row r="46" spans="2:13" ht="11.25" customHeight="1" x14ac:dyDescent="0.2">
      <c r="B46" s="1298" t="s">
        <v>1667</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04" t="s">
        <v>1230</v>
      </c>
      <c r="B2" s="2204"/>
      <c r="C2" s="2204"/>
      <c r="D2" s="2204"/>
      <c r="E2" s="2204"/>
      <c r="F2" s="2204"/>
      <c r="G2" s="2204"/>
      <c r="H2" s="2204"/>
      <c r="I2" s="2204"/>
      <c r="J2" s="2204"/>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1891</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218" t="s">
        <v>1730</v>
      </c>
      <c r="B35" s="2219"/>
      <c r="C35" s="2219"/>
      <c r="D35" s="2219"/>
      <c r="E35" s="2220"/>
      <c r="F35" s="2220"/>
      <c r="G35" s="2220"/>
      <c r="H35" s="2220"/>
      <c r="I35" s="222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18" t="s">
        <v>331</v>
      </c>
      <c r="B47" s="2221"/>
      <c r="C47" s="2221"/>
      <c r="D47" s="2221"/>
      <c r="E47" s="2222"/>
      <c r="F47" s="2222"/>
      <c r="G47" s="2222"/>
      <c r="H47" s="2222"/>
      <c r="I47" s="222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2081</v>
      </c>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2072</v>
      </c>
      <c r="C54" s="179">
        <v>23</v>
      </c>
      <c r="D54" s="243" t="s">
        <v>1429</v>
      </c>
      <c r="E54" s="248"/>
      <c r="F54" s="249"/>
    </row>
    <row r="55" spans="1:10" s="181" customFormat="1" x14ac:dyDescent="0.2">
      <c r="A55" s="214"/>
      <c r="B55" s="251"/>
      <c r="C55" s="251"/>
      <c r="D55" s="231" t="s">
        <v>1890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25" t="s">
        <v>2106</v>
      </c>
      <c r="C57" s="2226"/>
      <c r="D57" s="2226"/>
      <c r="E57" s="2226"/>
      <c r="F57" s="2226"/>
      <c r="G57" s="2226"/>
      <c r="H57" s="2226"/>
      <c r="I57" s="2226"/>
      <c r="J57" s="2227"/>
    </row>
    <row r="58" spans="1:10" s="181" customFormat="1" x14ac:dyDescent="0.2">
      <c r="A58" s="253"/>
      <c r="B58" s="2228"/>
      <c r="C58" s="2229"/>
      <c r="D58" s="2229"/>
      <c r="E58" s="2229"/>
      <c r="F58" s="2229"/>
      <c r="G58" s="2229"/>
      <c r="H58" s="2229"/>
      <c r="I58" s="2229"/>
      <c r="J58" s="2230"/>
    </row>
    <row r="59" spans="1:10" s="181" customFormat="1" x14ac:dyDescent="0.2">
      <c r="A59" s="253"/>
      <c r="B59" s="2228"/>
      <c r="C59" s="2229"/>
      <c r="D59" s="2229"/>
      <c r="E59" s="2229"/>
      <c r="F59" s="2229"/>
      <c r="G59" s="2229"/>
      <c r="H59" s="2229"/>
      <c r="I59" s="2229"/>
      <c r="J59" s="2230"/>
    </row>
    <row r="60" spans="1:10" s="181" customFormat="1" x14ac:dyDescent="0.2">
      <c r="A60" s="253"/>
      <c r="B60" s="2228"/>
      <c r="C60" s="2229"/>
      <c r="D60" s="2229"/>
      <c r="E60" s="2229"/>
      <c r="F60" s="2229"/>
      <c r="G60" s="2229"/>
      <c r="H60" s="2229"/>
      <c r="I60" s="2229"/>
      <c r="J60" s="2230"/>
    </row>
    <row r="61" spans="1:10" s="181" customFormat="1" x14ac:dyDescent="0.2">
      <c r="A61" s="253"/>
      <c r="B61" s="2228"/>
      <c r="C61" s="2229"/>
      <c r="D61" s="2229"/>
      <c r="E61" s="2229"/>
      <c r="F61" s="2229"/>
      <c r="G61" s="2229"/>
      <c r="H61" s="2229"/>
      <c r="I61" s="2229"/>
      <c r="J61" s="2230"/>
    </row>
    <row r="62" spans="1:10" s="181" customFormat="1" x14ac:dyDescent="0.2">
      <c r="A62" s="253"/>
      <c r="B62" s="2228"/>
      <c r="C62" s="2229"/>
      <c r="D62" s="2229"/>
      <c r="E62" s="2229"/>
      <c r="F62" s="2229"/>
      <c r="G62" s="2229"/>
      <c r="H62" s="2229"/>
      <c r="I62" s="2229"/>
      <c r="J62" s="2230"/>
    </row>
    <row r="63" spans="1:10" s="181" customFormat="1" x14ac:dyDescent="0.2">
      <c r="A63" s="253"/>
      <c r="B63" s="2228"/>
      <c r="C63" s="2229"/>
      <c r="D63" s="2229"/>
      <c r="E63" s="2229"/>
      <c r="F63" s="2229"/>
      <c r="G63" s="2229"/>
      <c r="H63" s="2229"/>
      <c r="I63" s="2229"/>
      <c r="J63" s="2230"/>
    </row>
    <row r="64" spans="1:10" s="181" customFormat="1" x14ac:dyDescent="0.2">
      <c r="A64" s="253"/>
      <c r="B64" s="2228"/>
      <c r="C64" s="2229"/>
      <c r="D64" s="2229"/>
      <c r="E64" s="2229"/>
      <c r="F64" s="2229"/>
      <c r="G64" s="2229"/>
      <c r="H64" s="2229"/>
      <c r="I64" s="2229"/>
      <c r="J64" s="2230"/>
    </row>
    <row r="65" spans="1:10" s="181" customFormat="1" x14ac:dyDescent="0.2">
      <c r="A65" s="253"/>
      <c r="B65" s="2228"/>
      <c r="C65" s="2229"/>
      <c r="D65" s="2229"/>
      <c r="E65" s="2229"/>
      <c r="F65" s="2229"/>
      <c r="G65" s="2229"/>
      <c r="H65" s="2229"/>
      <c r="I65" s="2229"/>
      <c r="J65" s="2230"/>
    </row>
    <row r="66" spans="1:10" s="181" customFormat="1" x14ac:dyDescent="0.2">
      <c r="A66" s="253"/>
      <c r="B66" s="2228"/>
      <c r="C66" s="2229"/>
      <c r="D66" s="2229"/>
      <c r="E66" s="2229"/>
      <c r="F66" s="2229"/>
      <c r="G66" s="2229"/>
      <c r="H66" s="2229"/>
      <c r="I66" s="2229"/>
      <c r="J66" s="2230"/>
    </row>
    <row r="67" spans="1:10" s="181" customFormat="1" ht="9" customHeight="1" x14ac:dyDescent="0.2">
      <c r="A67" s="254"/>
      <c r="B67" s="2231"/>
      <c r="C67" s="2232"/>
      <c r="D67" s="2232"/>
      <c r="E67" s="2232"/>
      <c r="F67" s="2232"/>
      <c r="G67" s="2232"/>
      <c r="H67" s="2232"/>
      <c r="I67" s="2232"/>
      <c r="J67" s="223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18" t="s">
        <v>1390</v>
      </c>
      <c r="B70" s="2221"/>
      <c r="C70" s="2221"/>
      <c r="D70" s="2221"/>
      <c r="E70" s="2222"/>
      <c r="F70" s="2222"/>
      <c r="G70" s="2222"/>
      <c r="H70" s="2222"/>
      <c r="I70" s="222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2016</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23" t="s">
        <v>1387</v>
      </c>
      <c r="B83" s="2223"/>
      <c r="C83" s="2223"/>
      <c r="D83" s="222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205" t="s">
        <v>2236</v>
      </c>
      <c r="C102" s="2206"/>
      <c r="D102" s="2206"/>
      <c r="E102" s="2206"/>
      <c r="F102" s="2206"/>
      <c r="G102" s="2206"/>
      <c r="H102" s="2206"/>
      <c r="I102" s="2207"/>
    </row>
    <row r="103" spans="1:9" s="181" customFormat="1" ht="11.25" customHeight="1" x14ac:dyDescent="0.2">
      <c r="A103" s="316"/>
      <c r="B103" s="2208"/>
      <c r="C103" s="2209"/>
      <c r="D103" s="2209"/>
      <c r="E103" s="2209"/>
      <c r="F103" s="2209"/>
      <c r="G103" s="2209"/>
      <c r="H103" s="2209"/>
      <c r="I103" s="2210"/>
    </row>
    <row r="104" spans="1:9" s="181" customFormat="1" ht="11.25" customHeight="1" x14ac:dyDescent="0.2">
      <c r="A104" s="316"/>
      <c r="B104" s="2208"/>
      <c r="C104" s="2209"/>
      <c r="D104" s="2209"/>
      <c r="E104" s="2209"/>
      <c r="F104" s="2209"/>
      <c r="G104" s="2209"/>
      <c r="H104" s="2209"/>
      <c r="I104" s="2210"/>
    </row>
    <row r="105" spans="1:9" s="181" customFormat="1" x14ac:dyDescent="0.2">
      <c r="A105" s="316"/>
      <c r="B105" s="2208"/>
      <c r="C105" s="2209"/>
      <c r="D105" s="2209"/>
      <c r="E105" s="2209"/>
      <c r="F105" s="2209"/>
      <c r="G105" s="2209"/>
      <c r="H105" s="2209"/>
      <c r="I105" s="2210"/>
    </row>
    <row r="106" spans="1:9" s="181" customFormat="1" ht="11.25" customHeight="1" x14ac:dyDescent="0.2">
      <c r="A106" s="316"/>
      <c r="B106" s="2208"/>
      <c r="C106" s="2209"/>
      <c r="D106" s="2209"/>
      <c r="E106" s="2209"/>
      <c r="F106" s="2209"/>
      <c r="G106" s="2209"/>
      <c r="H106" s="2209"/>
      <c r="I106" s="2210"/>
    </row>
    <row r="107" spans="1:9" s="181" customFormat="1" ht="11.25" customHeight="1" x14ac:dyDescent="0.2">
      <c r="A107" s="316"/>
      <c r="B107" s="2208"/>
      <c r="C107" s="2209"/>
      <c r="D107" s="2209"/>
      <c r="E107" s="2209"/>
      <c r="F107" s="2209"/>
      <c r="G107" s="2209"/>
      <c r="H107" s="2209"/>
      <c r="I107" s="2210"/>
    </row>
    <row r="108" spans="1:9" s="181" customFormat="1" ht="11.25" customHeight="1" x14ac:dyDescent="0.2">
      <c r="A108" s="316"/>
      <c r="B108" s="2208"/>
      <c r="C108" s="2209"/>
      <c r="D108" s="2209"/>
      <c r="E108" s="2209"/>
      <c r="F108" s="2209"/>
      <c r="G108" s="2209"/>
      <c r="H108" s="2209"/>
      <c r="I108" s="2210"/>
    </row>
    <row r="109" spans="1:9" s="181" customFormat="1" ht="11.25" customHeight="1" x14ac:dyDescent="0.2">
      <c r="A109" s="316"/>
      <c r="B109" s="2208"/>
      <c r="C109" s="2209"/>
      <c r="D109" s="2209"/>
      <c r="E109" s="2209"/>
      <c r="F109" s="2209"/>
      <c r="G109" s="2209"/>
      <c r="H109" s="2209"/>
      <c r="I109" s="2210"/>
    </row>
    <row r="110" spans="1:9" s="181" customFormat="1" ht="11.25" customHeight="1" x14ac:dyDescent="0.2">
      <c r="A110" s="316"/>
      <c r="B110" s="2208"/>
      <c r="C110" s="2209"/>
      <c r="D110" s="2209"/>
      <c r="E110" s="2209"/>
      <c r="F110" s="2209"/>
      <c r="G110" s="2209"/>
      <c r="H110" s="2209"/>
      <c r="I110" s="2210"/>
    </row>
    <row r="111" spans="1:9" s="181" customFormat="1" ht="11.25" customHeight="1" x14ac:dyDescent="0.2">
      <c r="A111" s="316"/>
      <c r="B111" s="2208"/>
      <c r="C111" s="2209"/>
      <c r="D111" s="2209"/>
      <c r="E111" s="2209"/>
      <c r="F111" s="2209"/>
      <c r="G111" s="2209"/>
      <c r="H111" s="2209"/>
      <c r="I111" s="2210"/>
    </row>
    <row r="112" spans="1:9" s="181" customFormat="1" ht="11.25" customHeight="1" x14ac:dyDescent="0.2">
      <c r="A112" s="316"/>
      <c r="B112" s="2211"/>
      <c r="C112" s="2212"/>
      <c r="D112" s="2212"/>
      <c r="E112" s="2212"/>
      <c r="F112" s="2212"/>
      <c r="G112" s="2212"/>
      <c r="H112" s="2212"/>
      <c r="I112" s="221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14" t="s">
        <v>2079</v>
      </c>
      <c r="D114" s="221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15" t="s">
        <v>1397</v>
      </c>
      <c r="D117" s="2216"/>
      <c r="E117" s="2217"/>
      <c r="F117" s="2217"/>
      <c r="G117" s="2217"/>
      <c r="H117" s="2217"/>
      <c r="I117" s="304"/>
    </row>
    <row r="118" spans="1:9" s="181" customFormat="1" ht="24" customHeight="1" x14ac:dyDescent="0.2">
      <c r="A118" s="316"/>
      <c r="B118" s="316"/>
      <c r="C118" s="316"/>
      <c r="D118" s="323" t="s">
        <v>2256</v>
      </c>
      <c r="E118" s="322"/>
      <c r="F118" s="324"/>
      <c r="G118" s="1861"/>
      <c r="H118" s="322"/>
      <c r="I118" s="304"/>
    </row>
    <row r="119" spans="1:9" s="181" customFormat="1" ht="11.25" customHeight="1" x14ac:dyDescent="0.2">
      <c r="A119" s="325"/>
      <c r="B119" s="325"/>
      <c r="C119" s="326"/>
      <c r="D119" s="327" t="s">
        <v>379</v>
      </c>
      <c r="E119" s="310"/>
      <c r="F119" s="1860" t="s">
        <v>2017</v>
      </c>
      <c r="G119" s="328"/>
      <c r="H119" s="328"/>
      <c r="I119" s="304"/>
    </row>
    <row r="120" spans="1:9" x14ac:dyDescent="0.2">
      <c r="A120" s="329"/>
      <c r="B120" s="180"/>
      <c r="C120" s="330"/>
      <c r="D120" s="256"/>
      <c r="E120" s="256"/>
      <c r="F120" s="256"/>
      <c r="G120" s="256"/>
      <c r="H120" s="256"/>
      <c r="I120" s="304"/>
    </row>
    <row r="121" spans="1:9" x14ac:dyDescent="0.2">
      <c r="A121" s="329"/>
      <c r="B121" s="1508"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54"/>
  <sheetViews>
    <sheetView showGridLines="0" zoomScaleNormal="100" zoomScaleSheetLayoutView="75" workbookViewId="0">
      <pane xSplit="2" ySplit="11" topLeftCell="C12" activePane="bottomRight" state="frozen"/>
      <selection pane="topRight" activeCell="C1" sqref="C1"/>
      <selection pane="bottomLeft" activeCell="A14" sqref="A14"/>
      <selection pane="bottomRight" activeCell="C12" sqref="C12"/>
    </sheetView>
  </sheetViews>
  <sheetFormatPr defaultColWidth="16.7109375" defaultRowHeight="12" x14ac:dyDescent="0.2"/>
  <cols>
    <col min="1" max="1" width="4.5703125" style="1955" bestFit="1" customWidth="1"/>
    <col min="2" max="2" width="50.140625" style="1955" customWidth="1"/>
    <col min="3" max="3" width="9.85546875" style="1955" customWidth="1"/>
    <col min="4" max="4" width="13" style="1955" customWidth="1"/>
    <col min="5" max="5" width="4.140625" style="2025" customWidth="1"/>
    <col min="6" max="6" width="12.85546875" style="1955" customWidth="1"/>
    <col min="7" max="7" width="13.85546875" style="1955" customWidth="1"/>
    <col min="8" max="8" width="4.5703125" style="1955" bestFit="1" customWidth="1"/>
    <col min="9" max="9" width="13.140625" style="1955" bestFit="1" customWidth="1"/>
    <col min="10" max="10" width="12.28515625" style="1955" customWidth="1"/>
    <col min="11" max="11" width="1.85546875" style="1955" customWidth="1"/>
    <col min="12" max="12" width="11" style="1955" customWidth="1"/>
    <col min="13" max="13" width="4.5703125" style="2025" bestFit="1" customWidth="1"/>
    <col min="14" max="14" width="13.28515625" style="1955" bestFit="1" customWidth="1"/>
    <col min="15" max="15" width="12.42578125" style="1955" bestFit="1" customWidth="1"/>
    <col min="16" max="248" width="16.7109375" style="1955"/>
    <col min="249" max="249" width="4.5703125" style="1955" bestFit="1" customWidth="1"/>
    <col min="250" max="250" width="50.140625" style="1955" customWidth="1"/>
    <col min="251" max="251" width="9.85546875" style="1955" customWidth="1"/>
    <col min="252" max="252" width="13" style="1955" customWidth="1"/>
    <col min="253" max="253" width="4.140625" style="1955" customWidth="1"/>
    <col min="254" max="254" width="12.85546875" style="1955" customWidth="1"/>
    <col min="255" max="255" width="13.85546875" style="1955" customWidth="1"/>
    <col min="256" max="256" width="4.5703125" style="1955" bestFit="1" customWidth="1"/>
    <col min="257" max="257" width="13.140625" style="1955" bestFit="1" customWidth="1"/>
    <col min="258" max="258" width="12.28515625" style="1955" customWidth="1"/>
    <col min="259" max="259" width="1.85546875" style="1955" customWidth="1"/>
    <col min="260" max="260" width="11" style="1955" customWidth="1"/>
    <col min="261" max="261" width="4.5703125" style="1955" bestFit="1" customWidth="1"/>
    <col min="262" max="262" width="13.28515625" style="1955" bestFit="1" customWidth="1"/>
    <col min="263" max="263" width="12.42578125" style="1955" bestFit="1" customWidth="1"/>
    <col min="264" max="504" width="16.7109375" style="1955"/>
    <col min="505" max="505" width="4.5703125" style="1955" bestFit="1" customWidth="1"/>
    <col min="506" max="506" width="50.140625" style="1955" customWidth="1"/>
    <col min="507" max="507" width="9.85546875" style="1955" customWidth="1"/>
    <col min="508" max="508" width="13" style="1955" customWidth="1"/>
    <col min="509" max="509" width="4.140625" style="1955" customWidth="1"/>
    <col min="510" max="510" width="12.85546875" style="1955" customWidth="1"/>
    <col min="511" max="511" width="13.85546875" style="1955" customWidth="1"/>
    <col min="512" max="512" width="4.5703125" style="1955" bestFit="1" customWidth="1"/>
    <col min="513" max="513" width="13.140625" style="1955" bestFit="1" customWidth="1"/>
    <col min="514" max="514" width="12.28515625" style="1955" customWidth="1"/>
    <col min="515" max="515" width="1.85546875" style="1955" customWidth="1"/>
    <col min="516" max="516" width="11" style="1955" customWidth="1"/>
    <col min="517" max="517" width="4.5703125" style="1955" bestFit="1" customWidth="1"/>
    <col min="518" max="518" width="13.28515625" style="1955" bestFit="1" customWidth="1"/>
    <col min="519" max="519" width="12.42578125" style="1955" bestFit="1" customWidth="1"/>
    <col min="520" max="760" width="16.7109375" style="1955"/>
    <col min="761" max="761" width="4.5703125" style="1955" bestFit="1" customWidth="1"/>
    <col min="762" max="762" width="50.140625" style="1955" customWidth="1"/>
    <col min="763" max="763" width="9.85546875" style="1955" customWidth="1"/>
    <col min="764" max="764" width="13" style="1955" customWidth="1"/>
    <col min="765" max="765" width="4.140625" style="1955" customWidth="1"/>
    <col min="766" max="766" width="12.85546875" style="1955" customWidth="1"/>
    <col min="767" max="767" width="13.85546875" style="1955" customWidth="1"/>
    <col min="768" max="768" width="4.5703125" style="1955" bestFit="1" customWidth="1"/>
    <col min="769" max="769" width="13.140625" style="1955" bestFit="1" customWidth="1"/>
    <col min="770" max="770" width="12.28515625" style="1955" customWidth="1"/>
    <col min="771" max="771" width="1.85546875" style="1955" customWidth="1"/>
    <col min="772" max="772" width="11" style="1955" customWidth="1"/>
    <col min="773" max="773" width="4.5703125" style="1955" bestFit="1" customWidth="1"/>
    <col min="774" max="774" width="13.28515625" style="1955" bestFit="1" customWidth="1"/>
    <col min="775" max="775" width="12.42578125" style="1955" bestFit="1" customWidth="1"/>
    <col min="776" max="1016" width="16.7109375" style="1955"/>
    <col min="1017" max="1017" width="4.5703125" style="1955" bestFit="1" customWidth="1"/>
    <col min="1018" max="1018" width="50.140625" style="1955" customWidth="1"/>
    <col min="1019" max="1019" width="9.85546875" style="1955" customWidth="1"/>
    <col min="1020" max="1020" width="13" style="1955" customWidth="1"/>
    <col min="1021" max="1021" width="4.140625" style="1955" customWidth="1"/>
    <col min="1022" max="1022" width="12.85546875" style="1955" customWidth="1"/>
    <col min="1023" max="1023" width="13.85546875" style="1955" customWidth="1"/>
    <col min="1024" max="1024" width="4.5703125" style="1955" bestFit="1" customWidth="1"/>
    <col min="1025" max="1025" width="13.140625" style="1955" bestFit="1" customWidth="1"/>
    <col min="1026" max="1026" width="12.28515625" style="1955" customWidth="1"/>
    <col min="1027" max="1027" width="1.85546875" style="1955" customWidth="1"/>
    <col min="1028" max="1028" width="11" style="1955" customWidth="1"/>
    <col min="1029" max="1029" width="4.5703125" style="1955" bestFit="1" customWidth="1"/>
    <col min="1030" max="1030" width="13.28515625" style="1955" bestFit="1" customWidth="1"/>
    <col min="1031" max="1031" width="12.42578125" style="1955" bestFit="1" customWidth="1"/>
    <col min="1032" max="1272" width="16.7109375" style="1955"/>
    <col min="1273" max="1273" width="4.5703125" style="1955" bestFit="1" customWidth="1"/>
    <col min="1274" max="1274" width="50.140625" style="1955" customWidth="1"/>
    <col min="1275" max="1275" width="9.85546875" style="1955" customWidth="1"/>
    <col min="1276" max="1276" width="13" style="1955" customWidth="1"/>
    <col min="1277" max="1277" width="4.140625" style="1955" customWidth="1"/>
    <col min="1278" max="1278" width="12.85546875" style="1955" customWidth="1"/>
    <col min="1279" max="1279" width="13.85546875" style="1955" customWidth="1"/>
    <col min="1280" max="1280" width="4.5703125" style="1955" bestFit="1" customWidth="1"/>
    <col min="1281" max="1281" width="13.140625" style="1955" bestFit="1" customWidth="1"/>
    <col min="1282" max="1282" width="12.28515625" style="1955" customWidth="1"/>
    <col min="1283" max="1283" width="1.85546875" style="1955" customWidth="1"/>
    <col min="1284" max="1284" width="11" style="1955" customWidth="1"/>
    <col min="1285" max="1285" width="4.5703125" style="1955" bestFit="1" customWidth="1"/>
    <col min="1286" max="1286" width="13.28515625" style="1955" bestFit="1" customWidth="1"/>
    <col min="1287" max="1287" width="12.42578125" style="1955" bestFit="1" customWidth="1"/>
    <col min="1288" max="1528" width="16.7109375" style="1955"/>
    <col min="1529" max="1529" width="4.5703125" style="1955" bestFit="1" customWidth="1"/>
    <col min="1530" max="1530" width="50.140625" style="1955" customWidth="1"/>
    <col min="1531" max="1531" width="9.85546875" style="1955" customWidth="1"/>
    <col min="1532" max="1532" width="13" style="1955" customWidth="1"/>
    <col min="1533" max="1533" width="4.140625" style="1955" customWidth="1"/>
    <col min="1534" max="1534" width="12.85546875" style="1955" customWidth="1"/>
    <col min="1535" max="1535" width="13.85546875" style="1955" customWidth="1"/>
    <col min="1536" max="1536" width="4.5703125" style="1955" bestFit="1" customWidth="1"/>
    <col min="1537" max="1537" width="13.140625" style="1955" bestFit="1" customWidth="1"/>
    <col min="1538" max="1538" width="12.28515625" style="1955" customWidth="1"/>
    <col min="1539" max="1539" width="1.85546875" style="1955" customWidth="1"/>
    <col min="1540" max="1540" width="11" style="1955" customWidth="1"/>
    <col min="1541" max="1541" width="4.5703125" style="1955" bestFit="1" customWidth="1"/>
    <col min="1542" max="1542" width="13.28515625" style="1955" bestFit="1" customWidth="1"/>
    <col min="1543" max="1543" width="12.42578125" style="1955" bestFit="1" customWidth="1"/>
    <col min="1544" max="1784" width="16.7109375" style="1955"/>
    <col min="1785" max="1785" width="4.5703125" style="1955" bestFit="1" customWidth="1"/>
    <col min="1786" max="1786" width="50.140625" style="1955" customWidth="1"/>
    <col min="1787" max="1787" width="9.85546875" style="1955" customWidth="1"/>
    <col min="1788" max="1788" width="13" style="1955" customWidth="1"/>
    <col min="1789" max="1789" width="4.140625" style="1955" customWidth="1"/>
    <col min="1790" max="1790" width="12.85546875" style="1955" customWidth="1"/>
    <col min="1791" max="1791" width="13.85546875" style="1955" customWidth="1"/>
    <col min="1792" max="1792" width="4.5703125" style="1955" bestFit="1" customWidth="1"/>
    <col min="1793" max="1793" width="13.140625" style="1955" bestFit="1" customWidth="1"/>
    <col min="1794" max="1794" width="12.28515625" style="1955" customWidth="1"/>
    <col min="1795" max="1795" width="1.85546875" style="1955" customWidth="1"/>
    <col min="1796" max="1796" width="11" style="1955" customWidth="1"/>
    <col min="1797" max="1797" width="4.5703125" style="1955" bestFit="1" customWidth="1"/>
    <col min="1798" max="1798" width="13.28515625" style="1955" bestFit="1" customWidth="1"/>
    <col min="1799" max="1799" width="12.42578125" style="1955" bestFit="1" customWidth="1"/>
    <col min="1800" max="2040" width="16.7109375" style="1955"/>
    <col min="2041" max="2041" width="4.5703125" style="1955" bestFit="1" customWidth="1"/>
    <col min="2042" max="2042" width="50.140625" style="1955" customWidth="1"/>
    <col min="2043" max="2043" width="9.85546875" style="1955" customWidth="1"/>
    <col min="2044" max="2044" width="13" style="1955" customWidth="1"/>
    <col min="2045" max="2045" width="4.140625" style="1955" customWidth="1"/>
    <col min="2046" max="2046" width="12.85546875" style="1955" customWidth="1"/>
    <col min="2047" max="2047" width="13.85546875" style="1955" customWidth="1"/>
    <col min="2048" max="2048" width="4.5703125" style="1955" bestFit="1" customWidth="1"/>
    <col min="2049" max="2049" width="13.140625" style="1955" bestFit="1" customWidth="1"/>
    <col min="2050" max="2050" width="12.28515625" style="1955" customWidth="1"/>
    <col min="2051" max="2051" width="1.85546875" style="1955" customWidth="1"/>
    <col min="2052" max="2052" width="11" style="1955" customWidth="1"/>
    <col min="2053" max="2053" width="4.5703125" style="1955" bestFit="1" customWidth="1"/>
    <col min="2054" max="2054" width="13.28515625" style="1955" bestFit="1" customWidth="1"/>
    <col min="2055" max="2055" width="12.42578125" style="1955" bestFit="1" customWidth="1"/>
    <col min="2056" max="2296" width="16.7109375" style="1955"/>
    <col min="2297" max="2297" width="4.5703125" style="1955" bestFit="1" customWidth="1"/>
    <col min="2298" max="2298" width="50.140625" style="1955" customWidth="1"/>
    <col min="2299" max="2299" width="9.85546875" style="1955" customWidth="1"/>
    <col min="2300" max="2300" width="13" style="1955" customWidth="1"/>
    <col min="2301" max="2301" width="4.140625" style="1955" customWidth="1"/>
    <col min="2302" max="2302" width="12.85546875" style="1955" customWidth="1"/>
    <col min="2303" max="2303" width="13.85546875" style="1955" customWidth="1"/>
    <col min="2304" max="2304" width="4.5703125" style="1955" bestFit="1" customWidth="1"/>
    <col min="2305" max="2305" width="13.140625" style="1955" bestFit="1" customWidth="1"/>
    <col min="2306" max="2306" width="12.28515625" style="1955" customWidth="1"/>
    <col min="2307" max="2307" width="1.85546875" style="1955" customWidth="1"/>
    <col min="2308" max="2308" width="11" style="1955" customWidth="1"/>
    <col min="2309" max="2309" width="4.5703125" style="1955" bestFit="1" customWidth="1"/>
    <col min="2310" max="2310" width="13.28515625" style="1955" bestFit="1" customWidth="1"/>
    <col min="2311" max="2311" width="12.42578125" style="1955" bestFit="1" customWidth="1"/>
    <col min="2312" max="2552" width="16.7109375" style="1955"/>
    <col min="2553" max="2553" width="4.5703125" style="1955" bestFit="1" customWidth="1"/>
    <col min="2554" max="2554" width="50.140625" style="1955" customWidth="1"/>
    <col min="2555" max="2555" width="9.85546875" style="1955" customWidth="1"/>
    <col min="2556" max="2556" width="13" style="1955" customWidth="1"/>
    <col min="2557" max="2557" width="4.140625" style="1955" customWidth="1"/>
    <col min="2558" max="2558" width="12.85546875" style="1955" customWidth="1"/>
    <col min="2559" max="2559" width="13.85546875" style="1955" customWidth="1"/>
    <col min="2560" max="2560" width="4.5703125" style="1955" bestFit="1" customWidth="1"/>
    <col min="2561" max="2561" width="13.140625" style="1955" bestFit="1" customWidth="1"/>
    <col min="2562" max="2562" width="12.28515625" style="1955" customWidth="1"/>
    <col min="2563" max="2563" width="1.85546875" style="1955" customWidth="1"/>
    <col min="2564" max="2564" width="11" style="1955" customWidth="1"/>
    <col min="2565" max="2565" width="4.5703125" style="1955" bestFit="1" customWidth="1"/>
    <col min="2566" max="2566" width="13.28515625" style="1955" bestFit="1" customWidth="1"/>
    <col min="2567" max="2567" width="12.42578125" style="1955" bestFit="1" customWidth="1"/>
    <col min="2568" max="2808" width="16.7109375" style="1955"/>
    <col min="2809" max="2809" width="4.5703125" style="1955" bestFit="1" customWidth="1"/>
    <col min="2810" max="2810" width="50.140625" style="1955" customWidth="1"/>
    <col min="2811" max="2811" width="9.85546875" style="1955" customWidth="1"/>
    <col min="2812" max="2812" width="13" style="1955" customWidth="1"/>
    <col min="2813" max="2813" width="4.140625" style="1955" customWidth="1"/>
    <col min="2814" max="2814" width="12.85546875" style="1955" customWidth="1"/>
    <col min="2815" max="2815" width="13.85546875" style="1955" customWidth="1"/>
    <col min="2816" max="2816" width="4.5703125" style="1955" bestFit="1" customWidth="1"/>
    <col min="2817" max="2817" width="13.140625" style="1955" bestFit="1" customWidth="1"/>
    <col min="2818" max="2818" width="12.28515625" style="1955" customWidth="1"/>
    <col min="2819" max="2819" width="1.85546875" style="1955" customWidth="1"/>
    <col min="2820" max="2820" width="11" style="1955" customWidth="1"/>
    <col min="2821" max="2821" width="4.5703125" style="1955" bestFit="1" customWidth="1"/>
    <col min="2822" max="2822" width="13.28515625" style="1955" bestFit="1" customWidth="1"/>
    <col min="2823" max="2823" width="12.42578125" style="1955" bestFit="1" customWidth="1"/>
    <col min="2824" max="3064" width="16.7109375" style="1955"/>
    <col min="3065" max="3065" width="4.5703125" style="1955" bestFit="1" customWidth="1"/>
    <col min="3066" max="3066" width="50.140625" style="1955" customWidth="1"/>
    <col min="3067" max="3067" width="9.85546875" style="1955" customWidth="1"/>
    <col min="3068" max="3068" width="13" style="1955" customWidth="1"/>
    <col min="3069" max="3069" width="4.140625" style="1955" customWidth="1"/>
    <col min="3070" max="3070" width="12.85546875" style="1955" customWidth="1"/>
    <col min="3071" max="3071" width="13.85546875" style="1955" customWidth="1"/>
    <col min="3072" max="3072" width="4.5703125" style="1955" bestFit="1" customWidth="1"/>
    <col min="3073" max="3073" width="13.140625" style="1955" bestFit="1" customWidth="1"/>
    <col min="3074" max="3074" width="12.28515625" style="1955" customWidth="1"/>
    <col min="3075" max="3075" width="1.85546875" style="1955" customWidth="1"/>
    <col min="3076" max="3076" width="11" style="1955" customWidth="1"/>
    <col min="3077" max="3077" width="4.5703125" style="1955" bestFit="1" customWidth="1"/>
    <col min="3078" max="3078" width="13.28515625" style="1955" bestFit="1" customWidth="1"/>
    <col min="3079" max="3079" width="12.42578125" style="1955" bestFit="1" customWidth="1"/>
    <col min="3080" max="3320" width="16.7109375" style="1955"/>
    <col min="3321" max="3321" width="4.5703125" style="1955" bestFit="1" customWidth="1"/>
    <col min="3322" max="3322" width="50.140625" style="1955" customWidth="1"/>
    <col min="3323" max="3323" width="9.85546875" style="1955" customWidth="1"/>
    <col min="3324" max="3324" width="13" style="1955" customWidth="1"/>
    <col min="3325" max="3325" width="4.140625" style="1955" customWidth="1"/>
    <col min="3326" max="3326" width="12.85546875" style="1955" customWidth="1"/>
    <col min="3327" max="3327" width="13.85546875" style="1955" customWidth="1"/>
    <col min="3328" max="3328" width="4.5703125" style="1955" bestFit="1" customWidth="1"/>
    <col min="3329" max="3329" width="13.140625" style="1955" bestFit="1" customWidth="1"/>
    <col min="3330" max="3330" width="12.28515625" style="1955" customWidth="1"/>
    <col min="3331" max="3331" width="1.85546875" style="1955" customWidth="1"/>
    <col min="3332" max="3332" width="11" style="1955" customWidth="1"/>
    <col min="3333" max="3333" width="4.5703125" style="1955" bestFit="1" customWidth="1"/>
    <col min="3334" max="3334" width="13.28515625" style="1955" bestFit="1" customWidth="1"/>
    <col min="3335" max="3335" width="12.42578125" style="1955" bestFit="1" customWidth="1"/>
    <col min="3336" max="3576" width="16.7109375" style="1955"/>
    <col min="3577" max="3577" width="4.5703125" style="1955" bestFit="1" customWidth="1"/>
    <col min="3578" max="3578" width="50.140625" style="1955" customWidth="1"/>
    <col min="3579" max="3579" width="9.85546875" style="1955" customWidth="1"/>
    <col min="3580" max="3580" width="13" style="1955" customWidth="1"/>
    <col min="3581" max="3581" width="4.140625" style="1955" customWidth="1"/>
    <col min="3582" max="3582" width="12.85546875" style="1955" customWidth="1"/>
    <col min="3583" max="3583" width="13.85546875" style="1955" customWidth="1"/>
    <col min="3584" max="3584" width="4.5703125" style="1955" bestFit="1" customWidth="1"/>
    <col min="3585" max="3585" width="13.140625" style="1955" bestFit="1" customWidth="1"/>
    <col min="3586" max="3586" width="12.28515625" style="1955" customWidth="1"/>
    <col min="3587" max="3587" width="1.85546875" style="1955" customWidth="1"/>
    <col min="3588" max="3588" width="11" style="1955" customWidth="1"/>
    <col min="3589" max="3589" width="4.5703125" style="1955" bestFit="1" customWidth="1"/>
    <col min="3590" max="3590" width="13.28515625" style="1955" bestFit="1" customWidth="1"/>
    <col min="3591" max="3591" width="12.42578125" style="1955" bestFit="1" customWidth="1"/>
    <col min="3592" max="3832" width="16.7109375" style="1955"/>
    <col min="3833" max="3833" width="4.5703125" style="1955" bestFit="1" customWidth="1"/>
    <col min="3834" max="3834" width="50.140625" style="1955" customWidth="1"/>
    <col min="3835" max="3835" width="9.85546875" style="1955" customWidth="1"/>
    <col min="3836" max="3836" width="13" style="1955" customWidth="1"/>
    <col min="3837" max="3837" width="4.140625" style="1955" customWidth="1"/>
    <col min="3838" max="3838" width="12.85546875" style="1955" customWidth="1"/>
    <col min="3839" max="3839" width="13.85546875" style="1955" customWidth="1"/>
    <col min="3840" max="3840" width="4.5703125" style="1955" bestFit="1" customWidth="1"/>
    <col min="3841" max="3841" width="13.140625" style="1955" bestFit="1" customWidth="1"/>
    <col min="3842" max="3842" width="12.28515625" style="1955" customWidth="1"/>
    <col min="3843" max="3843" width="1.85546875" style="1955" customWidth="1"/>
    <col min="3844" max="3844" width="11" style="1955" customWidth="1"/>
    <col min="3845" max="3845" width="4.5703125" style="1955" bestFit="1" customWidth="1"/>
    <col min="3846" max="3846" width="13.28515625" style="1955" bestFit="1" customWidth="1"/>
    <col min="3847" max="3847" width="12.42578125" style="1955" bestFit="1" customWidth="1"/>
    <col min="3848" max="4088" width="16.7109375" style="1955"/>
    <col min="4089" max="4089" width="4.5703125" style="1955" bestFit="1" customWidth="1"/>
    <col min="4090" max="4090" width="50.140625" style="1955" customWidth="1"/>
    <col min="4091" max="4091" width="9.85546875" style="1955" customWidth="1"/>
    <col min="4092" max="4092" width="13" style="1955" customWidth="1"/>
    <col min="4093" max="4093" width="4.140625" style="1955" customWidth="1"/>
    <col min="4094" max="4094" width="12.85546875" style="1955" customWidth="1"/>
    <col min="4095" max="4095" width="13.85546875" style="1955" customWidth="1"/>
    <col min="4096" max="4096" width="4.5703125" style="1955" bestFit="1" customWidth="1"/>
    <col min="4097" max="4097" width="13.140625" style="1955" bestFit="1" customWidth="1"/>
    <col min="4098" max="4098" width="12.28515625" style="1955" customWidth="1"/>
    <col min="4099" max="4099" width="1.85546875" style="1955" customWidth="1"/>
    <col min="4100" max="4100" width="11" style="1955" customWidth="1"/>
    <col min="4101" max="4101" width="4.5703125" style="1955" bestFit="1" customWidth="1"/>
    <col min="4102" max="4102" width="13.28515625" style="1955" bestFit="1" customWidth="1"/>
    <col min="4103" max="4103" width="12.42578125" style="1955" bestFit="1" customWidth="1"/>
    <col min="4104" max="4344" width="16.7109375" style="1955"/>
    <col min="4345" max="4345" width="4.5703125" style="1955" bestFit="1" customWidth="1"/>
    <col min="4346" max="4346" width="50.140625" style="1955" customWidth="1"/>
    <col min="4347" max="4347" width="9.85546875" style="1955" customWidth="1"/>
    <col min="4348" max="4348" width="13" style="1955" customWidth="1"/>
    <col min="4349" max="4349" width="4.140625" style="1955" customWidth="1"/>
    <col min="4350" max="4350" width="12.85546875" style="1955" customWidth="1"/>
    <col min="4351" max="4351" width="13.85546875" style="1955" customWidth="1"/>
    <col min="4352" max="4352" width="4.5703125" style="1955" bestFit="1" customWidth="1"/>
    <col min="4353" max="4353" width="13.140625" style="1955" bestFit="1" customWidth="1"/>
    <col min="4354" max="4354" width="12.28515625" style="1955" customWidth="1"/>
    <col min="4355" max="4355" width="1.85546875" style="1955" customWidth="1"/>
    <col min="4356" max="4356" width="11" style="1955" customWidth="1"/>
    <col min="4357" max="4357" width="4.5703125" style="1955" bestFit="1" customWidth="1"/>
    <col min="4358" max="4358" width="13.28515625" style="1955" bestFit="1" customWidth="1"/>
    <col min="4359" max="4359" width="12.42578125" style="1955" bestFit="1" customWidth="1"/>
    <col min="4360" max="4600" width="16.7109375" style="1955"/>
    <col min="4601" max="4601" width="4.5703125" style="1955" bestFit="1" customWidth="1"/>
    <col min="4602" max="4602" width="50.140625" style="1955" customWidth="1"/>
    <col min="4603" max="4603" width="9.85546875" style="1955" customWidth="1"/>
    <col min="4604" max="4604" width="13" style="1955" customWidth="1"/>
    <col min="4605" max="4605" width="4.140625" style="1955" customWidth="1"/>
    <col min="4606" max="4606" width="12.85546875" style="1955" customWidth="1"/>
    <col min="4607" max="4607" width="13.85546875" style="1955" customWidth="1"/>
    <col min="4608" max="4608" width="4.5703125" style="1955" bestFit="1" customWidth="1"/>
    <col min="4609" max="4609" width="13.140625" style="1955" bestFit="1" customWidth="1"/>
    <col min="4610" max="4610" width="12.28515625" style="1955" customWidth="1"/>
    <col min="4611" max="4611" width="1.85546875" style="1955" customWidth="1"/>
    <col min="4612" max="4612" width="11" style="1955" customWidth="1"/>
    <col min="4613" max="4613" width="4.5703125" style="1955" bestFit="1" customWidth="1"/>
    <col min="4614" max="4614" width="13.28515625" style="1955" bestFit="1" customWidth="1"/>
    <col min="4615" max="4615" width="12.42578125" style="1955" bestFit="1" customWidth="1"/>
    <col min="4616" max="4856" width="16.7109375" style="1955"/>
    <col min="4857" max="4857" width="4.5703125" style="1955" bestFit="1" customWidth="1"/>
    <col min="4858" max="4858" width="50.140625" style="1955" customWidth="1"/>
    <col min="4859" max="4859" width="9.85546875" style="1955" customWidth="1"/>
    <col min="4860" max="4860" width="13" style="1955" customWidth="1"/>
    <col min="4861" max="4861" width="4.140625" style="1955" customWidth="1"/>
    <col min="4862" max="4862" width="12.85546875" style="1955" customWidth="1"/>
    <col min="4863" max="4863" width="13.85546875" style="1955" customWidth="1"/>
    <col min="4864" max="4864" width="4.5703125" style="1955" bestFit="1" customWidth="1"/>
    <col min="4865" max="4865" width="13.140625" style="1955" bestFit="1" customWidth="1"/>
    <col min="4866" max="4866" width="12.28515625" style="1955" customWidth="1"/>
    <col min="4867" max="4867" width="1.85546875" style="1955" customWidth="1"/>
    <col min="4868" max="4868" width="11" style="1955" customWidth="1"/>
    <col min="4869" max="4869" width="4.5703125" style="1955" bestFit="1" customWidth="1"/>
    <col min="4870" max="4870" width="13.28515625" style="1955" bestFit="1" customWidth="1"/>
    <col min="4871" max="4871" width="12.42578125" style="1955" bestFit="1" customWidth="1"/>
    <col min="4872" max="5112" width="16.7109375" style="1955"/>
    <col min="5113" max="5113" width="4.5703125" style="1955" bestFit="1" customWidth="1"/>
    <col min="5114" max="5114" width="50.140625" style="1955" customWidth="1"/>
    <col min="5115" max="5115" width="9.85546875" style="1955" customWidth="1"/>
    <col min="5116" max="5116" width="13" style="1955" customWidth="1"/>
    <col min="5117" max="5117" width="4.140625" style="1955" customWidth="1"/>
    <col min="5118" max="5118" width="12.85546875" style="1955" customWidth="1"/>
    <col min="5119" max="5119" width="13.85546875" style="1955" customWidth="1"/>
    <col min="5120" max="5120" width="4.5703125" style="1955" bestFit="1" customWidth="1"/>
    <col min="5121" max="5121" width="13.140625" style="1955" bestFit="1" customWidth="1"/>
    <col min="5122" max="5122" width="12.28515625" style="1955" customWidth="1"/>
    <col min="5123" max="5123" width="1.85546875" style="1955" customWidth="1"/>
    <col min="5124" max="5124" width="11" style="1955" customWidth="1"/>
    <col min="5125" max="5125" width="4.5703125" style="1955" bestFit="1" customWidth="1"/>
    <col min="5126" max="5126" width="13.28515625" style="1955" bestFit="1" customWidth="1"/>
    <col min="5127" max="5127" width="12.42578125" style="1955" bestFit="1" customWidth="1"/>
    <col min="5128" max="5368" width="16.7109375" style="1955"/>
    <col min="5369" max="5369" width="4.5703125" style="1955" bestFit="1" customWidth="1"/>
    <col min="5370" max="5370" width="50.140625" style="1955" customWidth="1"/>
    <col min="5371" max="5371" width="9.85546875" style="1955" customWidth="1"/>
    <col min="5372" max="5372" width="13" style="1955" customWidth="1"/>
    <col min="5373" max="5373" width="4.140625" style="1955" customWidth="1"/>
    <col min="5374" max="5374" width="12.85546875" style="1955" customWidth="1"/>
    <col min="5375" max="5375" width="13.85546875" style="1955" customWidth="1"/>
    <col min="5376" max="5376" width="4.5703125" style="1955" bestFit="1" customWidth="1"/>
    <col min="5377" max="5377" width="13.140625" style="1955" bestFit="1" customWidth="1"/>
    <col min="5378" max="5378" width="12.28515625" style="1955" customWidth="1"/>
    <col min="5379" max="5379" width="1.85546875" style="1955" customWidth="1"/>
    <col min="5380" max="5380" width="11" style="1955" customWidth="1"/>
    <col min="5381" max="5381" width="4.5703125" style="1955" bestFit="1" customWidth="1"/>
    <col min="5382" max="5382" width="13.28515625" style="1955" bestFit="1" customWidth="1"/>
    <col min="5383" max="5383" width="12.42578125" style="1955" bestFit="1" customWidth="1"/>
    <col min="5384" max="5624" width="16.7109375" style="1955"/>
    <col min="5625" max="5625" width="4.5703125" style="1955" bestFit="1" customWidth="1"/>
    <col min="5626" max="5626" width="50.140625" style="1955" customWidth="1"/>
    <col min="5627" max="5627" width="9.85546875" style="1955" customWidth="1"/>
    <col min="5628" max="5628" width="13" style="1955" customWidth="1"/>
    <col min="5629" max="5629" width="4.140625" style="1955" customWidth="1"/>
    <col min="5630" max="5630" width="12.85546875" style="1955" customWidth="1"/>
    <col min="5631" max="5631" width="13.85546875" style="1955" customWidth="1"/>
    <col min="5632" max="5632" width="4.5703125" style="1955" bestFit="1" customWidth="1"/>
    <col min="5633" max="5633" width="13.140625" style="1955" bestFit="1" customWidth="1"/>
    <col min="5634" max="5634" width="12.28515625" style="1955" customWidth="1"/>
    <col min="5635" max="5635" width="1.85546875" style="1955" customWidth="1"/>
    <col min="5636" max="5636" width="11" style="1955" customWidth="1"/>
    <col min="5637" max="5637" width="4.5703125" style="1955" bestFit="1" customWidth="1"/>
    <col min="5638" max="5638" width="13.28515625" style="1955" bestFit="1" customWidth="1"/>
    <col min="5639" max="5639" width="12.42578125" style="1955" bestFit="1" customWidth="1"/>
    <col min="5640" max="5880" width="16.7109375" style="1955"/>
    <col min="5881" max="5881" width="4.5703125" style="1955" bestFit="1" customWidth="1"/>
    <col min="5882" max="5882" width="50.140625" style="1955" customWidth="1"/>
    <col min="5883" max="5883" width="9.85546875" style="1955" customWidth="1"/>
    <col min="5884" max="5884" width="13" style="1955" customWidth="1"/>
    <col min="5885" max="5885" width="4.140625" style="1955" customWidth="1"/>
    <col min="5886" max="5886" width="12.85546875" style="1955" customWidth="1"/>
    <col min="5887" max="5887" width="13.85546875" style="1955" customWidth="1"/>
    <col min="5888" max="5888" width="4.5703125" style="1955" bestFit="1" customWidth="1"/>
    <col min="5889" max="5889" width="13.140625" style="1955" bestFit="1" customWidth="1"/>
    <col min="5890" max="5890" width="12.28515625" style="1955" customWidth="1"/>
    <col min="5891" max="5891" width="1.85546875" style="1955" customWidth="1"/>
    <col min="5892" max="5892" width="11" style="1955" customWidth="1"/>
    <col min="5893" max="5893" width="4.5703125" style="1955" bestFit="1" customWidth="1"/>
    <col min="5894" max="5894" width="13.28515625" style="1955" bestFit="1" customWidth="1"/>
    <col min="5895" max="5895" width="12.42578125" style="1955" bestFit="1" customWidth="1"/>
    <col min="5896" max="6136" width="16.7109375" style="1955"/>
    <col min="6137" max="6137" width="4.5703125" style="1955" bestFit="1" customWidth="1"/>
    <col min="6138" max="6138" width="50.140625" style="1955" customWidth="1"/>
    <col min="6139" max="6139" width="9.85546875" style="1955" customWidth="1"/>
    <col min="6140" max="6140" width="13" style="1955" customWidth="1"/>
    <col min="6141" max="6141" width="4.140625" style="1955" customWidth="1"/>
    <col min="6142" max="6142" width="12.85546875" style="1955" customWidth="1"/>
    <col min="6143" max="6143" width="13.85546875" style="1955" customWidth="1"/>
    <col min="6144" max="6144" width="4.5703125" style="1955" bestFit="1" customWidth="1"/>
    <col min="6145" max="6145" width="13.140625" style="1955" bestFit="1" customWidth="1"/>
    <col min="6146" max="6146" width="12.28515625" style="1955" customWidth="1"/>
    <col min="6147" max="6147" width="1.85546875" style="1955" customWidth="1"/>
    <col min="6148" max="6148" width="11" style="1955" customWidth="1"/>
    <col min="6149" max="6149" width="4.5703125" style="1955" bestFit="1" customWidth="1"/>
    <col min="6150" max="6150" width="13.28515625" style="1955" bestFit="1" customWidth="1"/>
    <col min="6151" max="6151" width="12.42578125" style="1955" bestFit="1" customWidth="1"/>
    <col min="6152" max="6392" width="16.7109375" style="1955"/>
    <col min="6393" max="6393" width="4.5703125" style="1955" bestFit="1" customWidth="1"/>
    <col min="6394" max="6394" width="50.140625" style="1955" customWidth="1"/>
    <col min="6395" max="6395" width="9.85546875" style="1955" customWidth="1"/>
    <col min="6396" max="6396" width="13" style="1955" customWidth="1"/>
    <col min="6397" max="6397" width="4.140625" style="1955" customWidth="1"/>
    <col min="6398" max="6398" width="12.85546875" style="1955" customWidth="1"/>
    <col min="6399" max="6399" width="13.85546875" style="1955" customWidth="1"/>
    <col min="6400" max="6400" width="4.5703125" style="1955" bestFit="1" customWidth="1"/>
    <col min="6401" max="6401" width="13.140625" style="1955" bestFit="1" customWidth="1"/>
    <col min="6402" max="6402" width="12.28515625" style="1955" customWidth="1"/>
    <col min="6403" max="6403" width="1.85546875" style="1955" customWidth="1"/>
    <col min="6404" max="6404" width="11" style="1955" customWidth="1"/>
    <col min="6405" max="6405" width="4.5703125" style="1955" bestFit="1" customWidth="1"/>
    <col min="6406" max="6406" width="13.28515625" style="1955" bestFit="1" customWidth="1"/>
    <col min="6407" max="6407" width="12.42578125" style="1955" bestFit="1" customWidth="1"/>
    <col min="6408" max="6648" width="16.7109375" style="1955"/>
    <col min="6649" max="6649" width="4.5703125" style="1955" bestFit="1" customWidth="1"/>
    <col min="6650" max="6650" width="50.140625" style="1955" customWidth="1"/>
    <col min="6651" max="6651" width="9.85546875" style="1955" customWidth="1"/>
    <col min="6652" max="6652" width="13" style="1955" customWidth="1"/>
    <col min="6653" max="6653" width="4.140625" style="1955" customWidth="1"/>
    <col min="6654" max="6654" width="12.85546875" style="1955" customWidth="1"/>
    <col min="6655" max="6655" width="13.85546875" style="1955" customWidth="1"/>
    <col min="6656" max="6656" width="4.5703125" style="1955" bestFit="1" customWidth="1"/>
    <col min="6657" max="6657" width="13.140625" style="1955" bestFit="1" customWidth="1"/>
    <col min="6658" max="6658" width="12.28515625" style="1955" customWidth="1"/>
    <col min="6659" max="6659" width="1.85546875" style="1955" customWidth="1"/>
    <col min="6660" max="6660" width="11" style="1955" customWidth="1"/>
    <col min="6661" max="6661" width="4.5703125" style="1955" bestFit="1" customWidth="1"/>
    <col min="6662" max="6662" width="13.28515625" style="1955" bestFit="1" customWidth="1"/>
    <col min="6663" max="6663" width="12.42578125" style="1955" bestFit="1" customWidth="1"/>
    <col min="6664" max="6904" width="16.7109375" style="1955"/>
    <col min="6905" max="6905" width="4.5703125" style="1955" bestFit="1" customWidth="1"/>
    <col min="6906" max="6906" width="50.140625" style="1955" customWidth="1"/>
    <col min="6907" max="6907" width="9.85546875" style="1955" customWidth="1"/>
    <col min="6908" max="6908" width="13" style="1955" customWidth="1"/>
    <col min="6909" max="6909" width="4.140625" style="1955" customWidth="1"/>
    <col min="6910" max="6910" width="12.85546875" style="1955" customWidth="1"/>
    <col min="6911" max="6911" width="13.85546875" style="1955" customWidth="1"/>
    <col min="6912" max="6912" width="4.5703125" style="1955" bestFit="1" customWidth="1"/>
    <col min="6913" max="6913" width="13.140625" style="1955" bestFit="1" customWidth="1"/>
    <col min="6914" max="6914" width="12.28515625" style="1955" customWidth="1"/>
    <col min="6915" max="6915" width="1.85546875" style="1955" customWidth="1"/>
    <col min="6916" max="6916" width="11" style="1955" customWidth="1"/>
    <col min="6917" max="6917" width="4.5703125" style="1955" bestFit="1" customWidth="1"/>
    <col min="6918" max="6918" width="13.28515625" style="1955" bestFit="1" customWidth="1"/>
    <col min="6919" max="6919" width="12.42578125" style="1955" bestFit="1" customWidth="1"/>
    <col min="6920" max="7160" width="16.7109375" style="1955"/>
    <col min="7161" max="7161" width="4.5703125" style="1955" bestFit="1" customWidth="1"/>
    <col min="7162" max="7162" width="50.140625" style="1955" customWidth="1"/>
    <col min="7163" max="7163" width="9.85546875" style="1955" customWidth="1"/>
    <col min="7164" max="7164" width="13" style="1955" customWidth="1"/>
    <col min="7165" max="7165" width="4.140625" style="1955" customWidth="1"/>
    <col min="7166" max="7166" width="12.85546875" style="1955" customWidth="1"/>
    <col min="7167" max="7167" width="13.85546875" style="1955" customWidth="1"/>
    <col min="7168" max="7168" width="4.5703125" style="1955" bestFit="1" customWidth="1"/>
    <col min="7169" max="7169" width="13.140625" style="1955" bestFit="1" customWidth="1"/>
    <col min="7170" max="7170" width="12.28515625" style="1955" customWidth="1"/>
    <col min="7171" max="7171" width="1.85546875" style="1955" customWidth="1"/>
    <col min="7172" max="7172" width="11" style="1955" customWidth="1"/>
    <col min="7173" max="7173" width="4.5703125" style="1955" bestFit="1" customWidth="1"/>
    <col min="7174" max="7174" width="13.28515625" style="1955" bestFit="1" customWidth="1"/>
    <col min="7175" max="7175" width="12.42578125" style="1955" bestFit="1" customWidth="1"/>
    <col min="7176" max="7416" width="16.7109375" style="1955"/>
    <col min="7417" max="7417" width="4.5703125" style="1955" bestFit="1" customWidth="1"/>
    <col min="7418" max="7418" width="50.140625" style="1955" customWidth="1"/>
    <col min="7419" max="7419" width="9.85546875" style="1955" customWidth="1"/>
    <col min="7420" max="7420" width="13" style="1955" customWidth="1"/>
    <col min="7421" max="7421" width="4.140625" style="1955" customWidth="1"/>
    <col min="7422" max="7422" width="12.85546875" style="1955" customWidth="1"/>
    <col min="7423" max="7423" width="13.85546875" style="1955" customWidth="1"/>
    <col min="7424" max="7424" width="4.5703125" style="1955" bestFit="1" customWidth="1"/>
    <col min="7425" max="7425" width="13.140625" style="1955" bestFit="1" customWidth="1"/>
    <col min="7426" max="7426" width="12.28515625" style="1955" customWidth="1"/>
    <col min="7427" max="7427" width="1.85546875" style="1955" customWidth="1"/>
    <col min="7428" max="7428" width="11" style="1955" customWidth="1"/>
    <col min="7429" max="7429" width="4.5703125" style="1955" bestFit="1" customWidth="1"/>
    <col min="7430" max="7430" width="13.28515625" style="1955" bestFit="1" customWidth="1"/>
    <col min="7431" max="7431" width="12.42578125" style="1955" bestFit="1" customWidth="1"/>
    <col min="7432" max="7672" width="16.7109375" style="1955"/>
    <col min="7673" max="7673" width="4.5703125" style="1955" bestFit="1" customWidth="1"/>
    <col min="7674" max="7674" width="50.140625" style="1955" customWidth="1"/>
    <col min="7675" max="7675" width="9.85546875" style="1955" customWidth="1"/>
    <col min="7676" max="7676" width="13" style="1955" customWidth="1"/>
    <col min="7677" max="7677" width="4.140625" style="1955" customWidth="1"/>
    <col min="7678" max="7678" width="12.85546875" style="1955" customWidth="1"/>
    <col min="7679" max="7679" width="13.85546875" style="1955" customWidth="1"/>
    <col min="7680" max="7680" width="4.5703125" style="1955" bestFit="1" customWidth="1"/>
    <col min="7681" max="7681" width="13.140625" style="1955" bestFit="1" customWidth="1"/>
    <col min="7682" max="7682" width="12.28515625" style="1955" customWidth="1"/>
    <col min="7683" max="7683" width="1.85546875" style="1955" customWidth="1"/>
    <col min="7684" max="7684" width="11" style="1955" customWidth="1"/>
    <col min="7685" max="7685" width="4.5703125" style="1955" bestFit="1" customWidth="1"/>
    <col min="7686" max="7686" width="13.28515625" style="1955" bestFit="1" customWidth="1"/>
    <col min="7687" max="7687" width="12.42578125" style="1955" bestFit="1" customWidth="1"/>
    <col min="7688" max="7928" width="16.7109375" style="1955"/>
    <col min="7929" max="7929" width="4.5703125" style="1955" bestFit="1" customWidth="1"/>
    <col min="7930" max="7930" width="50.140625" style="1955" customWidth="1"/>
    <col min="7931" max="7931" width="9.85546875" style="1955" customWidth="1"/>
    <col min="7932" max="7932" width="13" style="1955" customWidth="1"/>
    <col min="7933" max="7933" width="4.140625" style="1955" customWidth="1"/>
    <col min="7934" max="7934" width="12.85546875" style="1955" customWidth="1"/>
    <col min="7935" max="7935" width="13.85546875" style="1955" customWidth="1"/>
    <col min="7936" max="7936" width="4.5703125" style="1955" bestFit="1" customWidth="1"/>
    <col min="7937" max="7937" width="13.140625" style="1955" bestFit="1" customWidth="1"/>
    <col min="7938" max="7938" width="12.28515625" style="1955" customWidth="1"/>
    <col min="7939" max="7939" width="1.85546875" style="1955" customWidth="1"/>
    <col min="7940" max="7940" width="11" style="1955" customWidth="1"/>
    <col min="7941" max="7941" width="4.5703125" style="1955" bestFit="1" customWidth="1"/>
    <col min="7942" max="7942" width="13.28515625" style="1955" bestFit="1" customWidth="1"/>
    <col min="7943" max="7943" width="12.42578125" style="1955" bestFit="1" customWidth="1"/>
    <col min="7944" max="8184" width="16.7109375" style="1955"/>
    <col min="8185" max="8185" width="4.5703125" style="1955" bestFit="1" customWidth="1"/>
    <col min="8186" max="8186" width="50.140625" style="1955" customWidth="1"/>
    <col min="8187" max="8187" width="9.85546875" style="1955" customWidth="1"/>
    <col min="8188" max="8188" width="13" style="1955" customWidth="1"/>
    <col min="8189" max="8189" width="4.140625" style="1955" customWidth="1"/>
    <col min="8190" max="8190" width="12.85546875" style="1955" customWidth="1"/>
    <col min="8191" max="8191" width="13.85546875" style="1955" customWidth="1"/>
    <col min="8192" max="8192" width="4.5703125" style="1955" bestFit="1" customWidth="1"/>
    <col min="8193" max="8193" width="13.140625" style="1955" bestFit="1" customWidth="1"/>
    <col min="8194" max="8194" width="12.28515625" style="1955" customWidth="1"/>
    <col min="8195" max="8195" width="1.85546875" style="1955" customWidth="1"/>
    <col min="8196" max="8196" width="11" style="1955" customWidth="1"/>
    <col min="8197" max="8197" width="4.5703125" style="1955" bestFit="1" customWidth="1"/>
    <col min="8198" max="8198" width="13.28515625" style="1955" bestFit="1" customWidth="1"/>
    <col min="8199" max="8199" width="12.42578125" style="1955" bestFit="1" customWidth="1"/>
    <col min="8200" max="8440" width="16.7109375" style="1955"/>
    <col min="8441" max="8441" width="4.5703125" style="1955" bestFit="1" customWidth="1"/>
    <col min="8442" max="8442" width="50.140625" style="1955" customWidth="1"/>
    <col min="8443" max="8443" width="9.85546875" style="1955" customWidth="1"/>
    <col min="8444" max="8444" width="13" style="1955" customWidth="1"/>
    <col min="8445" max="8445" width="4.140625" style="1955" customWidth="1"/>
    <col min="8446" max="8446" width="12.85546875" style="1955" customWidth="1"/>
    <col min="8447" max="8447" width="13.85546875" style="1955" customWidth="1"/>
    <col min="8448" max="8448" width="4.5703125" style="1955" bestFit="1" customWidth="1"/>
    <col min="8449" max="8449" width="13.140625" style="1955" bestFit="1" customWidth="1"/>
    <col min="8450" max="8450" width="12.28515625" style="1955" customWidth="1"/>
    <col min="8451" max="8451" width="1.85546875" style="1955" customWidth="1"/>
    <col min="8452" max="8452" width="11" style="1955" customWidth="1"/>
    <col min="8453" max="8453" width="4.5703125" style="1955" bestFit="1" customWidth="1"/>
    <col min="8454" max="8454" width="13.28515625" style="1955" bestFit="1" customWidth="1"/>
    <col min="8455" max="8455" width="12.42578125" style="1955" bestFit="1" customWidth="1"/>
    <col min="8456" max="8696" width="16.7109375" style="1955"/>
    <col min="8697" max="8697" width="4.5703125" style="1955" bestFit="1" customWidth="1"/>
    <col min="8698" max="8698" width="50.140625" style="1955" customWidth="1"/>
    <col min="8699" max="8699" width="9.85546875" style="1955" customWidth="1"/>
    <col min="8700" max="8700" width="13" style="1955" customWidth="1"/>
    <col min="8701" max="8701" width="4.140625" style="1955" customWidth="1"/>
    <col min="8702" max="8702" width="12.85546875" style="1955" customWidth="1"/>
    <col min="8703" max="8703" width="13.85546875" style="1955" customWidth="1"/>
    <col min="8704" max="8704" width="4.5703125" style="1955" bestFit="1" customWidth="1"/>
    <col min="8705" max="8705" width="13.140625" style="1955" bestFit="1" customWidth="1"/>
    <col min="8706" max="8706" width="12.28515625" style="1955" customWidth="1"/>
    <col min="8707" max="8707" width="1.85546875" style="1955" customWidth="1"/>
    <col min="8708" max="8708" width="11" style="1955" customWidth="1"/>
    <col min="8709" max="8709" width="4.5703125" style="1955" bestFit="1" customWidth="1"/>
    <col min="8710" max="8710" width="13.28515625" style="1955" bestFit="1" customWidth="1"/>
    <col min="8711" max="8711" width="12.42578125" style="1955" bestFit="1" customWidth="1"/>
    <col min="8712" max="8952" width="16.7109375" style="1955"/>
    <col min="8953" max="8953" width="4.5703125" style="1955" bestFit="1" customWidth="1"/>
    <col min="8954" max="8954" width="50.140625" style="1955" customWidth="1"/>
    <col min="8955" max="8955" width="9.85546875" style="1955" customWidth="1"/>
    <col min="8956" max="8956" width="13" style="1955" customWidth="1"/>
    <col min="8957" max="8957" width="4.140625" style="1955" customWidth="1"/>
    <col min="8958" max="8958" width="12.85546875" style="1955" customWidth="1"/>
    <col min="8959" max="8959" width="13.85546875" style="1955" customWidth="1"/>
    <col min="8960" max="8960" width="4.5703125" style="1955" bestFit="1" customWidth="1"/>
    <col min="8961" max="8961" width="13.140625" style="1955" bestFit="1" customWidth="1"/>
    <col min="8962" max="8962" width="12.28515625" style="1955" customWidth="1"/>
    <col min="8963" max="8963" width="1.85546875" style="1955" customWidth="1"/>
    <col min="8964" max="8964" width="11" style="1955" customWidth="1"/>
    <col min="8965" max="8965" width="4.5703125" style="1955" bestFit="1" customWidth="1"/>
    <col min="8966" max="8966" width="13.28515625" style="1955" bestFit="1" customWidth="1"/>
    <col min="8967" max="8967" width="12.42578125" style="1955" bestFit="1" customWidth="1"/>
    <col min="8968" max="9208" width="16.7109375" style="1955"/>
    <col min="9209" max="9209" width="4.5703125" style="1955" bestFit="1" customWidth="1"/>
    <col min="9210" max="9210" width="50.140625" style="1955" customWidth="1"/>
    <col min="9211" max="9211" width="9.85546875" style="1955" customWidth="1"/>
    <col min="9212" max="9212" width="13" style="1955" customWidth="1"/>
    <col min="9213" max="9213" width="4.140625" style="1955" customWidth="1"/>
    <col min="9214" max="9214" width="12.85546875" style="1955" customWidth="1"/>
    <col min="9215" max="9215" width="13.85546875" style="1955" customWidth="1"/>
    <col min="9216" max="9216" width="4.5703125" style="1955" bestFit="1" customWidth="1"/>
    <col min="9217" max="9217" width="13.140625" style="1955" bestFit="1" customWidth="1"/>
    <col min="9218" max="9218" width="12.28515625" style="1955" customWidth="1"/>
    <col min="9219" max="9219" width="1.85546875" style="1955" customWidth="1"/>
    <col min="9220" max="9220" width="11" style="1955" customWidth="1"/>
    <col min="9221" max="9221" width="4.5703125" style="1955" bestFit="1" customWidth="1"/>
    <col min="9222" max="9222" width="13.28515625" style="1955" bestFit="1" customWidth="1"/>
    <col min="9223" max="9223" width="12.42578125" style="1955" bestFit="1" customWidth="1"/>
    <col min="9224" max="9464" width="16.7109375" style="1955"/>
    <col min="9465" max="9465" width="4.5703125" style="1955" bestFit="1" customWidth="1"/>
    <col min="9466" max="9466" width="50.140625" style="1955" customWidth="1"/>
    <col min="9467" max="9467" width="9.85546875" style="1955" customWidth="1"/>
    <col min="9468" max="9468" width="13" style="1955" customWidth="1"/>
    <col min="9469" max="9469" width="4.140625" style="1955" customWidth="1"/>
    <col min="9470" max="9470" width="12.85546875" style="1955" customWidth="1"/>
    <col min="9471" max="9471" width="13.85546875" style="1955" customWidth="1"/>
    <col min="9472" max="9472" width="4.5703125" style="1955" bestFit="1" customWidth="1"/>
    <col min="9473" max="9473" width="13.140625" style="1955" bestFit="1" customWidth="1"/>
    <col min="9474" max="9474" width="12.28515625" style="1955" customWidth="1"/>
    <col min="9475" max="9475" width="1.85546875" style="1955" customWidth="1"/>
    <col min="9476" max="9476" width="11" style="1955" customWidth="1"/>
    <col min="9477" max="9477" width="4.5703125" style="1955" bestFit="1" customWidth="1"/>
    <col min="9478" max="9478" width="13.28515625" style="1955" bestFit="1" customWidth="1"/>
    <col min="9479" max="9479" width="12.42578125" style="1955" bestFit="1" customWidth="1"/>
    <col min="9480" max="9720" width="16.7109375" style="1955"/>
    <col min="9721" max="9721" width="4.5703125" style="1955" bestFit="1" customWidth="1"/>
    <col min="9722" max="9722" width="50.140625" style="1955" customWidth="1"/>
    <col min="9723" max="9723" width="9.85546875" style="1955" customWidth="1"/>
    <col min="9724" max="9724" width="13" style="1955" customWidth="1"/>
    <col min="9725" max="9725" width="4.140625" style="1955" customWidth="1"/>
    <col min="9726" max="9726" width="12.85546875" style="1955" customWidth="1"/>
    <col min="9727" max="9727" width="13.85546875" style="1955" customWidth="1"/>
    <col min="9728" max="9728" width="4.5703125" style="1955" bestFit="1" customWidth="1"/>
    <col min="9729" max="9729" width="13.140625" style="1955" bestFit="1" customWidth="1"/>
    <col min="9730" max="9730" width="12.28515625" style="1955" customWidth="1"/>
    <col min="9731" max="9731" width="1.85546875" style="1955" customWidth="1"/>
    <col min="9732" max="9732" width="11" style="1955" customWidth="1"/>
    <col min="9733" max="9733" width="4.5703125" style="1955" bestFit="1" customWidth="1"/>
    <col min="9734" max="9734" width="13.28515625" style="1955" bestFit="1" customWidth="1"/>
    <col min="9735" max="9735" width="12.42578125" style="1955" bestFit="1" customWidth="1"/>
    <col min="9736" max="9976" width="16.7109375" style="1955"/>
    <col min="9977" max="9977" width="4.5703125" style="1955" bestFit="1" customWidth="1"/>
    <col min="9978" max="9978" width="50.140625" style="1955" customWidth="1"/>
    <col min="9979" max="9979" width="9.85546875" style="1955" customWidth="1"/>
    <col min="9980" max="9980" width="13" style="1955" customWidth="1"/>
    <col min="9981" max="9981" width="4.140625" style="1955" customWidth="1"/>
    <col min="9982" max="9982" width="12.85546875" style="1955" customWidth="1"/>
    <col min="9983" max="9983" width="13.85546875" style="1955" customWidth="1"/>
    <col min="9984" max="9984" width="4.5703125" style="1955" bestFit="1" customWidth="1"/>
    <col min="9985" max="9985" width="13.140625" style="1955" bestFit="1" customWidth="1"/>
    <col min="9986" max="9986" width="12.28515625" style="1955" customWidth="1"/>
    <col min="9987" max="9987" width="1.85546875" style="1955" customWidth="1"/>
    <col min="9988" max="9988" width="11" style="1955" customWidth="1"/>
    <col min="9989" max="9989" width="4.5703125" style="1955" bestFit="1" customWidth="1"/>
    <col min="9990" max="9990" width="13.28515625" style="1955" bestFit="1" customWidth="1"/>
    <col min="9991" max="9991" width="12.42578125" style="1955" bestFit="1" customWidth="1"/>
    <col min="9992" max="10232" width="16.7109375" style="1955"/>
    <col min="10233" max="10233" width="4.5703125" style="1955" bestFit="1" customWidth="1"/>
    <col min="10234" max="10234" width="50.140625" style="1955" customWidth="1"/>
    <col min="10235" max="10235" width="9.85546875" style="1955" customWidth="1"/>
    <col min="10236" max="10236" width="13" style="1955" customWidth="1"/>
    <col min="10237" max="10237" width="4.140625" style="1955" customWidth="1"/>
    <col min="10238" max="10238" width="12.85546875" style="1955" customWidth="1"/>
    <col min="10239" max="10239" width="13.85546875" style="1955" customWidth="1"/>
    <col min="10240" max="10240" width="4.5703125" style="1955" bestFit="1" customWidth="1"/>
    <col min="10241" max="10241" width="13.140625" style="1955" bestFit="1" customWidth="1"/>
    <col min="10242" max="10242" width="12.28515625" style="1955" customWidth="1"/>
    <col min="10243" max="10243" width="1.85546875" style="1955" customWidth="1"/>
    <col min="10244" max="10244" width="11" style="1955" customWidth="1"/>
    <col min="10245" max="10245" width="4.5703125" style="1955" bestFit="1" customWidth="1"/>
    <col min="10246" max="10246" width="13.28515625" style="1955" bestFit="1" customWidth="1"/>
    <col min="10247" max="10247" width="12.42578125" style="1955" bestFit="1" customWidth="1"/>
    <col min="10248" max="10488" width="16.7109375" style="1955"/>
    <col min="10489" max="10489" width="4.5703125" style="1955" bestFit="1" customWidth="1"/>
    <col min="10490" max="10490" width="50.140625" style="1955" customWidth="1"/>
    <col min="10491" max="10491" width="9.85546875" style="1955" customWidth="1"/>
    <col min="10492" max="10492" width="13" style="1955" customWidth="1"/>
    <col min="10493" max="10493" width="4.140625" style="1955" customWidth="1"/>
    <col min="10494" max="10494" width="12.85546875" style="1955" customWidth="1"/>
    <col min="10495" max="10495" width="13.85546875" style="1955" customWidth="1"/>
    <col min="10496" max="10496" width="4.5703125" style="1955" bestFit="1" customWidth="1"/>
    <col min="10497" max="10497" width="13.140625" style="1955" bestFit="1" customWidth="1"/>
    <col min="10498" max="10498" width="12.28515625" style="1955" customWidth="1"/>
    <col min="10499" max="10499" width="1.85546875" style="1955" customWidth="1"/>
    <col min="10500" max="10500" width="11" style="1955" customWidth="1"/>
    <col min="10501" max="10501" width="4.5703125" style="1955" bestFit="1" customWidth="1"/>
    <col min="10502" max="10502" width="13.28515625" style="1955" bestFit="1" customWidth="1"/>
    <col min="10503" max="10503" width="12.42578125" style="1955" bestFit="1" customWidth="1"/>
    <col min="10504" max="10744" width="16.7109375" style="1955"/>
    <col min="10745" max="10745" width="4.5703125" style="1955" bestFit="1" customWidth="1"/>
    <col min="10746" max="10746" width="50.140625" style="1955" customWidth="1"/>
    <col min="10747" max="10747" width="9.85546875" style="1955" customWidth="1"/>
    <col min="10748" max="10748" width="13" style="1955" customWidth="1"/>
    <col min="10749" max="10749" width="4.140625" style="1955" customWidth="1"/>
    <col min="10750" max="10750" width="12.85546875" style="1955" customWidth="1"/>
    <col min="10751" max="10751" width="13.85546875" style="1955" customWidth="1"/>
    <col min="10752" max="10752" width="4.5703125" style="1955" bestFit="1" customWidth="1"/>
    <col min="10753" max="10753" width="13.140625" style="1955" bestFit="1" customWidth="1"/>
    <col min="10754" max="10754" width="12.28515625" style="1955" customWidth="1"/>
    <col min="10755" max="10755" width="1.85546875" style="1955" customWidth="1"/>
    <col min="10756" max="10756" width="11" style="1955" customWidth="1"/>
    <col min="10757" max="10757" width="4.5703125" style="1955" bestFit="1" customWidth="1"/>
    <col min="10758" max="10758" width="13.28515625" style="1955" bestFit="1" customWidth="1"/>
    <col min="10759" max="10759" width="12.42578125" style="1955" bestFit="1" customWidth="1"/>
    <col min="10760" max="11000" width="16.7109375" style="1955"/>
    <col min="11001" max="11001" width="4.5703125" style="1955" bestFit="1" customWidth="1"/>
    <col min="11002" max="11002" width="50.140625" style="1955" customWidth="1"/>
    <col min="11003" max="11003" width="9.85546875" style="1955" customWidth="1"/>
    <col min="11004" max="11004" width="13" style="1955" customWidth="1"/>
    <col min="11005" max="11005" width="4.140625" style="1955" customWidth="1"/>
    <col min="11006" max="11006" width="12.85546875" style="1955" customWidth="1"/>
    <col min="11007" max="11007" width="13.85546875" style="1955" customWidth="1"/>
    <col min="11008" max="11008" width="4.5703125" style="1955" bestFit="1" customWidth="1"/>
    <col min="11009" max="11009" width="13.140625" style="1955" bestFit="1" customWidth="1"/>
    <col min="11010" max="11010" width="12.28515625" style="1955" customWidth="1"/>
    <col min="11011" max="11011" width="1.85546875" style="1955" customWidth="1"/>
    <col min="11012" max="11012" width="11" style="1955" customWidth="1"/>
    <col min="11013" max="11013" width="4.5703125" style="1955" bestFit="1" customWidth="1"/>
    <col min="11014" max="11014" width="13.28515625" style="1955" bestFit="1" customWidth="1"/>
    <col min="11015" max="11015" width="12.42578125" style="1955" bestFit="1" customWidth="1"/>
    <col min="11016" max="11256" width="16.7109375" style="1955"/>
    <col min="11257" max="11257" width="4.5703125" style="1955" bestFit="1" customWidth="1"/>
    <col min="11258" max="11258" width="50.140625" style="1955" customWidth="1"/>
    <col min="11259" max="11259" width="9.85546875" style="1955" customWidth="1"/>
    <col min="11260" max="11260" width="13" style="1955" customWidth="1"/>
    <col min="11261" max="11261" width="4.140625" style="1955" customWidth="1"/>
    <col min="11262" max="11262" width="12.85546875" style="1955" customWidth="1"/>
    <col min="11263" max="11263" width="13.85546875" style="1955" customWidth="1"/>
    <col min="11264" max="11264" width="4.5703125" style="1955" bestFit="1" customWidth="1"/>
    <col min="11265" max="11265" width="13.140625" style="1955" bestFit="1" customWidth="1"/>
    <col min="11266" max="11266" width="12.28515625" style="1955" customWidth="1"/>
    <col min="11267" max="11267" width="1.85546875" style="1955" customWidth="1"/>
    <col min="11268" max="11268" width="11" style="1955" customWidth="1"/>
    <col min="11269" max="11269" width="4.5703125" style="1955" bestFit="1" customWidth="1"/>
    <col min="11270" max="11270" width="13.28515625" style="1955" bestFit="1" customWidth="1"/>
    <col min="11271" max="11271" width="12.42578125" style="1955" bestFit="1" customWidth="1"/>
    <col min="11272" max="11512" width="16.7109375" style="1955"/>
    <col min="11513" max="11513" width="4.5703125" style="1955" bestFit="1" customWidth="1"/>
    <col min="11514" max="11514" width="50.140625" style="1955" customWidth="1"/>
    <col min="11515" max="11515" width="9.85546875" style="1955" customWidth="1"/>
    <col min="11516" max="11516" width="13" style="1955" customWidth="1"/>
    <col min="11517" max="11517" width="4.140625" style="1955" customWidth="1"/>
    <col min="11518" max="11518" width="12.85546875" style="1955" customWidth="1"/>
    <col min="11519" max="11519" width="13.85546875" style="1955" customWidth="1"/>
    <col min="11520" max="11520" width="4.5703125" style="1955" bestFit="1" customWidth="1"/>
    <col min="11521" max="11521" width="13.140625" style="1955" bestFit="1" customWidth="1"/>
    <col min="11522" max="11522" width="12.28515625" style="1955" customWidth="1"/>
    <col min="11523" max="11523" width="1.85546875" style="1955" customWidth="1"/>
    <col min="11524" max="11524" width="11" style="1955" customWidth="1"/>
    <col min="11525" max="11525" width="4.5703125" style="1955" bestFit="1" customWidth="1"/>
    <col min="11526" max="11526" width="13.28515625" style="1955" bestFit="1" customWidth="1"/>
    <col min="11527" max="11527" width="12.42578125" style="1955" bestFit="1" customWidth="1"/>
    <col min="11528" max="11768" width="16.7109375" style="1955"/>
    <col min="11769" max="11769" width="4.5703125" style="1955" bestFit="1" customWidth="1"/>
    <col min="11770" max="11770" width="50.140625" style="1955" customWidth="1"/>
    <col min="11771" max="11771" width="9.85546875" style="1955" customWidth="1"/>
    <col min="11772" max="11772" width="13" style="1955" customWidth="1"/>
    <col min="11773" max="11773" width="4.140625" style="1955" customWidth="1"/>
    <col min="11774" max="11774" width="12.85546875" style="1955" customWidth="1"/>
    <col min="11775" max="11775" width="13.85546875" style="1955" customWidth="1"/>
    <col min="11776" max="11776" width="4.5703125" style="1955" bestFit="1" customWidth="1"/>
    <col min="11777" max="11777" width="13.140625" style="1955" bestFit="1" customWidth="1"/>
    <col min="11778" max="11778" width="12.28515625" style="1955" customWidth="1"/>
    <col min="11779" max="11779" width="1.85546875" style="1955" customWidth="1"/>
    <col min="11780" max="11780" width="11" style="1955" customWidth="1"/>
    <col min="11781" max="11781" width="4.5703125" style="1955" bestFit="1" customWidth="1"/>
    <col min="11782" max="11782" width="13.28515625" style="1955" bestFit="1" customWidth="1"/>
    <col min="11783" max="11783" width="12.42578125" style="1955" bestFit="1" customWidth="1"/>
    <col min="11784" max="12024" width="16.7109375" style="1955"/>
    <col min="12025" max="12025" width="4.5703125" style="1955" bestFit="1" customWidth="1"/>
    <col min="12026" max="12026" width="50.140625" style="1955" customWidth="1"/>
    <col min="12027" max="12027" width="9.85546875" style="1955" customWidth="1"/>
    <col min="12028" max="12028" width="13" style="1955" customWidth="1"/>
    <col min="12029" max="12029" width="4.140625" style="1955" customWidth="1"/>
    <col min="12030" max="12030" width="12.85546875" style="1955" customWidth="1"/>
    <col min="12031" max="12031" width="13.85546875" style="1955" customWidth="1"/>
    <col min="12032" max="12032" width="4.5703125" style="1955" bestFit="1" customWidth="1"/>
    <col min="12033" max="12033" width="13.140625" style="1955" bestFit="1" customWidth="1"/>
    <col min="12034" max="12034" width="12.28515625" style="1955" customWidth="1"/>
    <col min="12035" max="12035" width="1.85546875" style="1955" customWidth="1"/>
    <col min="12036" max="12036" width="11" style="1955" customWidth="1"/>
    <col min="12037" max="12037" width="4.5703125" style="1955" bestFit="1" customWidth="1"/>
    <col min="12038" max="12038" width="13.28515625" style="1955" bestFit="1" customWidth="1"/>
    <col min="12039" max="12039" width="12.42578125" style="1955" bestFit="1" customWidth="1"/>
    <col min="12040" max="12280" width="16.7109375" style="1955"/>
    <col min="12281" max="12281" width="4.5703125" style="1955" bestFit="1" customWidth="1"/>
    <col min="12282" max="12282" width="50.140625" style="1955" customWidth="1"/>
    <col min="12283" max="12283" width="9.85546875" style="1955" customWidth="1"/>
    <col min="12284" max="12284" width="13" style="1955" customWidth="1"/>
    <col min="12285" max="12285" width="4.140625" style="1955" customWidth="1"/>
    <col min="12286" max="12286" width="12.85546875" style="1955" customWidth="1"/>
    <col min="12287" max="12287" width="13.85546875" style="1955" customWidth="1"/>
    <col min="12288" max="12288" width="4.5703125" style="1955" bestFit="1" customWidth="1"/>
    <col min="12289" max="12289" width="13.140625" style="1955" bestFit="1" customWidth="1"/>
    <col min="12290" max="12290" width="12.28515625" style="1955" customWidth="1"/>
    <col min="12291" max="12291" width="1.85546875" style="1955" customWidth="1"/>
    <col min="12292" max="12292" width="11" style="1955" customWidth="1"/>
    <col min="12293" max="12293" width="4.5703125" style="1955" bestFit="1" customWidth="1"/>
    <col min="12294" max="12294" width="13.28515625" style="1955" bestFit="1" customWidth="1"/>
    <col min="12295" max="12295" width="12.42578125" style="1955" bestFit="1" customWidth="1"/>
    <col min="12296" max="12536" width="16.7109375" style="1955"/>
    <col min="12537" max="12537" width="4.5703125" style="1955" bestFit="1" customWidth="1"/>
    <col min="12538" max="12538" width="50.140625" style="1955" customWidth="1"/>
    <col min="12539" max="12539" width="9.85546875" style="1955" customWidth="1"/>
    <col min="12540" max="12540" width="13" style="1955" customWidth="1"/>
    <col min="12541" max="12541" width="4.140625" style="1955" customWidth="1"/>
    <col min="12542" max="12542" width="12.85546875" style="1955" customWidth="1"/>
    <col min="12543" max="12543" width="13.85546875" style="1955" customWidth="1"/>
    <col min="12544" max="12544" width="4.5703125" style="1955" bestFit="1" customWidth="1"/>
    <col min="12545" max="12545" width="13.140625" style="1955" bestFit="1" customWidth="1"/>
    <col min="12546" max="12546" width="12.28515625" style="1955" customWidth="1"/>
    <col min="12547" max="12547" width="1.85546875" style="1955" customWidth="1"/>
    <col min="12548" max="12548" width="11" style="1955" customWidth="1"/>
    <col min="12549" max="12549" width="4.5703125" style="1955" bestFit="1" customWidth="1"/>
    <col min="12550" max="12550" width="13.28515625" style="1955" bestFit="1" customWidth="1"/>
    <col min="12551" max="12551" width="12.42578125" style="1955" bestFit="1" customWidth="1"/>
    <col min="12552" max="12792" width="16.7109375" style="1955"/>
    <col min="12793" max="12793" width="4.5703125" style="1955" bestFit="1" customWidth="1"/>
    <col min="12794" max="12794" width="50.140625" style="1955" customWidth="1"/>
    <col min="12795" max="12795" width="9.85546875" style="1955" customWidth="1"/>
    <col min="12796" max="12796" width="13" style="1955" customWidth="1"/>
    <col min="12797" max="12797" width="4.140625" style="1955" customWidth="1"/>
    <col min="12798" max="12798" width="12.85546875" style="1955" customWidth="1"/>
    <col min="12799" max="12799" width="13.85546875" style="1955" customWidth="1"/>
    <col min="12800" max="12800" width="4.5703125" style="1955" bestFit="1" customWidth="1"/>
    <col min="12801" max="12801" width="13.140625" style="1955" bestFit="1" customWidth="1"/>
    <col min="12802" max="12802" width="12.28515625" style="1955" customWidth="1"/>
    <col min="12803" max="12803" width="1.85546875" style="1955" customWidth="1"/>
    <col min="12804" max="12804" width="11" style="1955" customWidth="1"/>
    <col min="12805" max="12805" width="4.5703125" style="1955" bestFit="1" customWidth="1"/>
    <col min="12806" max="12806" width="13.28515625" style="1955" bestFit="1" customWidth="1"/>
    <col min="12807" max="12807" width="12.42578125" style="1955" bestFit="1" customWidth="1"/>
    <col min="12808" max="13048" width="16.7109375" style="1955"/>
    <col min="13049" max="13049" width="4.5703125" style="1955" bestFit="1" customWidth="1"/>
    <col min="13050" max="13050" width="50.140625" style="1955" customWidth="1"/>
    <col min="13051" max="13051" width="9.85546875" style="1955" customWidth="1"/>
    <col min="13052" max="13052" width="13" style="1955" customWidth="1"/>
    <col min="13053" max="13053" width="4.140625" style="1955" customWidth="1"/>
    <col min="13054" max="13054" width="12.85546875" style="1955" customWidth="1"/>
    <col min="13055" max="13055" width="13.85546875" style="1955" customWidth="1"/>
    <col min="13056" max="13056" width="4.5703125" style="1955" bestFit="1" customWidth="1"/>
    <col min="13057" max="13057" width="13.140625" style="1955" bestFit="1" customWidth="1"/>
    <col min="13058" max="13058" width="12.28515625" style="1955" customWidth="1"/>
    <col min="13059" max="13059" width="1.85546875" style="1955" customWidth="1"/>
    <col min="13060" max="13060" width="11" style="1955" customWidth="1"/>
    <col min="13061" max="13061" width="4.5703125" style="1955" bestFit="1" customWidth="1"/>
    <col min="13062" max="13062" width="13.28515625" style="1955" bestFit="1" customWidth="1"/>
    <col min="13063" max="13063" width="12.42578125" style="1955" bestFit="1" customWidth="1"/>
    <col min="13064" max="13304" width="16.7109375" style="1955"/>
    <col min="13305" max="13305" width="4.5703125" style="1955" bestFit="1" customWidth="1"/>
    <col min="13306" max="13306" width="50.140625" style="1955" customWidth="1"/>
    <col min="13307" max="13307" width="9.85546875" style="1955" customWidth="1"/>
    <col min="13308" max="13308" width="13" style="1955" customWidth="1"/>
    <col min="13309" max="13309" width="4.140625" style="1955" customWidth="1"/>
    <col min="13310" max="13310" width="12.85546875" style="1955" customWidth="1"/>
    <col min="13311" max="13311" width="13.85546875" style="1955" customWidth="1"/>
    <col min="13312" max="13312" width="4.5703125" style="1955" bestFit="1" customWidth="1"/>
    <col min="13313" max="13313" width="13.140625" style="1955" bestFit="1" customWidth="1"/>
    <col min="13314" max="13314" width="12.28515625" style="1955" customWidth="1"/>
    <col min="13315" max="13315" width="1.85546875" style="1955" customWidth="1"/>
    <col min="13316" max="13316" width="11" style="1955" customWidth="1"/>
    <col min="13317" max="13317" width="4.5703125" style="1955" bestFit="1" customWidth="1"/>
    <col min="13318" max="13318" width="13.28515625" style="1955" bestFit="1" customWidth="1"/>
    <col min="13319" max="13319" width="12.42578125" style="1955" bestFit="1" customWidth="1"/>
    <col min="13320" max="13560" width="16.7109375" style="1955"/>
    <col min="13561" max="13561" width="4.5703125" style="1955" bestFit="1" customWidth="1"/>
    <col min="13562" max="13562" width="50.140625" style="1955" customWidth="1"/>
    <col min="13563" max="13563" width="9.85546875" style="1955" customWidth="1"/>
    <col min="13564" max="13564" width="13" style="1955" customWidth="1"/>
    <col min="13565" max="13565" width="4.140625" style="1955" customWidth="1"/>
    <col min="13566" max="13566" width="12.85546875" style="1955" customWidth="1"/>
    <col min="13567" max="13567" width="13.85546875" style="1955" customWidth="1"/>
    <col min="13568" max="13568" width="4.5703125" style="1955" bestFit="1" customWidth="1"/>
    <col min="13569" max="13569" width="13.140625" style="1955" bestFit="1" customWidth="1"/>
    <col min="13570" max="13570" width="12.28515625" style="1955" customWidth="1"/>
    <col min="13571" max="13571" width="1.85546875" style="1955" customWidth="1"/>
    <col min="13572" max="13572" width="11" style="1955" customWidth="1"/>
    <col min="13573" max="13573" width="4.5703125" style="1955" bestFit="1" customWidth="1"/>
    <col min="13574" max="13574" width="13.28515625" style="1955" bestFit="1" customWidth="1"/>
    <col min="13575" max="13575" width="12.42578125" style="1955" bestFit="1" customWidth="1"/>
    <col min="13576" max="13816" width="16.7109375" style="1955"/>
    <col min="13817" max="13817" width="4.5703125" style="1955" bestFit="1" customWidth="1"/>
    <col min="13818" max="13818" width="50.140625" style="1955" customWidth="1"/>
    <col min="13819" max="13819" width="9.85546875" style="1955" customWidth="1"/>
    <col min="13820" max="13820" width="13" style="1955" customWidth="1"/>
    <col min="13821" max="13821" width="4.140625" style="1955" customWidth="1"/>
    <col min="13822" max="13822" width="12.85546875" style="1955" customWidth="1"/>
    <col min="13823" max="13823" width="13.85546875" style="1955" customWidth="1"/>
    <col min="13824" max="13824" width="4.5703125" style="1955" bestFit="1" customWidth="1"/>
    <col min="13825" max="13825" width="13.140625" style="1955" bestFit="1" customWidth="1"/>
    <col min="13826" max="13826" width="12.28515625" style="1955" customWidth="1"/>
    <col min="13827" max="13827" width="1.85546875" style="1955" customWidth="1"/>
    <col min="13828" max="13828" width="11" style="1955" customWidth="1"/>
    <col min="13829" max="13829" width="4.5703125" style="1955" bestFit="1" customWidth="1"/>
    <col min="13830" max="13830" width="13.28515625" style="1955" bestFit="1" customWidth="1"/>
    <col min="13831" max="13831" width="12.42578125" style="1955" bestFit="1" customWidth="1"/>
    <col min="13832" max="14072" width="16.7109375" style="1955"/>
    <col min="14073" max="14073" width="4.5703125" style="1955" bestFit="1" customWidth="1"/>
    <col min="14074" max="14074" width="50.140625" style="1955" customWidth="1"/>
    <col min="14075" max="14075" width="9.85546875" style="1955" customWidth="1"/>
    <col min="14076" max="14076" width="13" style="1955" customWidth="1"/>
    <col min="14077" max="14077" width="4.140625" style="1955" customWidth="1"/>
    <col min="14078" max="14078" width="12.85546875" style="1955" customWidth="1"/>
    <col min="14079" max="14079" width="13.85546875" style="1955" customWidth="1"/>
    <col min="14080" max="14080" width="4.5703125" style="1955" bestFit="1" customWidth="1"/>
    <col min="14081" max="14081" width="13.140625" style="1955" bestFit="1" customWidth="1"/>
    <col min="14082" max="14082" width="12.28515625" style="1955" customWidth="1"/>
    <col min="14083" max="14083" width="1.85546875" style="1955" customWidth="1"/>
    <col min="14084" max="14084" width="11" style="1955" customWidth="1"/>
    <col min="14085" max="14085" width="4.5703125" style="1955" bestFit="1" customWidth="1"/>
    <col min="14086" max="14086" width="13.28515625" style="1955" bestFit="1" customWidth="1"/>
    <col min="14087" max="14087" width="12.42578125" style="1955" bestFit="1" customWidth="1"/>
    <col min="14088" max="14328" width="16.7109375" style="1955"/>
    <col min="14329" max="14329" width="4.5703125" style="1955" bestFit="1" customWidth="1"/>
    <col min="14330" max="14330" width="50.140625" style="1955" customWidth="1"/>
    <col min="14331" max="14331" width="9.85546875" style="1955" customWidth="1"/>
    <col min="14332" max="14332" width="13" style="1955" customWidth="1"/>
    <col min="14333" max="14333" width="4.140625" style="1955" customWidth="1"/>
    <col min="14334" max="14334" width="12.85546875" style="1955" customWidth="1"/>
    <col min="14335" max="14335" width="13.85546875" style="1955" customWidth="1"/>
    <col min="14336" max="14336" width="4.5703125" style="1955" bestFit="1" customWidth="1"/>
    <col min="14337" max="14337" width="13.140625" style="1955" bestFit="1" customWidth="1"/>
    <col min="14338" max="14338" width="12.28515625" style="1955" customWidth="1"/>
    <col min="14339" max="14339" width="1.85546875" style="1955" customWidth="1"/>
    <col min="14340" max="14340" width="11" style="1955" customWidth="1"/>
    <col min="14341" max="14341" width="4.5703125" style="1955" bestFit="1" customWidth="1"/>
    <col min="14342" max="14342" width="13.28515625" style="1955" bestFit="1" customWidth="1"/>
    <col min="14343" max="14343" width="12.42578125" style="1955" bestFit="1" customWidth="1"/>
    <col min="14344" max="14584" width="16.7109375" style="1955"/>
    <col min="14585" max="14585" width="4.5703125" style="1955" bestFit="1" customWidth="1"/>
    <col min="14586" max="14586" width="50.140625" style="1955" customWidth="1"/>
    <col min="14587" max="14587" width="9.85546875" style="1955" customWidth="1"/>
    <col min="14588" max="14588" width="13" style="1955" customWidth="1"/>
    <col min="14589" max="14589" width="4.140625" style="1955" customWidth="1"/>
    <col min="14590" max="14590" width="12.85546875" style="1955" customWidth="1"/>
    <col min="14591" max="14591" width="13.85546875" style="1955" customWidth="1"/>
    <col min="14592" max="14592" width="4.5703125" style="1955" bestFit="1" customWidth="1"/>
    <col min="14593" max="14593" width="13.140625" style="1955" bestFit="1" customWidth="1"/>
    <col min="14594" max="14594" width="12.28515625" style="1955" customWidth="1"/>
    <col min="14595" max="14595" width="1.85546875" style="1955" customWidth="1"/>
    <col min="14596" max="14596" width="11" style="1955" customWidth="1"/>
    <col min="14597" max="14597" width="4.5703125" style="1955" bestFit="1" customWidth="1"/>
    <col min="14598" max="14598" width="13.28515625" style="1955" bestFit="1" customWidth="1"/>
    <col min="14599" max="14599" width="12.42578125" style="1955" bestFit="1" customWidth="1"/>
    <col min="14600" max="14840" width="16.7109375" style="1955"/>
    <col min="14841" max="14841" width="4.5703125" style="1955" bestFit="1" customWidth="1"/>
    <col min="14842" max="14842" width="50.140625" style="1955" customWidth="1"/>
    <col min="14843" max="14843" width="9.85546875" style="1955" customWidth="1"/>
    <col min="14844" max="14844" width="13" style="1955" customWidth="1"/>
    <col min="14845" max="14845" width="4.140625" style="1955" customWidth="1"/>
    <col min="14846" max="14846" width="12.85546875" style="1955" customWidth="1"/>
    <col min="14847" max="14847" width="13.85546875" style="1955" customWidth="1"/>
    <col min="14848" max="14848" width="4.5703125" style="1955" bestFit="1" customWidth="1"/>
    <col min="14849" max="14849" width="13.140625" style="1955" bestFit="1" customWidth="1"/>
    <col min="14850" max="14850" width="12.28515625" style="1955" customWidth="1"/>
    <col min="14851" max="14851" width="1.85546875" style="1955" customWidth="1"/>
    <col min="14852" max="14852" width="11" style="1955" customWidth="1"/>
    <col min="14853" max="14853" width="4.5703125" style="1955" bestFit="1" customWidth="1"/>
    <col min="14854" max="14854" width="13.28515625" style="1955" bestFit="1" customWidth="1"/>
    <col min="14855" max="14855" width="12.42578125" style="1955" bestFit="1" customWidth="1"/>
    <col min="14856" max="15096" width="16.7109375" style="1955"/>
    <col min="15097" max="15097" width="4.5703125" style="1955" bestFit="1" customWidth="1"/>
    <col min="15098" max="15098" width="50.140625" style="1955" customWidth="1"/>
    <col min="15099" max="15099" width="9.85546875" style="1955" customWidth="1"/>
    <col min="15100" max="15100" width="13" style="1955" customWidth="1"/>
    <col min="15101" max="15101" width="4.140625" style="1955" customWidth="1"/>
    <col min="15102" max="15102" width="12.85546875" style="1955" customWidth="1"/>
    <col min="15103" max="15103" width="13.85546875" style="1955" customWidth="1"/>
    <col min="15104" max="15104" width="4.5703125" style="1955" bestFit="1" customWidth="1"/>
    <col min="15105" max="15105" width="13.140625" style="1955" bestFit="1" customWidth="1"/>
    <col min="15106" max="15106" width="12.28515625" style="1955" customWidth="1"/>
    <col min="15107" max="15107" width="1.85546875" style="1955" customWidth="1"/>
    <col min="15108" max="15108" width="11" style="1955" customWidth="1"/>
    <col min="15109" max="15109" width="4.5703125" style="1955" bestFit="1" customWidth="1"/>
    <col min="15110" max="15110" width="13.28515625" style="1955" bestFit="1" customWidth="1"/>
    <col min="15111" max="15111" width="12.42578125" style="1955" bestFit="1" customWidth="1"/>
    <col min="15112" max="15352" width="16.7109375" style="1955"/>
    <col min="15353" max="15353" width="4.5703125" style="1955" bestFit="1" customWidth="1"/>
    <col min="15354" max="15354" width="50.140625" style="1955" customWidth="1"/>
    <col min="15355" max="15355" width="9.85546875" style="1955" customWidth="1"/>
    <col min="15356" max="15356" width="13" style="1955" customWidth="1"/>
    <col min="15357" max="15357" width="4.140625" style="1955" customWidth="1"/>
    <col min="15358" max="15358" width="12.85546875" style="1955" customWidth="1"/>
    <col min="15359" max="15359" width="13.85546875" style="1955" customWidth="1"/>
    <col min="15360" max="15360" width="4.5703125" style="1955" bestFit="1" customWidth="1"/>
    <col min="15361" max="15361" width="13.140625" style="1955" bestFit="1" customWidth="1"/>
    <col min="15362" max="15362" width="12.28515625" style="1955" customWidth="1"/>
    <col min="15363" max="15363" width="1.85546875" style="1955" customWidth="1"/>
    <col min="15364" max="15364" width="11" style="1955" customWidth="1"/>
    <col min="15365" max="15365" width="4.5703125" style="1955" bestFit="1" customWidth="1"/>
    <col min="15366" max="15366" width="13.28515625" style="1955" bestFit="1" customWidth="1"/>
    <col min="15367" max="15367" width="12.42578125" style="1955" bestFit="1" customWidth="1"/>
    <col min="15368" max="15608" width="16.7109375" style="1955"/>
    <col min="15609" max="15609" width="4.5703125" style="1955" bestFit="1" customWidth="1"/>
    <col min="15610" max="15610" width="50.140625" style="1955" customWidth="1"/>
    <col min="15611" max="15611" width="9.85546875" style="1955" customWidth="1"/>
    <col min="15612" max="15612" width="13" style="1955" customWidth="1"/>
    <col min="15613" max="15613" width="4.140625" style="1955" customWidth="1"/>
    <col min="15614" max="15614" width="12.85546875" style="1955" customWidth="1"/>
    <col min="15615" max="15615" width="13.85546875" style="1955" customWidth="1"/>
    <col min="15616" max="15616" width="4.5703125" style="1955" bestFit="1" customWidth="1"/>
    <col min="15617" max="15617" width="13.140625" style="1955" bestFit="1" customWidth="1"/>
    <col min="15618" max="15618" width="12.28515625" style="1955" customWidth="1"/>
    <col min="15619" max="15619" width="1.85546875" style="1955" customWidth="1"/>
    <col min="15620" max="15620" width="11" style="1955" customWidth="1"/>
    <col min="15621" max="15621" width="4.5703125" style="1955" bestFit="1" customWidth="1"/>
    <col min="15622" max="15622" width="13.28515625" style="1955" bestFit="1" customWidth="1"/>
    <col min="15623" max="15623" width="12.42578125" style="1955" bestFit="1" customWidth="1"/>
    <col min="15624" max="15864" width="16.7109375" style="1955"/>
    <col min="15865" max="15865" width="4.5703125" style="1955" bestFit="1" customWidth="1"/>
    <col min="15866" max="15866" width="50.140625" style="1955" customWidth="1"/>
    <col min="15867" max="15867" width="9.85546875" style="1955" customWidth="1"/>
    <col min="15868" max="15868" width="13" style="1955" customWidth="1"/>
    <col min="15869" max="15869" width="4.140625" style="1955" customWidth="1"/>
    <col min="15870" max="15870" width="12.85546875" style="1955" customWidth="1"/>
    <col min="15871" max="15871" width="13.85546875" style="1955" customWidth="1"/>
    <col min="15872" max="15872" width="4.5703125" style="1955" bestFit="1" customWidth="1"/>
    <col min="15873" max="15873" width="13.140625" style="1955" bestFit="1" customWidth="1"/>
    <col min="15874" max="15874" width="12.28515625" style="1955" customWidth="1"/>
    <col min="15875" max="15875" width="1.85546875" style="1955" customWidth="1"/>
    <col min="15876" max="15876" width="11" style="1955" customWidth="1"/>
    <col min="15877" max="15877" width="4.5703125" style="1955" bestFit="1" customWidth="1"/>
    <col min="15878" max="15878" width="13.28515625" style="1955" bestFit="1" customWidth="1"/>
    <col min="15879" max="15879" width="12.42578125" style="1955" bestFit="1" customWidth="1"/>
    <col min="15880" max="16120" width="16.7109375" style="1955"/>
    <col min="16121" max="16121" width="4.5703125" style="1955" bestFit="1" customWidth="1"/>
    <col min="16122" max="16122" width="50.140625" style="1955" customWidth="1"/>
    <col min="16123" max="16123" width="9.85546875" style="1955" customWidth="1"/>
    <col min="16124" max="16124" width="13" style="1955" customWidth="1"/>
    <col min="16125" max="16125" width="4.140625" style="1955" customWidth="1"/>
    <col min="16126" max="16126" width="12.85546875" style="1955" customWidth="1"/>
    <col min="16127" max="16127" width="13.85546875" style="1955" customWidth="1"/>
    <col min="16128" max="16128" width="4.5703125" style="1955" bestFit="1" customWidth="1"/>
    <col min="16129" max="16129" width="13.140625" style="1955" bestFit="1" customWidth="1"/>
    <col min="16130" max="16130" width="12.28515625" style="1955" customWidth="1"/>
    <col min="16131" max="16131" width="1.85546875" style="1955" customWidth="1"/>
    <col min="16132" max="16132" width="11" style="1955" customWidth="1"/>
    <col min="16133" max="16133" width="4.5703125" style="1955" bestFit="1" customWidth="1"/>
    <col min="16134" max="16134" width="13.28515625" style="1955" bestFit="1" customWidth="1"/>
    <col min="16135" max="16135" width="12.42578125" style="1955" bestFit="1" customWidth="1"/>
    <col min="16136" max="16384" width="16.7109375" style="1955"/>
  </cols>
  <sheetData>
    <row r="1" spans="1:15" s="1954" customFormat="1" ht="15.75" x14ac:dyDescent="0.25">
      <c r="B1" s="2605" t="s">
        <v>2084</v>
      </c>
      <c r="C1" s="2605"/>
      <c r="D1" s="2605"/>
      <c r="E1" s="2605"/>
      <c r="F1" s="2605"/>
      <c r="G1" s="2605"/>
      <c r="H1" s="2605"/>
      <c r="I1" s="2605"/>
      <c r="J1" s="2603"/>
      <c r="K1" s="2603"/>
      <c r="L1" s="2603"/>
      <c r="M1" s="2603"/>
      <c r="N1" s="2603"/>
      <c r="O1" s="2603"/>
    </row>
    <row r="2" spans="1:15" ht="17.25" customHeight="1" x14ac:dyDescent="0.25">
      <c r="B2" s="2606" t="s">
        <v>2082</v>
      </c>
      <c r="C2" s="2606"/>
      <c r="D2" s="2606"/>
      <c r="E2" s="2606"/>
      <c r="F2" s="2606"/>
      <c r="G2" s="2606"/>
      <c r="H2" s="2606"/>
      <c r="I2" s="2606"/>
      <c r="J2" s="2603"/>
      <c r="K2" s="2603"/>
      <c r="L2" s="2603"/>
      <c r="M2" s="2603"/>
      <c r="N2" s="2603"/>
      <c r="O2" s="2603"/>
    </row>
    <row r="3" spans="1:15" ht="18.600000000000001" customHeight="1" x14ac:dyDescent="0.2">
      <c r="B3" s="2607" t="s">
        <v>1281</v>
      </c>
      <c r="C3" s="2607"/>
      <c r="D3" s="2607"/>
      <c r="E3" s="2607"/>
      <c r="F3" s="2607"/>
      <c r="G3" s="2607"/>
      <c r="H3" s="2607"/>
      <c r="I3" s="2607"/>
      <c r="J3" s="2608"/>
      <c r="K3" s="2608"/>
      <c r="L3" s="2608"/>
      <c r="M3" s="2608"/>
      <c r="N3" s="2608"/>
      <c r="O3" s="2608"/>
    </row>
    <row r="4" spans="1:15" ht="14.25" x14ac:dyDescent="0.2">
      <c r="B4" s="2602" t="s">
        <v>2107</v>
      </c>
      <c r="C4" s="2602"/>
      <c r="D4" s="2602"/>
      <c r="E4" s="2602"/>
      <c r="F4" s="2602"/>
      <c r="G4" s="2602"/>
      <c r="H4" s="2602"/>
      <c r="I4" s="2602"/>
      <c r="J4" s="2603"/>
      <c r="K4" s="2603"/>
      <c r="L4" s="2603"/>
      <c r="M4" s="2603"/>
      <c r="N4" s="2603"/>
      <c r="O4" s="2603"/>
    </row>
    <row r="5" spans="1:15" ht="12.75" x14ac:dyDescent="0.2">
      <c r="B5" s="1957"/>
      <c r="C5" s="1957"/>
      <c r="D5" s="1957"/>
      <c r="E5" s="1957"/>
      <c r="F5" s="1958"/>
      <c r="G5" s="1958"/>
      <c r="H5" s="1958"/>
      <c r="I5" s="1958"/>
      <c r="J5" s="1956"/>
      <c r="K5" s="1956"/>
      <c r="L5" s="1956"/>
      <c r="M5" s="1959"/>
      <c r="N5" s="1956"/>
      <c r="O5" s="1956"/>
    </row>
    <row r="6" spans="1:15" ht="12.75" x14ac:dyDescent="0.2">
      <c r="B6" s="1960"/>
      <c r="C6" s="1960"/>
      <c r="D6" s="1960"/>
      <c r="E6" s="1960"/>
      <c r="F6" s="1961"/>
      <c r="G6" s="1961"/>
      <c r="H6" s="1961"/>
      <c r="I6" s="1961"/>
      <c r="J6" s="1962"/>
      <c r="K6" s="1962"/>
      <c r="L6" s="1962"/>
      <c r="M6" s="1963"/>
      <c r="N6" s="1962"/>
      <c r="O6" s="1962"/>
    </row>
    <row r="7" spans="1:15" ht="15" x14ac:dyDescent="0.2">
      <c r="B7" s="1964"/>
      <c r="C7" s="1965"/>
      <c r="D7" s="1965" t="s">
        <v>2108</v>
      </c>
      <c r="E7" s="1965"/>
      <c r="F7" s="2604" t="s">
        <v>548</v>
      </c>
      <c r="G7" s="2604"/>
      <c r="H7" s="1966"/>
      <c r="I7" s="2604" t="s">
        <v>2109</v>
      </c>
      <c r="J7" s="2604"/>
      <c r="K7" s="1965"/>
      <c r="L7" s="1965"/>
      <c r="M7" s="1965"/>
      <c r="N7" s="1965"/>
      <c r="O7" s="1965"/>
    </row>
    <row r="8" spans="1:15" ht="12.75" x14ac:dyDescent="0.2">
      <c r="B8" s="1958"/>
      <c r="C8" s="1967" t="s">
        <v>1326</v>
      </c>
      <c r="D8" s="1967" t="s">
        <v>2110</v>
      </c>
      <c r="E8" s="1967"/>
      <c r="F8" s="1967" t="s">
        <v>2111</v>
      </c>
      <c r="G8" s="1968" t="s">
        <v>2112</v>
      </c>
      <c r="H8" s="1968"/>
      <c r="I8" s="1967" t="s">
        <v>2113</v>
      </c>
      <c r="J8" s="1968" t="str">
        <f>+G8</f>
        <v>7/01/2017</v>
      </c>
      <c r="K8" s="1967"/>
      <c r="L8" s="1967" t="s">
        <v>1323</v>
      </c>
      <c r="M8" s="1967"/>
      <c r="N8" s="1967" t="s">
        <v>2114</v>
      </c>
      <c r="O8" s="1967" t="s">
        <v>1231</v>
      </c>
    </row>
    <row r="9" spans="1:15" ht="12.75" x14ac:dyDescent="0.2">
      <c r="B9" s="1969" t="s">
        <v>2115</v>
      </c>
      <c r="C9" s="1967" t="s">
        <v>2116</v>
      </c>
      <c r="D9" s="1967" t="s">
        <v>2116</v>
      </c>
      <c r="E9" s="1967"/>
      <c r="F9" s="1970">
        <v>42917</v>
      </c>
      <c r="G9" s="1970">
        <v>43281</v>
      </c>
      <c r="H9" s="1970"/>
      <c r="I9" s="1970">
        <f>+F9</f>
        <v>42917</v>
      </c>
      <c r="J9" s="1970">
        <f>+G9</f>
        <v>43281</v>
      </c>
      <c r="K9" s="1967"/>
      <c r="L9" s="1967" t="s">
        <v>2117</v>
      </c>
      <c r="M9" s="1967"/>
      <c r="N9" s="1967" t="s">
        <v>1319</v>
      </c>
      <c r="O9" s="1967" t="s">
        <v>30</v>
      </c>
    </row>
    <row r="10" spans="1:15" ht="15" x14ac:dyDescent="0.2">
      <c r="B10" s="1971" t="s">
        <v>2118</v>
      </c>
      <c r="C10" s="1972" t="s">
        <v>1317</v>
      </c>
      <c r="D10" s="1972" t="s">
        <v>1316</v>
      </c>
      <c r="E10" s="1967"/>
      <c r="F10" s="1972" t="s">
        <v>1315</v>
      </c>
      <c r="G10" s="1972" t="s">
        <v>1314</v>
      </c>
      <c r="H10" s="1972"/>
      <c r="I10" s="1972" t="s">
        <v>1313</v>
      </c>
      <c r="J10" s="1972" t="s">
        <v>1312</v>
      </c>
      <c r="K10" s="1973"/>
      <c r="L10" s="1972" t="s">
        <v>1311</v>
      </c>
      <c r="M10" s="1973"/>
      <c r="N10" s="1972" t="s">
        <v>1310</v>
      </c>
      <c r="O10" s="1972" t="s">
        <v>1309</v>
      </c>
    </row>
    <row r="11" spans="1:15" ht="12.75" x14ac:dyDescent="0.2">
      <c r="B11" s="1956"/>
      <c r="C11" s="1974"/>
      <c r="D11" s="1974"/>
      <c r="E11" s="1959"/>
      <c r="F11" s="1975"/>
      <c r="G11" s="1975"/>
      <c r="H11" s="1975"/>
      <c r="I11" s="1975"/>
      <c r="J11" s="1975"/>
      <c r="K11" s="1976"/>
      <c r="L11" s="1975"/>
      <c r="M11" s="1977"/>
      <c r="N11" s="1975"/>
      <c r="O11" s="1975"/>
    </row>
    <row r="12" spans="1:15" ht="12.75" x14ac:dyDescent="0.2">
      <c r="B12" s="1978" t="s">
        <v>2119</v>
      </c>
      <c r="C12" s="1974"/>
      <c r="D12" s="1974"/>
      <c r="E12" s="1959"/>
      <c r="F12" s="1975"/>
      <c r="G12" s="1975"/>
      <c r="H12" s="1975"/>
      <c r="I12" s="1975"/>
      <c r="J12" s="1975"/>
      <c r="K12" s="1976"/>
      <c r="L12" s="1975"/>
      <c r="M12" s="1977"/>
      <c r="N12" s="1975"/>
      <c r="O12" s="1975"/>
    </row>
    <row r="13" spans="1:15" ht="12.75" x14ac:dyDescent="0.2">
      <c r="B13" s="1979" t="s">
        <v>2120</v>
      </c>
      <c r="C13" s="1974"/>
      <c r="D13" s="1974"/>
      <c r="E13" s="1959"/>
      <c r="F13" s="1975"/>
      <c r="G13" s="1975"/>
      <c r="H13" s="1975"/>
      <c r="I13" s="1975"/>
      <c r="J13" s="1975"/>
      <c r="K13" s="1976"/>
      <c r="L13" s="1975"/>
      <c r="M13" s="1977"/>
      <c r="N13" s="1975"/>
      <c r="O13" s="1975"/>
    </row>
    <row r="14" spans="1:15" ht="12.75" x14ac:dyDescent="0.2">
      <c r="B14" s="1979" t="s">
        <v>2121</v>
      </c>
      <c r="C14" s="1974"/>
      <c r="D14" s="1974"/>
      <c r="E14" s="1959"/>
      <c r="F14" s="1980"/>
      <c r="G14" s="1980"/>
      <c r="H14" s="1980"/>
      <c r="I14" s="1980"/>
      <c r="J14" s="1980"/>
      <c r="K14" s="1981"/>
      <c r="L14" s="1980"/>
      <c r="M14" s="1982"/>
      <c r="N14" s="1980"/>
      <c r="O14" s="1975"/>
    </row>
    <row r="15" spans="1:15" ht="12.75" x14ac:dyDescent="0.2">
      <c r="B15" s="1956"/>
      <c r="C15" s="1956"/>
      <c r="D15" s="1956"/>
      <c r="E15" s="1959"/>
      <c r="F15" s="1983"/>
      <c r="G15" s="1983"/>
      <c r="H15" s="1983"/>
      <c r="I15" s="1983"/>
      <c r="J15" s="1983"/>
      <c r="K15" s="1983"/>
      <c r="L15" s="1983"/>
      <c r="M15" s="1984"/>
      <c r="N15" s="1983"/>
      <c r="O15" s="1985"/>
    </row>
    <row r="16" spans="1:15" ht="12.75" x14ac:dyDescent="0.2">
      <c r="A16" s="1986" t="s">
        <v>2122</v>
      </c>
      <c r="B16" s="1987" t="s">
        <v>1118</v>
      </c>
      <c r="C16" s="1988">
        <v>10.555</v>
      </c>
      <c r="D16" s="1984" t="s">
        <v>2123</v>
      </c>
      <c r="E16" s="1959"/>
      <c r="F16" s="1989">
        <v>253754</v>
      </c>
      <c r="G16" s="1989">
        <f>302415-253754</f>
        <v>48661</v>
      </c>
      <c r="H16" s="1989"/>
      <c r="I16" s="1989">
        <v>253754</v>
      </c>
      <c r="J16" s="1989">
        <v>48661</v>
      </c>
      <c r="K16" s="1989"/>
      <c r="L16" s="1989"/>
      <c r="M16" s="1984"/>
      <c r="N16" s="1990">
        <f>I16+J16+L16</f>
        <v>302415</v>
      </c>
      <c r="O16" s="1991" t="s">
        <v>2124</v>
      </c>
    </row>
    <row r="17" spans="1:15" s="1995" customFormat="1" ht="12.75" x14ac:dyDescent="0.2">
      <c r="A17" s="1986" t="s">
        <v>2122</v>
      </c>
      <c r="B17" s="1992" t="s">
        <v>1118</v>
      </c>
      <c r="C17" s="1993">
        <v>10.555</v>
      </c>
      <c r="D17" s="1984" t="s">
        <v>2125</v>
      </c>
      <c r="E17" s="1984"/>
      <c r="F17" s="1989"/>
      <c r="G17" s="1989">
        <v>241640</v>
      </c>
      <c r="H17" s="1989"/>
      <c r="I17" s="1989"/>
      <c r="J17" s="1989">
        <v>241640</v>
      </c>
      <c r="K17" s="1989"/>
      <c r="L17" s="1989"/>
      <c r="M17" s="1984">
        <v>-3</v>
      </c>
      <c r="N17" s="1990">
        <f>I17+J17+L17</f>
        <v>241640</v>
      </c>
      <c r="O17" s="1994" t="s">
        <v>2124</v>
      </c>
    </row>
    <row r="18" spans="1:15" ht="12.75" x14ac:dyDescent="0.2">
      <c r="B18" s="1996"/>
      <c r="C18" s="1988"/>
      <c r="D18" s="1959"/>
      <c r="E18" s="1959"/>
      <c r="F18" s="1989"/>
      <c r="G18" s="1989"/>
      <c r="H18" s="1989"/>
      <c r="I18" s="1989"/>
      <c r="J18" s="1989"/>
      <c r="K18" s="1989"/>
      <c r="L18" s="1989"/>
      <c r="M18" s="1984"/>
      <c r="N18" s="1990"/>
      <c r="O18" s="1991"/>
    </row>
    <row r="19" spans="1:15" ht="12.75" x14ac:dyDescent="0.2">
      <c r="A19" s="1986" t="s">
        <v>2122</v>
      </c>
      <c r="B19" s="1987" t="s">
        <v>1119</v>
      </c>
      <c r="C19" s="1988">
        <v>10.553000000000001</v>
      </c>
      <c r="D19" s="1984" t="s">
        <v>2126</v>
      </c>
      <c r="E19" s="1959"/>
      <c r="F19" s="1989">
        <v>109007</v>
      </c>
      <c r="G19" s="1989">
        <f>131381-109007</f>
        <v>22374</v>
      </c>
      <c r="H19" s="1989"/>
      <c r="I19" s="1989">
        <v>109007</v>
      </c>
      <c r="J19" s="1989">
        <v>22374</v>
      </c>
      <c r="K19" s="1989"/>
      <c r="L19" s="1989"/>
      <c r="M19" s="1984"/>
      <c r="N19" s="1990">
        <f>I19+J19+L19</f>
        <v>131381</v>
      </c>
      <c r="O19" s="1991" t="s">
        <v>2124</v>
      </c>
    </row>
    <row r="20" spans="1:15" s="1995" customFormat="1" ht="12.75" x14ac:dyDescent="0.2">
      <c r="A20" s="1986" t="s">
        <v>2122</v>
      </c>
      <c r="B20" s="1992" t="s">
        <v>1119</v>
      </c>
      <c r="C20" s="1993">
        <v>10.553000000000001</v>
      </c>
      <c r="D20" s="1984" t="s">
        <v>2127</v>
      </c>
      <c r="E20" s="1984"/>
      <c r="F20" s="1989"/>
      <c r="G20" s="1989">
        <v>114952</v>
      </c>
      <c r="H20" s="1989"/>
      <c r="I20" s="1989"/>
      <c r="J20" s="1989">
        <v>114952</v>
      </c>
      <c r="K20" s="1989"/>
      <c r="L20" s="1989"/>
      <c r="M20" s="1984">
        <v>-3</v>
      </c>
      <c r="N20" s="1990">
        <f>I20+J20+L20</f>
        <v>114952</v>
      </c>
      <c r="O20" s="1994" t="s">
        <v>2124</v>
      </c>
    </row>
    <row r="21" spans="1:15" s="1995" customFormat="1" ht="12.75" x14ac:dyDescent="0.2">
      <c r="A21" s="1997"/>
      <c r="B21" s="1992"/>
      <c r="C21" s="1993"/>
      <c r="D21" s="1984"/>
      <c r="E21" s="1984"/>
      <c r="F21" s="1989"/>
      <c r="G21" s="1989"/>
      <c r="H21" s="1989"/>
      <c r="I21" s="1989"/>
      <c r="J21" s="1989"/>
      <c r="K21" s="1989"/>
      <c r="L21" s="1989"/>
      <c r="M21" s="1984"/>
      <c r="N21" s="1990"/>
      <c r="O21" s="1994"/>
    </row>
    <row r="22" spans="1:15" s="1995" customFormat="1" ht="12.75" hidden="1" x14ac:dyDescent="0.2">
      <c r="A22" s="1997"/>
      <c r="B22" s="1992" t="s">
        <v>2128</v>
      </c>
      <c r="C22" s="1993">
        <v>10.579000000000001</v>
      </c>
      <c r="D22" s="1984" t="s">
        <v>2129</v>
      </c>
      <c r="E22" s="1984"/>
      <c r="F22" s="1989"/>
      <c r="G22" s="1989"/>
      <c r="H22" s="1989"/>
      <c r="I22" s="1989"/>
      <c r="J22" s="1989"/>
      <c r="K22" s="1989"/>
      <c r="L22" s="1989"/>
      <c r="M22" s="1984"/>
      <c r="N22" s="1990">
        <f>I22+J22+L22</f>
        <v>0</v>
      </c>
      <c r="O22" s="1994" t="s">
        <v>2124</v>
      </c>
    </row>
    <row r="23" spans="1:15" ht="12.75" hidden="1" x14ac:dyDescent="0.2">
      <c r="B23" s="1996"/>
      <c r="C23" s="1988"/>
      <c r="D23" s="1959"/>
      <c r="E23" s="1959"/>
      <c r="F23" s="1989"/>
      <c r="G23" s="1989"/>
      <c r="H23" s="1989"/>
      <c r="I23" s="1989"/>
      <c r="J23" s="1989"/>
      <c r="K23" s="1989"/>
      <c r="L23" s="1989"/>
      <c r="M23" s="1984"/>
      <c r="N23" s="1990"/>
      <c r="O23" s="1991"/>
    </row>
    <row r="24" spans="1:15" ht="12.75" x14ac:dyDescent="0.2">
      <c r="A24" s="1998"/>
      <c r="B24" s="1987" t="s">
        <v>2130</v>
      </c>
      <c r="C24" s="1988"/>
      <c r="D24" s="1959"/>
      <c r="E24" s="1959"/>
      <c r="F24" s="1989"/>
      <c r="G24" s="1989"/>
      <c r="H24" s="1989"/>
      <c r="I24" s="1989"/>
      <c r="J24" s="1989"/>
      <c r="K24" s="1989"/>
      <c r="L24" s="1989"/>
      <c r="M24" s="1984"/>
      <c r="N24" s="1990"/>
      <c r="O24" s="1991"/>
    </row>
    <row r="25" spans="1:15" ht="12.75" hidden="1" x14ac:dyDescent="0.2">
      <c r="B25" s="1987" t="s">
        <v>1119</v>
      </c>
      <c r="C25" s="1988">
        <v>10.553000000000001</v>
      </c>
      <c r="D25" s="1959" t="s">
        <v>2131</v>
      </c>
      <c r="E25" s="1959"/>
      <c r="F25" s="1989"/>
      <c r="G25" s="1999"/>
      <c r="H25" s="1999"/>
      <c r="I25" s="1989"/>
      <c r="J25" s="1989"/>
      <c r="K25" s="1989"/>
      <c r="L25" s="1989"/>
      <c r="M25" s="1984"/>
      <c r="N25" s="1990">
        <f>I25+J25+L25</f>
        <v>0</v>
      </c>
      <c r="O25" s="1991" t="s">
        <v>2124</v>
      </c>
    </row>
    <row r="26" spans="1:15" ht="12.75" hidden="1" x14ac:dyDescent="0.2">
      <c r="B26" s="1987" t="s">
        <v>1119</v>
      </c>
      <c r="C26" s="1988">
        <v>10.553000000000001</v>
      </c>
      <c r="D26" s="1959" t="s">
        <v>2132</v>
      </c>
      <c r="E26" s="1959"/>
      <c r="F26" s="1989"/>
      <c r="G26" s="1999"/>
      <c r="H26" s="1999"/>
      <c r="I26" s="1989"/>
      <c r="J26" s="1989"/>
      <c r="K26" s="1989"/>
      <c r="L26" s="1989"/>
      <c r="M26" s="1984"/>
      <c r="N26" s="1990">
        <f>I26+J26+L26</f>
        <v>0</v>
      </c>
      <c r="O26" s="1991" t="s">
        <v>2124</v>
      </c>
    </row>
    <row r="27" spans="1:15" ht="12.75" hidden="1" x14ac:dyDescent="0.2">
      <c r="B27" s="1987"/>
      <c r="C27" s="1988"/>
      <c r="D27" s="1959"/>
      <c r="E27" s="1959"/>
      <c r="F27" s="1989"/>
      <c r="G27" s="1989"/>
      <c r="H27" s="1989"/>
      <c r="I27" s="1989"/>
      <c r="J27" s="1989"/>
      <c r="K27" s="1989"/>
      <c r="L27" s="1989"/>
      <c r="M27" s="2000"/>
      <c r="N27" s="1990"/>
      <c r="O27" s="1991"/>
    </row>
    <row r="28" spans="1:15" ht="12.75" hidden="1" x14ac:dyDescent="0.2">
      <c r="B28" s="1987" t="s">
        <v>2133</v>
      </c>
      <c r="C28" s="1988">
        <v>10.55</v>
      </c>
      <c r="D28" s="1959" t="s">
        <v>2134</v>
      </c>
      <c r="E28" s="1959"/>
      <c r="F28" s="1989"/>
      <c r="G28" s="2001"/>
      <c r="H28" s="2001"/>
      <c r="I28" s="1989"/>
      <c r="J28" s="1989"/>
      <c r="K28" s="1989"/>
      <c r="L28" s="1989"/>
      <c r="M28" s="1984"/>
      <c r="N28" s="1990">
        <f>I28+J28+L28</f>
        <v>0</v>
      </c>
      <c r="O28" s="1991" t="s">
        <v>2124</v>
      </c>
    </row>
    <row r="29" spans="1:15" ht="12.75" hidden="1" x14ac:dyDescent="0.2">
      <c r="B29" s="1987" t="s">
        <v>2133</v>
      </c>
      <c r="C29" s="1988">
        <v>10.55</v>
      </c>
      <c r="D29" s="1959" t="s">
        <v>2134</v>
      </c>
      <c r="E29" s="1959"/>
      <c r="F29" s="2001"/>
      <c r="G29" s="2001"/>
      <c r="H29" s="2001"/>
      <c r="I29" s="1989"/>
      <c r="J29" s="1989"/>
      <c r="K29" s="1989"/>
      <c r="L29" s="1989"/>
      <c r="M29" s="1984"/>
      <c r="N29" s="1990">
        <f>I29+J29+L29</f>
        <v>0</v>
      </c>
      <c r="O29" s="1991"/>
    </row>
    <row r="30" spans="1:15" ht="12.75" hidden="1" x14ac:dyDescent="0.2">
      <c r="B30" s="1958"/>
      <c r="C30" s="1988"/>
      <c r="D30" s="1959"/>
      <c r="E30" s="1959"/>
      <c r="F30" s="1989"/>
      <c r="G30" s="1989"/>
      <c r="H30" s="1989"/>
      <c r="I30" s="1989"/>
      <c r="J30" s="1989"/>
      <c r="K30" s="1989"/>
      <c r="L30" s="1989"/>
      <c r="M30" s="2000"/>
      <c r="N30" s="1990"/>
      <c r="O30" s="1991"/>
    </row>
    <row r="31" spans="1:15" ht="12.75" hidden="1" x14ac:dyDescent="0.2">
      <c r="B31" s="1987" t="s">
        <v>2135</v>
      </c>
      <c r="C31" s="1988">
        <v>10.555</v>
      </c>
      <c r="D31" s="1959" t="s">
        <v>2136</v>
      </c>
      <c r="E31" s="1959"/>
      <c r="F31" s="1989"/>
      <c r="G31" s="1989"/>
      <c r="H31" s="1989"/>
      <c r="I31" s="1983"/>
      <c r="J31" s="1989"/>
      <c r="K31" s="1989"/>
      <c r="L31" s="1989"/>
      <c r="M31" s="2000"/>
      <c r="N31" s="1990">
        <f>I31+J31+L31</f>
        <v>0</v>
      </c>
      <c r="O31" s="1991" t="s">
        <v>2124</v>
      </c>
    </row>
    <row r="32" spans="1:15" ht="12.75" x14ac:dyDescent="0.2">
      <c r="A32" s="1998"/>
      <c r="B32" s="1996" t="s">
        <v>2135</v>
      </c>
      <c r="C32" s="1988">
        <v>10.555</v>
      </c>
      <c r="D32" s="1959" t="s">
        <v>2137</v>
      </c>
      <c r="E32" s="1959"/>
      <c r="F32" s="1989"/>
      <c r="G32" s="1989"/>
      <c r="H32" s="1989"/>
      <c r="I32" s="1989">
        <v>15889</v>
      </c>
      <c r="J32" s="1989"/>
      <c r="K32" s="1989"/>
      <c r="L32" s="1989"/>
      <c r="M32" s="2000"/>
      <c r="N32" s="1990">
        <f>I32+J32+L32</f>
        <v>15889</v>
      </c>
      <c r="O32" s="1991" t="s">
        <v>2124</v>
      </c>
    </row>
    <row r="33" spans="1:15" ht="12.75" x14ac:dyDescent="0.2">
      <c r="A33" s="1986" t="s">
        <v>2122</v>
      </c>
      <c r="B33" s="1996" t="s">
        <v>2135</v>
      </c>
      <c r="C33" s="1988">
        <v>10.555</v>
      </c>
      <c r="D33" s="1959" t="s">
        <v>2138</v>
      </c>
      <c r="E33" s="1959"/>
      <c r="F33" s="1989"/>
      <c r="G33" s="1989"/>
      <c r="H33" s="1989"/>
      <c r="I33" s="1989"/>
      <c r="J33" s="1989">
        <v>10843</v>
      </c>
      <c r="K33" s="1989"/>
      <c r="L33" s="1989"/>
      <c r="M33" s="2000"/>
      <c r="N33" s="1990">
        <f>I33+J33+L33</f>
        <v>10843</v>
      </c>
      <c r="O33" s="1991" t="s">
        <v>2124</v>
      </c>
    </row>
    <row r="34" spans="1:15" ht="12.75" x14ac:dyDescent="0.2">
      <c r="B34" s="1987"/>
      <c r="C34" s="1988"/>
      <c r="D34" s="1959"/>
      <c r="E34" s="1959"/>
      <c r="F34" s="1989"/>
      <c r="G34" s="1989"/>
      <c r="H34" s="1989"/>
      <c r="I34" s="1989"/>
      <c r="J34" s="1989"/>
      <c r="K34" s="1989"/>
      <c r="L34" s="1989"/>
      <c r="M34" s="2000"/>
      <c r="N34" s="1990"/>
      <c r="O34" s="1991"/>
    </row>
    <row r="35" spans="1:15" ht="16.149999999999999" customHeight="1" x14ac:dyDescent="0.35">
      <c r="B35" s="1996" t="s">
        <v>2139</v>
      </c>
      <c r="C35" s="1988">
        <v>10.555</v>
      </c>
      <c r="D35" s="1959" t="s">
        <v>2137</v>
      </c>
      <c r="E35" s="1959"/>
      <c r="F35" s="1989"/>
      <c r="G35" s="1989"/>
      <c r="H35" s="1989"/>
      <c r="I35" s="1989">
        <v>23618</v>
      </c>
      <c r="J35" s="1989"/>
      <c r="K35" s="2002"/>
      <c r="L35" s="1989"/>
      <c r="M35" s="2002"/>
      <c r="N35" s="1989">
        <f>I35+J35+L35</f>
        <v>23618</v>
      </c>
      <c r="O35" s="1991" t="s">
        <v>2124</v>
      </c>
    </row>
    <row r="36" spans="1:15" ht="16.149999999999999" customHeight="1" x14ac:dyDescent="0.35">
      <c r="A36" s="1986" t="s">
        <v>2122</v>
      </c>
      <c r="B36" s="1996" t="s">
        <v>2139</v>
      </c>
      <c r="C36" s="1988">
        <v>10.555</v>
      </c>
      <c r="D36" s="1959" t="s">
        <v>2138</v>
      </c>
      <c r="E36" s="1959"/>
      <c r="F36" s="2002">
        <v>0</v>
      </c>
      <c r="G36" s="2002">
        <v>0</v>
      </c>
      <c r="H36" s="2002"/>
      <c r="I36" s="2002">
        <v>0</v>
      </c>
      <c r="J36" s="2002">
        <v>25847</v>
      </c>
      <c r="K36" s="2002"/>
      <c r="L36" s="2002">
        <v>0</v>
      </c>
      <c r="M36" s="2002"/>
      <c r="N36" s="2002">
        <f>I36+J36+L36</f>
        <v>25847</v>
      </c>
      <c r="O36" s="1991" t="s">
        <v>2124</v>
      </c>
    </row>
    <row r="37" spans="1:15" ht="16.899999999999999" customHeight="1" x14ac:dyDescent="0.35">
      <c r="B37" s="1978" t="s">
        <v>2140</v>
      </c>
      <c r="C37" s="1988"/>
      <c r="D37" s="1959"/>
      <c r="E37" s="1959"/>
      <c r="F37" s="2002">
        <f>SUM(F16:F36)</f>
        <v>362761</v>
      </c>
      <c r="G37" s="2002">
        <f>SUM(G16:G36)</f>
        <v>427627</v>
      </c>
      <c r="H37" s="2002"/>
      <c r="I37" s="2002">
        <f>SUM(I16:I36)</f>
        <v>402268</v>
      </c>
      <c r="J37" s="2002">
        <f>SUM(J16:J36)</f>
        <v>464317</v>
      </c>
      <c r="K37" s="2003"/>
      <c r="L37" s="2003">
        <f>SUM(L16:L36)</f>
        <v>0</v>
      </c>
      <c r="M37" s="2003"/>
      <c r="N37" s="2003">
        <f>SUM(N16:N36)</f>
        <v>866585</v>
      </c>
      <c r="O37" s="1991"/>
    </row>
    <row r="38" spans="1:15" ht="12.75" x14ac:dyDescent="0.2">
      <c r="B38" s="1958"/>
      <c r="C38" s="1988"/>
      <c r="D38" s="1959"/>
      <c r="E38" s="1959"/>
      <c r="F38" s="1989"/>
      <c r="G38" s="1989"/>
      <c r="H38" s="1989"/>
      <c r="I38" s="1989"/>
      <c r="J38" s="1989"/>
      <c r="K38" s="2004"/>
      <c r="L38" s="2004"/>
      <c r="M38" s="2005"/>
      <c r="N38" s="2006"/>
      <c r="O38" s="1991"/>
    </row>
    <row r="39" spans="1:15" ht="12.75" x14ac:dyDescent="0.2">
      <c r="B39" s="1978" t="s">
        <v>2141</v>
      </c>
      <c r="C39" s="1988"/>
      <c r="D39" s="1959"/>
      <c r="E39" s="1959"/>
      <c r="F39" s="1989"/>
      <c r="G39" s="1989"/>
      <c r="H39" s="1989"/>
      <c r="I39" s="1989"/>
      <c r="J39" s="1989"/>
      <c r="K39" s="2004"/>
      <c r="L39" s="2004"/>
      <c r="M39" s="2005"/>
      <c r="N39" s="2006"/>
      <c r="O39" s="1991"/>
    </row>
    <row r="40" spans="1:15" ht="12.75" x14ac:dyDescent="0.2">
      <c r="B40" s="1979" t="s">
        <v>2120</v>
      </c>
      <c r="C40" s="1988"/>
      <c r="D40" s="1959"/>
      <c r="E40" s="1959"/>
      <c r="F40" s="1989" t="s">
        <v>1231</v>
      </c>
      <c r="G40" s="1989"/>
      <c r="H40" s="1989"/>
      <c r="I40" s="1989"/>
      <c r="J40" s="1989"/>
      <c r="K40" s="2004"/>
      <c r="L40" s="2004"/>
      <c r="M40" s="2005"/>
      <c r="N40" s="2006"/>
      <c r="O40" s="1991"/>
    </row>
    <row r="41" spans="1:15" ht="12.75" x14ac:dyDescent="0.2">
      <c r="B41" s="1979" t="s">
        <v>2121</v>
      </c>
      <c r="C41" s="1988"/>
      <c r="D41" s="1959"/>
      <c r="E41" s="1959"/>
      <c r="F41" s="1989" t="s">
        <v>1231</v>
      </c>
      <c r="G41" s="1989"/>
      <c r="H41" s="1989"/>
      <c r="I41" s="1989"/>
      <c r="J41" s="1989"/>
      <c r="K41" s="2004"/>
      <c r="L41" s="2004"/>
      <c r="M41" s="2005"/>
      <c r="N41" s="2006"/>
      <c r="O41" s="1991"/>
    </row>
    <row r="42" spans="1:15" ht="12.75" x14ac:dyDescent="0.2">
      <c r="B42" s="1958"/>
      <c r="C42" s="1988"/>
      <c r="D42" s="1959"/>
      <c r="E42" s="1959"/>
      <c r="F42" s="1989"/>
      <c r="G42" s="1989"/>
      <c r="H42" s="1989"/>
      <c r="I42" s="1989"/>
      <c r="J42" s="1989"/>
      <c r="K42" s="2004"/>
      <c r="L42" s="2004"/>
      <c r="M42" s="2005"/>
      <c r="N42" s="2006"/>
      <c r="O42" s="1991"/>
    </row>
    <row r="43" spans="1:15" ht="12.75" x14ac:dyDescent="0.2">
      <c r="A43" s="1998" t="s">
        <v>1231</v>
      </c>
      <c r="B43" s="2007" t="s">
        <v>2235</v>
      </c>
      <c r="C43" s="1993" t="s">
        <v>2142</v>
      </c>
      <c r="D43" s="1984" t="s">
        <v>2143</v>
      </c>
      <c r="E43" s="2008"/>
      <c r="F43" s="1989">
        <v>99307</v>
      </c>
      <c r="G43" s="1989">
        <f>154173-99307</f>
        <v>54866</v>
      </c>
      <c r="H43" s="1989"/>
      <c r="I43" s="1989">
        <v>142701</v>
      </c>
      <c r="J43" s="1989">
        <f>154173-142701</f>
        <v>11472</v>
      </c>
      <c r="K43" s="1989"/>
      <c r="L43" s="1989"/>
      <c r="M43" s="2000"/>
      <c r="N43" s="1990">
        <f>L43+J43+I43</f>
        <v>154173</v>
      </c>
      <c r="O43" s="1989">
        <v>163385</v>
      </c>
    </row>
    <row r="44" spans="1:15" ht="12.75" x14ac:dyDescent="0.2">
      <c r="A44" s="1998" t="s">
        <v>1231</v>
      </c>
      <c r="B44" s="2007" t="s">
        <v>2235</v>
      </c>
      <c r="C44" s="1993" t="s">
        <v>2142</v>
      </c>
      <c r="D44" s="1984" t="s">
        <v>2144</v>
      </c>
      <c r="E44" s="2009"/>
      <c r="F44" s="1989"/>
      <c r="G44" s="1989">
        <v>88843</v>
      </c>
      <c r="H44" s="1989"/>
      <c r="I44" s="1989"/>
      <c r="J44" s="1989">
        <v>122892</v>
      </c>
      <c r="K44" s="1989"/>
      <c r="L44" s="1989">
        <v>13403</v>
      </c>
      <c r="M44" s="2000"/>
      <c r="N44" s="1990">
        <f>L44+J44+I44</f>
        <v>136295</v>
      </c>
      <c r="O44" s="1989">
        <v>160391</v>
      </c>
    </row>
    <row r="45" spans="1:15" ht="12.75" x14ac:dyDescent="0.2">
      <c r="B45" s="2010"/>
      <c r="C45" s="1993"/>
      <c r="D45" s="1984"/>
      <c r="E45" s="2009"/>
      <c r="F45" s="1989"/>
      <c r="G45" s="1989"/>
      <c r="H45" s="1989"/>
      <c r="I45" s="1989"/>
      <c r="J45" s="1989"/>
      <c r="K45" s="1989"/>
      <c r="L45" s="1989"/>
      <c r="M45" s="2000"/>
      <c r="N45" s="1990"/>
      <c r="O45" s="1989"/>
    </row>
    <row r="46" spans="1:15" ht="12.75" hidden="1" x14ac:dyDescent="0.2">
      <c r="B46" s="2010" t="s">
        <v>2145</v>
      </c>
      <c r="C46" s="1993">
        <v>84.186000000000007</v>
      </c>
      <c r="D46" s="1984" t="s">
        <v>2146</v>
      </c>
      <c r="E46" s="2009"/>
      <c r="F46" s="1989"/>
      <c r="G46" s="1989"/>
      <c r="H46" s="1989"/>
      <c r="I46" s="1989"/>
      <c r="J46" s="1989">
        <v>0</v>
      </c>
      <c r="K46" s="1989"/>
      <c r="L46" s="1989"/>
      <c r="M46" s="2000"/>
      <c r="N46" s="1990">
        <f>L46+J46+I46</f>
        <v>0</v>
      </c>
      <c r="O46" s="1989"/>
    </row>
    <row r="47" spans="1:15" ht="12.75" hidden="1" x14ac:dyDescent="0.2">
      <c r="B47" s="2010" t="s">
        <v>2145</v>
      </c>
      <c r="C47" s="1993">
        <v>84.186000000000007</v>
      </c>
      <c r="D47" s="1984" t="s">
        <v>2147</v>
      </c>
      <c r="E47" s="2009"/>
      <c r="F47" s="1989"/>
      <c r="G47" s="1989"/>
      <c r="H47" s="1989"/>
      <c r="I47" s="1989"/>
      <c r="J47" s="1989"/>
      <c r="K47" s="1989"/>
      <c r="L47" s="1989">
        <v>0</v>
      </c>
      <c r="M47" s="2000"/>
      <c r="N47" s="1990">
        <f>L47+J47+I47</f>
        <v>0</v>
      </c>
      <c r="O47" s="1989"/>
    </row>
    <row r="48" spans="1:15" ht="12.75" hidden="1" x14ac:dyDescent="0.2">
      <c r="B48" s="2010"/>
      <c r="C48" s="1993"/>
      <c r="D48" s="1984"/>
      <c r="E48" s="2009"/>
      <c r="F48" s="1989"/>
      <c r="G48" s="1989"/>
      <c r="H48" s="1989"/>
      <c r="I48" s="1989"/>
      <c r="J48" s="1989"/>
      <c r="K48" s="1989"/>
      <c r="L48" s="1989"/>
      <c r="M48" s="2000"/>
      <c r="N48" s="1990"/>
      <c r="O48" s="1989"/>
    </row>
    <row r="49" spans="1:15" ht="12.75" hidden="1" x14ac:dyDescent="0.2">
      <c r="B49" s="2010" t="s">
        <v>2148</v>
      </c>
      <c r="C49" s="1993">
        <v>84.394000000000005</v>
      </c>
      <c r="D49" s="1984" t="s">
        <v>2149</v>
      </c>
      <c r="E49" s="2009"/>
      <c r="F49" s="1989"/>
      <c r="G49" s="1989"/>
      <c r="H49" s="1989"/>
      <c r="I49" s="1989"/>
      <c r="J49" s="1989"/>
      <c r="K49" s="1989"/>
      <c r="L49" s="1989"/>
      <c r="M49" s="2000"/>
      <c r="N49" s="1990">
        <f>L49+J49+I49</f>
        <v>0</v>
      </c>
      <c r="O49" s="1991"/>
    </row>
    <row r="50" spans="1:15" ht="12.75" hidden="1" x14ac:dyDescent="0.2">
      <c r="B50" s="1992"/>
      <c r="C50" s="1993"/>
      <c r="D50" s="1984"/>
      <c r="E50" s="2009"/>
      <c r="F50" s="1989"/>
      <c r="G50" s="1989"/>
      <c r="H50" s="1989"/>
      <c r="I50" s="1989" t="s">
        <v>1231</v>
      </c>
      <c r="J50" s="1989"/>
      <c r="K50" s="1989"/>
      <c r="L50" s="1989"/>
      <c r="M50" s="2000"/>
      <c r="N50" s="1990"/>
      <c r="O50" s="1991"/>
    </row>
    <row r="51" spans="1:15" ht="12.75" hidden="1" x14ac:dyDescent="0.2">
      <c r="B51" s="2010" t="s">
        <v>2150</v>
      </c>
      <c r="C51" s="1993">
        <v>84.397000000000006</v>
      </c>
      <c r="D51" s="1984" t="s">
        <v>2151</v>
      </c>
      <c r="E51" s="2009"/>
      <c r="F51" s="1989"/>
      <c r="G51" s="1989"/>
      <c r="H51" s="1989"/>
      <c r="I51" s="1989"/>
      <c r="J51" s="1989"/>
      <c r="K51" s="1989"/>
      <c r="L51" s="1989"/>
      <c r="M51" s="2000"/>
      <c r="N51" s="1990">
        <f>L51+J51+I51</f>
        <v>0</v>
      </c>
      <c r="O51" s="1991"/>
    </row>
    <row r="52" spans="1:15" ht="12.75" hidden="1" x14ac:dyDescent="0.2">
      <c r="B52" s="1992"/>
      <c r="C52" s="1993"/>
      <c r="D52" s="1984"/>
      <c r="E52" s="2009"/>
      <c r="F52" s="1989"/>
      <c r="G52" s="1989"/>
      <c r="H52" s="1989"/>
      <c r="I52" s="1989"/>
      <c r="J52" s="1989"/>
      <c r="K52" s="1989"/>
      <c r="L52" s="1989"/>
      <c r="M52" s="2000"/>
      <c r="N52" s="1990"/>
      <c r="O52" s="1991"/>
    </row>
    <row r="53" spans="1:15" ht="12.75" x14ac:dyDescent="0.2">
      <c r="B53" s="1992"/>
      <c r="C53" s="1993"/>
      <c r="D53" s="1984"/>
      <c r="E53" s="2009"/>
      <c r="F53" s="1989"/>
      <c r="G53" s="1989"/>
      <c r="H53" s="1989"/>
      <c r="I53" s="1989"/>
      <c r="J53" s="1989"/>
      <c r="K53" s="1989"/>
      <c r="L53" s="1989"/>
      <c r="M53" s="2000"/>
      <c r="N53" s="1990"/>
      <c r="O53" s="1991"/>
    </row>
    <row r="54" spans="1:15" ht="12.75" hidden="1" x14ac:dyDescent="0.2">
      <c r="B54" s="1992" t="s">
        <v>2152</v>
      </c>
      <c r="C54" s="1993">
        <v>84.385999999999996</v>
      </c>
      <c r="D54" s="1984" t="s">
        <v>2153</v>
      </c>
      <c r="E54" s="2009">
        <v>-4</v>
      </c>
      <c r="F54" s="1989">
        <v>0</v>
      </c>
      <c r="G54" s="1989"/>
      <c r="H54" s="1989"/>
      <c r="I54" s="1989">
        <v>0</v>
      </c>
      <c r="J54" s="1989"/>
      <c r="K54" s="1989"/>
      <c r="L54" s="1989"/>
      <c r="M54" s="2000"/>
      <c r="N54" s="1990">
        <f>L54+J54+I54</f>
        <v>0</v>
      </c>
      <c r="O54" s="1991">
        <v>0</v>
      </c>
    </row>
    <row r="55" spans="1:15" ht="12.75" hidden="1" x14ac:dyDescent="0.2">
      <c r="B55" s="1992" t="s">
        <v>2152</v>
      </c>
      <c r="C55" s="1993">
        <v>84.385999999999996</v>
      </c>
      <c r="D55" s="1984" t="s">
        <v>2154</v>
      </c>
      <c r="E55" s="2009"/>
      <c r="F55" s="1989"/>
      <c r="G55" s="1989">
        <v>0</v>
      </c>
      <c r="H55" s="1989"/>
      <c r="I55" s="1989"/>
      <c r="J55" s="1989">
        <v>0</v>
      </c>
      <c r="K55" s="1989"/>
      <c r="L55" s="1989">
        <v>0</v>
      </c>
      <c r="M55" s="2000"/>
      <c r="N55" s="1990">
        <f>L55+J55+I55</f>
        <v>0</v>
      </c>
      <c r="O55" s="1991">
        <v>0</v>
      </c>
    </row>
    <row r="56" spans="1:15" ht="12.75" hidden="1" x14ac:dyDescent="0.2">
      <c r="B56" s="2010"/>
      <c r="C56" s="1993"/>
      <c r="D56" s="1984"/>
      <c r="E56" s="2009"/>
      <c r="F56" s="1989"/>
      <c r="G56" s="1989"/>
      <c r="H56" s="1989"/>
      <c r="I56" s="1989"/>
      <c r="J56" s="1989"/>
      <c r="K56" s="1989"/>
      <c r="L56" s="1989"/>
      <c r="M56" s="2000"/>
      <c r="N56" s="1990"/>
      <c r="O56" s="1989"/>
    </row>
    <row r="57" spans="1:15" ht="12.75" x14ac:dyDescent="0.2">
      <c r="A57" s="1998"/>
      <c r="B57" s="2010" t="s">
        <v>782</v>
      </c>
      <c r="C57" s="1993">
        <v>84.367000000000004</v>
      </c>
      <c r="D57" s="1984" t="s">
        <v>2155</v>
      </c>
      <c r="E57" s="2008"/>
      <c r="F57" s="1989">
        <v>26587</v>
      </c>
      <c r="G57" s="1989">
        <f>41342-26587</f>
        <v>14755</v>
      </c>
      <c r="H57" s="1989"/>
      <c r="I57" s="1989">
        <v>37404</v>
      </c>
      <c r="J57" s="1989">
        <f>41342-37404</f>
        <v>3938</v>
      </c>
      <c r="K57" s="1989"/>
      <c r="L57" s="1989"/>
      <c r="M57" s="2000"/>
      <c r="N57" s="1990">
        <f>L57+J57+I57</f>
        <v>41342</v>
      </c>
      <c r="O57" s="1989">
        <v>42951</v>
      </c>
    </row>
    <row r="58" spans="1:15" ht="12.75" x14ac:dyDescent="0.2">
      <c r="A58" s="1998"/>
      <c r="B58" s="2010" t="s">
        <v>782</v>
      </c>
      <c r="C58" s="1993">
        <v>84.367000000000004</v>
      </c>
      <c r="D58" s="1984" t="s">
        <v>2156</v>
      </c>
      <c r="E58" s="2009"/>
      <c r="F58" s="1989"/>
      <c r="G58" s="1989">
        <v>24833</v>
      </c>
      <c r="H58" s="1989"/>
      <c r="I58" s="1989"/>
      <c r="J58" s="1989">
        <v>34988</v>
      </c>
      <c r="K58" s="1989">
        <v>0</v>
      </c>
      <c r="L58" s="1989">
        <v>4192</v>
      </c>
      <c r="M58" s="2000"/>
      <c r="N58" s="1990">
        <f>L58+J58+I58</f>
        <v>39180</v>
      </c>
      <c r="O58" s="1989">
        <v>45561</v>
      </c>
    </row>
    <row r="59" spans="1:15" ht="12.75" x14ac:dyDescent="0.2">
      <c r="B59" s="2010"/>
      <c r="C59" s="1993"/>
      <c r="D59" s="1984"/>
      <c r="E59" s="2009"/>
      <c r="F59" s="1989"/>
      <c r="G59" s="1989"/>
      <c r="H59" s="1989"/>
      <c r="I59" s="1989"/>
      <c r="J59" s="1989"/>
      <c r="K59" s="1989"/>
      <c r="L59" s="1989"/>
      <c r="M59" s="2000"/>
      <c r="N59" s="1990"/>
      <c r="O59" s="1989"/>
    </row>
    <row r="60" spans="1:15" ht="15" x14ac:dyDescent="0.35">
      <c r="A60" s="1998"/>
      <c r="B60" s="2010" t="s">
        <v>1231</v>
      </c>
      <c r="C60" s="1993" t="s">
        <v>1231</v>
      </c>
      <c r="D60" s="1984" t="s">
        <v>1231</v>
      </c>
      <c r="E60" s="2009"/>
      <c r="F60" s="2002" t="s">
        <v>1231</v>
      </c>
      <c r="G60" s="2002" t="s">
        <v>1231</v>
      </c>
      <c r="H60" s="1989"/>
      <c r="I60" s="2002" t="s">
        <v>1231</v>
      </c>
      <c r="J60" s="2002" t="s">
        <v>1231</v>
      </c>
      <c r="K60" s="1989"/>
      <c r="L60" s="2002">
        <v>0</v>
      </c>
      <c r="M60" s="2000"/>
      <c r="N60" s="2011">
        <f>L60+J60+I60</f>
        <v>0</v>
      </c>
      <c r="O60" s="1989" t="s">
        <v>1231</v>
      </c>
    </row>
    <row r="61" spans="1:15" ht="16.899999999999999" hidden="1" customHeight="1" x14ac:dyDescent="0.35">
      <c r="A61" s="1998"/>
      <c r="B61" s="2010" t="s">
        <v>2157</v>
      </c>
      <c r="C61" s="1993" t="s">
        <v>2158</v>
      </c>
      <c r="D61" s="1984" t="s">
        <v>2159</v>
      </c>
      <c r="E61" s="2009"/>
      <c r="F61" s="2002">
        <v>0</v>
      </c>
      <c r="G61" s="2002">
        <v>0</v>
      </c>
      <c r="H61" s="1989"/>
      <c r="I61" s="2002">
        <v>0</v>
      </c>
      <c r="J61" s="2002">
        <v>0</v>
      </c>
      <c r="K61" s="2012"/>
      <c r="L61" s="2002">
        <v>0</v>
      </c>
      <c r="M61" s="2000"/>
      <c r="N61" s="2013">
        <f>L61+J61+I61</f>
        <v>0</v>
      </c>
      <c r="O61" s="1989"/>
    </row>
    <row r="62" spans="1:15" ht="12.75" hidden="1" x14ac:dyDescent="0.2">
      <c r="B62" s="2010" t="s">
        <v>2160</v>
      </c>
      <c r="C62" s="1993">
        <v>84.317999999999998</v>
      </c>
      <c r="D62" s="1984" t="s">
        <v>2161</v>
      </c>
      <c r="E62" s="2009"/>
      <c r="F62" s="2012">
        <v>0</v>
      </c>
      <c r="G62" s="2012"/>
      <c r="H62" s="2012"/>
      <c r="I62" s="2012">
        <v>0</v>
      </c>
      <c r="J62" s="2012"/>
      <c r="K62" s="1989"/>
      <c r="L62" s="2012">
        <v>0</v>
      </c>
      <c r="M62" s="2000"/>
      <c r="N62" s="2012">
        <f>L62+J62+I62</f>
        <v>0</v>
      </c>
      <c r="O62" s="1989"/>
    </row>
    <row r="63" spans="1:15" ht="16.899999999999999" customHeight="1" x14ac:dyDescent="0.35">
      <c r="B63" s="2014" t="s">
        <v>2162</v>
      </c>
      <c r="C63" s="2015"/>
      <c r="D63" s="1956"/>
      <c r="E63" s="1959"/>
      <c r="F63" s="2011">
        <f>SUM(F42:F62)</f>
        <v>125894</v>
      </c>
      <c r="G63" s="2011">
        <f>SUM(G42:G62)</f>
        <v>183297</v>
      </c>
      <c r="H63" s="2011"/>
      <c r="I63" s="2011">
        <f>SUM(I42:I62)</f>
        <v>180105</v>
      </c>
      <c r="J63" s="2011">
        <f>SUM(J42:J62)</f>
        <v>173290</v>
      </c>
      <c r="K63" s="2016"/>
      <c r="L63" s="2016">
        <f>SUM(L42:L62)</f>
        <v>17595</v>
      </c>
      <c r="M63" s="2016"/>
      <c r="N63" s="2016">
        <f>SUM(N42:N62)</f>
        <v>370990</v>
      </c>
      <c r="O63" s="2017"/>
    </row>
    <row r="64" spans="1:15" ht="10.5" customHeight="1" x14ac:dyDescent="0.2">
      <c r="B64" s="1969"/>
      <c r="C64" s="2018"/>
      <c r="D64" s="1968"/>
      <c r="E64" s="1967"/>
      <c r="F64" s="2019"/>
      <c r="G64" s="2019"/>
      <c r="H64" s="2019"/>
      <c r="I64" s="2019"/>
      <c r="J64" s="2019"/>
      <c r="K64" s="2020"/>
      <c r="L64" s="2020"/>
      <c r="M64" s="2021"/>
      <c r="N64" s="2022"/>
      <c r="O64" s="2020"/>
    </row>
    <row r="65" spans="2:15" ht="12.75" hidden="1" x14ac:dyDescent="0.2">
      <c r="B65" s="2023" t="s">
        <v>2120</v>
      </c>
      <c r="C65" s="2018"/>
      <c r="D65" s="1968"/>
      <c r="E65" s="1967"/>
      <c r="F65" s="2019"/>
      <c r="G65" s="2019"/>
      <c r="H65" s="2019"/>
      <c r="I65" s="2019"/>
      <c r="J65" s="2019"/>
      <c r="K65" s="2020"/>
      <c r="L65" s="2020"/>
      <c r="M65" s="2021"/>
      <c r="N65" s="2022"/>
      <c r="O65" s="2020"/>
    </row>
    <row r="66" spans="2:15" ht="12.75" hidden="1" x14ac:dyDescent="0.2">
      <c r="B66" s="2023" t="s">
        <v>2163</v>
      </c>
      <c r="C66" s="2018"/>
      <c r="D66" s="1968"/>
      <c r="E66" s="1967"/>
      <c r="F66" s="2019"/>
      <c r="G66" s="2019"/>
      <c r="H66" s="2019"/>
      <c r="I66" s="2019"/>
      <c r="J66" s="2019"/>
      <c r="K66" s="2020"/>
      <c r="L66" s="2020"/>
      <c r="M66" s="2021"/>
      <c r="N66" s="2022"/>
      <c r="O66" s="2020"/>
    </row>
    <row r="67" spans="2:15" ht="12.75" hidden="1" x14ac:dyDescent="0.2">
      <c r="B67" s="2023"/>
      <c r="C67" s="2018"/>
      <c r="D67" s="1968"/>
      <c r="E67" s="1967"/>
      <c r="F67" s="2019"/>
      <c r="G67" s="2019"/>
      <c r="H67" s="2019"/>
      <c r="I67" s="2019"/>
      <c r="J67" s="2019"/>
      <c r="K67" s="2020"/>
      <c r="L67" s="2020"/>
      <c r="M67" s="2021"/>
      <c r="N67" s="2022"/>
      <c r="O67" s="2020"/>
    </row>
    <row r="68" spans="2:15" ht="12.75" hidden="1" x14ac:dyDescent="0.2">
      <c r="B68" s="1987" t="s">
        <v>2164</v>
      </c>
      <c r="C68" s="2024">
        <v>84.242999999999995</v>
      </c>
      <c r="D68" s="1967" t="s">
        <v>2165</v>
      </c>
      <c r="E68" s="1967"/>
      <c r="F68" s="2019">
        <v>0</v>
      </c>
      <c r="G68" s="2019"/>
      <c r="H68" s="2019"/>
      <c r="I68" s="2019">
        <v>0</v>
      </c>
      <c r="J68" s="2019"/>
      <c r="K68" s="2020"/>
      <c r="L68" s="2020"/>
      <c r="M68" s="2021"/>
      <c r="N68" s="2022">
        <f>I68+L68+J68</f>
        <v>0</v>
      </c>
      <c r="O68" s="2020"/>
    </row>
    <row r="69" spans="2:15" ht="15" hidden="1" x14ac:dyDescent="0.2">
      <c r="B69" s="1987" t="s">
        <v>2164</v>
      </c>
      <c r="C69" s="2024">
        <v>84.242999999999995</v>
      </c>
      <c r="D69" s="1967" t="s">
        <v>2166</v>
      </c>
      <c r="E69" s="1967"/>
      <c r="F69" s="2026">
        <v>0</v>
      </c>
      <c r="G69" s="2026">
        <v>0</v>
      </c>
      <c r="H69" s="2026"/>
      <c r="I69" s="2026">
        <v>0</v>
      </c>
      <c r="J69" s="2026">
        <v>0</v>
      </c>
      <c r="K69" s="2027"/>
      <c r="L69" s="2028">
        <v>0</v>
      </c>
      <c r="M69" s="2029"/>
      <c r="N69" s="2028">
        <f>I69+L69+J69</f>
        <v>0</v>
      </c>
      <c r="O69" s="2030"/>
    </row>
    <row r="70" spans="2:15" ht="15" hidden="1" x14ac:dyDescent="0.2">
      <c r="B70" s="2031" t="s">
        <v>2167</v>
      </c>
      <c r="C70" s="2018"/>
      <c r="D70" s="1969"/>
      <c r="E70" s="1967"/>
      <c r="F70" s="2026">
        <f>SUM(F68:F69)</f>
        <v>0</v>
      </c>
      <c r="G70" s="2026">
        <f>SUM(G65:G69)</f>
        <v>0</v>
      </c>
      <c r="H70" s="2026"/>
      <c r="I70" s="2026">
        <f>SUM(I68:I69)</f>
        <v>0</v>
      </c>
      <c r="J70" s="2026">
        <f>SUM(J69:J69)</f>
        <v>0</v>
      </c>
      <c r="K70" s="2028"/>
      <c r="L70" s="2028">
        <f>SUM(L68:L69)</f>
        <v>0</v>
      </c>
      <c r="M70" s="2028"/>
      <c r="N70" s="2028">
        <f>SUM(N65:N69)</f>
        <v>0</v>
      </c>
      <c r="O70" s="2020"/>
    </row>
    <row r="71" spans="2:15" ht="12.75" hidden="1" x14ac:dyDescent="0.2">
      <c r="B71" s="1969"/>
      <c r="C71" s="2018"/>
      <c r="D71" s="1968"/>
      <c r="E71" s="1967"/>
      <c r="F71" s="2020"/>
      <c r="G71" s="2020"/>
      <c r="H71" s="2020"/>
      <c r="I71" s="2020"/>
      <c r="J71" s="2020"/>
      <c r="K71" s="2020"/>
      <c r="L71" s="2020"/>
      <c r="M71" s="2021"/>
      <c r="N71" s="2022"/>
      <c r="O71" s="2020"/>
    </row>
    <row r="72" spans="2:15" ht="12.75" hidden="1" x14ac:dyDescent="0.2">
      <c r="B72" s="1978" t="s">
        <v>2141</v>
      </c>
      <c r="C72" s="2018"/>
      <c r="D72" s="1968"/>
      <c r="E72" s="1967"/>
      <c r="F72" s="2020"/>
      <c r="G72" s="2020"/>
      <c r="H72" s="2020"/>
      <c r="I72" s="2020"/>
      <c r="J72" s="2020"/>
      <c r="K72" s="2020"/>
      <c r="L72" s="2020"/>
      <c r="M72" s="2021"/>
      <c r="N72" s="2022"/>
      <c r="O72" s="2020"/>
    </row>
    <row r="73" spans="2:15" ht="12.75" hidden="1" x14ac:dyDescent="0.2">
      <c r="B73" s="1979" t="s">
        <v>2120</v>
      </c>
      <c r="C73" s="2018"/>
      <c r="D73" s="1968"/>
      <c r="E73" s="1967"/>
      <c r="F73" s="2020"/>
      <c r="G73" s="2020"/>
      <c r="H73" s="2020"/>
      <c r="I73" s="2020"/>
      <c r="J73" s="2020"/>
      <c r="K73" s="2020"/>
      <c r="L73" s="2020"/>
      <c r="M73" s="2021"/>
      <c r="N73" s="2022"/>
      <c r="O73" s="2020"/>
    </row>
    <row r="74" spans="2:15" ht="12.75" hidden="1" x14ac:dyDescent="0.2">
      <c r="B74" s="2032" t="s">
        <v>2168</v>
      </c>
      <c r="C74" s="2018"/>
      <c r="D74" s="1968"/>
      <c r="E74" s="1967"/>
      <c r="F74" s="2020"/>
      <c r="G74" s="2020"/>
      <c r="H74" s="2020"/>
      <c r="I74" s="2020"/>
      <c r="J74" s="2020"/>
      <c r="K74" s="2020"/>
      <c r="L74" s="2020"/>
      <c r="M74" s="2021"/>
      <c r="N74" s="2022"/>
      <c r="O74" s="2020"/>
    </row>
    <row r="75" spans="2:15" ht="12.75" hidden="1" x14ac:dyDescent="0.2">
      <c r="B75" s="1969"/>
      <c r="C75" s="2018"/>
      <c r="D75" s="1968"/>
      <c r="E75" s="1967"/>
      <c r="F75" s="2020"/>
      <c r="G75" s="2020"/>
      <c r="H75" s="2020"/>
      <c r="I75" s="2020"/>
      <c r="J75" s="2020"/>
      <c r="K75" s="2020"/>
      <c r="L75" s="2020"/>
      <c r="M75" s="2021"/>
      <c r="N75" s="2022"/>
      <c r="O75" s="2020"/>
    </row>
    <row r="76" spans="2:15" ht="12.75" hidden="1" x14ac:dyDescent="0.2">
      <c r="B76" s="2033" t="s">
        <v>2169</v>
      </c>
      <c r="C76" s="2034" t="s">
        <v>2170</v>
      </c>
      <c r="D76" s="1967" t="s">
        <v>2171</v>
      </c>
      <c r="E76" s="1967"/>
      <c r="F76" s="2020">
        <v>0</v>
      </c>
      <c r="G76" s="2020"/>
      <c r="H76" s="2020"/>
      <c r="I76" s="2020">
        <v>0</v>
      </c>
      <c r="J76" s="2019">
        <v>0</v>
      </c>
      <c r="K76" s="2020"/>
      <c r="L76" s="2020"/>
      <c r="M76" s="2021"/>
      <c r="N76" s="2022">
        <f>I76+L76+J76</f>
        <v>0</v>
      </c>
      <c r="O76" s="2020">
        <v>0</v>
      </c>
    </row>
    <row r="77" spans="2:15" ht="12.75" hidden="1" x14ac:dyDescent="0.2">
      <c r="B77" s="1969"/>
      <c r="C77" s="2034"/>
      <c r="D77" s="1968"/>
      <c r="E77" s="1967"/>
      <c r="F77" s="2020"/>
      <c r="G77" s="2020"/>
      <c r="H77" s="2020"/>
      <c r="I77" s="2020"/>
      <c r="J77" s="2020"/>
      <c r="K77" s="2020"/>
      <c r="L77" s="2020"/>
      <c r="M77" s="2021"/>
      <c r="N77" s="2022"/>
      <c r="O77" s="2020"/>
    </row>
    <row r="78" spans="2:15" ht="12.75" x14ac:dyDescent="0.2">
      <c r="B78" s="1978" t="s">
        <v>2141</v>
      </c>
      <c r="C78" s="2034"/>
      <c r="D78" s="1968"/>
      <c r="E78" s="1967"/>
      <c r="F78" s="2020"/>
      <c r="G78" s="2020"/>
      <c r="H78" s="2020"/>
      <c r="I78" s="2020"/>
      <c r="J78" s="2020"/>
      <c r="K78" s="2020"/>
      <c r="L78" s="2020"/>
      <c r="M78" s="2021"/>
      <c r="N78" s="2022"/>
      <c r="O78" s="2020"/>
    </row>
    <row r="79" spans="2:15" ht="12.75" x14ac:dyDescent="0.2">
      <c r="B79" s="1979" t="s">
        <v>2120</v>
      </c>
      <c r="C79" s="2034"/>
      <c r="D79" s="1968"/>
      <c r="E79" s="1967"/>
      <c r="F79" s="2020"/>
      <c r="G79" s="2020"/>
      <c r="H79" s="2020"/>
      <c r="I79" s="2020"/>
      <c r="J79" s="2020"/>
      <c r="K79" s="2020"/>
      <c r="L79" s="2020"/>
      <c r="M79" s="2021"/>
      <c r="N79" s="2022"/>
      <c r="O79" s="2020"/>
    </row>
    <row r="80" spans="2:15" ht="12.75" x14ac:dyDescent="0.2">
      <c r="B80" s="2032" t="s">
        <v>2172</v>
      </c>
      <c r="C80" s="2034"/>
      <c r="D80" s="1968"/>
      <c r="E80" s="1967"/>
      <c r="F80" s="2020"/>
      <c r="G80" s="2020"/>
      <c r="H80" s="2020"/>
      <c r="I80" s="2020"/>
      <c r="J80" s="2020"/>
      <c r="K80" s="2020"/>
      <c r="L80" s="2020"/>
      <c r="M80" s="2021"/>
      <c r="N80" s="2022"/>
      <c r="O80" s="2020"/>
    </row>
    <row r="81" spans="2:15" ht="12.75" x14ac:dyDescent="0.2">
      <c r="B81" s="2032"/>
      <c r="C81" s="2034"/>
      <c r="D81" s="1968"/>
      <c r="E81" s="1967"/>
      <c r="F81" s="2020"/>
      <c r="G81" s="2020"/>
      <c r="H81" s="2020"/>
      <c r="I81" s="2020"/>
      <c r="J81" s="2020"/>
      <c r="K81" s="2020"/>
      <c r="L81" s="2020"/>
      <c r="M81" s="2021"/>
      <c r="N81" s="2022"/>
      <c r="O81" s="2020"/>
    </row>
    <row r="82" spans="2:15" ht="12.75" hidden="1" x14ac:dyDescent="0.2">
      <c r="B82" s="2033" t="s">
        <v>2173</v>
      </c>
      <c r="C82" s="2034" t="s">
        <v>2174</v>
      </c>
      <c r="D82" s="1968" t="s">
        <v>2175</v>
      </c>
      <c r="E82" s="1967"/>
      <c r="F82" s="2020"/>
      <c r="G82" s="2020"/>
      <c r="H82" s="2020"/>
      <c r="I82" s="2020"/>
      <c r="J82" s="2020"/>
      <c r="K82" s="2020"/>
      <c r="L82" s="2020" t="s">
        <v>1231</v>
      </c>
      <c r="M82" s="2021"/>
      <c r="N82" s="2035">
        <f>I82+L82+J82</f>
        <v>0</v>
      </c>
      <c r="O82" s="2020"/>
    </row>
    <row r="83" spans="2:15" ht="12.75" x14ac:dyDescent="0.2">
      <c r="B83" s="2036" t="s">
        <v>2173</v>
      </c>
      <c r="C83" s="2034" t="s">
        <v>2176</v>
      </c>
      <c r="D83" s="2037" t="s">
        <v>2177</v>
      </c>
      <c r="E83" s="2038"/>
      <c r="F83" s="2019">
        <v>15920</v>
      </c>
      <c r="G83" s="2019" t="s">
        <v>1231</v>
      </c>
      <c r="H83" s="2019"/>
      <c r="I83" s="2019">
        <v>15920</v>
      </c>
      <c r="J83" s="2019" t="s">
        <v>1231</v>
      </c>
      <c r="K83" s="2019"/>
      <c r="L83" s="2020">
        <v>0</v>
      </c>
      <c r="M83" s="2021"/>
      <c r="N83" s="2035">
        <f>I83+L83+J83</f>
        <v>15920</v>
      </c>
      <c r="O83" s="2019">
        <v>15920</v>
      </c>
    </row>
    <row r="84" spans="2:15" ht="12.75" x14ac:dyDescent="0.2">
      <c r="B84" s="2036" t="s">
        <v>2173</v>
      </c>
      <c r="C84" s="2034" t="s">
        <v>2176</v>
      </c>
      <c r="D84" s="2037" t="s">
        <v>2178</v>
      </c>
      <c r="E84" s="2038"/>
      <c r="F84" s="2019"/>
      <c r="G84" s="2019">
        <v>12744</v>
      </c>
      <c r="H84" s="2019"/>
      <c r="I84" s="2019"/>
      <c r="J84" s="2019">
        <f>1547+4006+2297+1705+3189+818</f>
        <v>13562</v>
      </c>
      <c r="K84" s="2019"/>
      <c r="L84" s="2019">
        <f>16148-13562</f>
        <v>2586</v>
      </c>
      <c r="M84" s="2030"/>
      <c r="N84" s="2035">
        <f>I84+L84+J84</f>
        <v>16148</v>
      </c>
      <c r="O84" s="2019">
        <v>16148</v>
      </c>
    </row>
    <row r="85" spans="2:15" ht="12.75" x14ac:dyDescent="0.2">
      <c r="B85" s="2032"/>
      <c r="C85" s="2034"/>
      <c r="D85" s="2037"/>
      <c r="E85" s="2038"/>
      <c r="F85" s="2019"/>
      <c r="G85" s="2019"/>
      <c r="H85" s="2019"/>
      <c r="I85" s="2019"/>
      <c r="J85" s="2019"/>
      <c r="K85" s="2020"/>
      <c r="L85" s="2020" t="s">
        <v>1231</v>
      </c>
      <c r="M85" s="2021"/>
      <c r="N85" s="2022"/>
      <c r="O85" s="2020"/>
    </row>
    <row r="86" spans="2:15" ht="12.75" x14ac:dyDescent="0.2">
      <c r="B86" s="2033" t="s">
        <v>2179</v>
      </c>
      <c r="C86" s="2034">
        <v>84.027000000000001</v>
      </c>
      <c r="D86" s="2037" t="s">
        <v>2180</v>
      </c>
      <c r="E86" s="2038"/>
      <c r="F86" s="2019">
        <v>86077</v>
      </c>
      <c r="G86" s="2019">
        <v>16193</v>
      </c>
      <c r="H86" s="2019">
        <v>0</v>
      </c>
      <c r="I86" s="2019">
        <v>86077</v>
      </c>
      <c r="J86" s="2019">
        <v>16193</v>
      </c>
      <c r="K86" s="2019">
        <v>0</v>
      </c>
      <c r="L86" s="2019" t="s">
        <v>1231</v>
      </c>
      <c r="M86" s="2030"/>
      <c r="N86" s="2035">
        <f>I86+L86+J86</f>
        <v>102270</v>
      </c>
      <c r="O86" s="2019">
        <v>102270</v>
      </c>
    </row>
    <row r="87" spans="2:15" ht="15" x14ac:dyDescent="0.2">
      <c r="B87" s="2033" t="s">
        <v>2179</v>
      </c>
      <c r="C87" s="2034">
        <v>84.027000000000001</v>
      </c>
      <c r="D87" s="2037" t="s">
        <v>2181</v>
      </c>
      <c r="E87" s="2038"/>
      <c r="F87" s="2039">
        <v>0</v>
      </c>
      <c r="G87" s="2039">
        <f>12336+29484+22904+4180+21821</f>
        <v>90725</v>
      </c>
      <c r="H87" s="2019"/>
      <c r="I87" s="2039">
        <v>0</v>
      </c>
      <c r="J87" s="2039">
        <f>12336+29484+22904+4180+21821+5647</f>
        <v>96372</v>
      </c>
      <c r="K87" s="2019"/>
      <c r="L87" s="2039">
        <f>112687-96372</f>
        <v>16315</v>
      </c>
      <c r="M87" s="2030"/>
      <c r="N87" s="2026">
        <f>I87+L87+J87</f>
        <v>112687</v>
      </c>
      <c r="O87" s="2019">
        <v>112687</v>
      </c>
    </row>
    <row r="88" spans="2:15" ht="12.75" hidden="1" x14ac:dyDescent="0.2">
      <c r="B88" s="2032"/>
      <c r="C88" s="2034"/>
      <c r="D88" s="1968"/>
      <c r="E88" s="1967"/>
      <c r="F88" s="2020"/>
      <c r="G88" s="2019"/>
      <c r="H88" s="2019"/>
      <c r="I88" s="2019"/>
      <c r="J88" s="2019"/>
      <c r="K88" s="2019"/>
      <c r="L88" s="2019"/>
      <c r="M88" s="2030"/>
      <c r="N88" s="2035"/>
      <c r="O88" s="2019"/>
    </row>
    <row r="89" spans="2:15" ht="12.75" hidden="1" x14ac:dyDescent="0.2">
      <c r="B89" s="1969" t="s">
        <v>2182</v>
      </c>
      <c r="C89" s="2034" t="s">
        <v>2183</v>
      </c>
      <c r="D89" s="1967" t="s">
        <v>2184</v>
      </c>
      <c r="E89" s="1967"/>
      <c r="F89" s="2020"/>
      <c r="G89" s="2019"/>
      <c r="H89" s="2019"/>
      <c r="I89" s="2019"/>
      <c r="J89" s="2019"/>
      <c r="K89" s="2019"/>
      <c r="L89" s="2019">
        <v>0</v>
      </c>
      <c r="M89" s="2030"/>
      <c r="N89" s="2035">
        <f>I89+L89+J89</f>
        <v>0</v>
      </c>
      <c r="O89" s="2019"/>
    </row>
    <row r="90" spans="2:15" ht="15" hidden="1" x14ac:dyDescent="0.2">
      <c r="B90" s="2033" t="s">
        <v>2185</v>
      </c>
      <c r="C90" s="2034" t="s">
        <v>2183</v>
      </c>
      <c r="D90" s="1967" t="s">
        <v>2186</v>
      </c>
      <c r="E90" s="1967"/>
      <c r="F90" s="2040">
        <v>0</v>
      </c>
      <c r="G90" s="2040">
        <v>0</v>
      </c>
      <c r="H90" s="2040"/>
      <c r="I90" s="2040">
        <v>0</v>
      </c>
      <c r="J90" s="2039">
        <v>0</v>
      </c>
      <c r="K90" s="2040"/>
      <c r="L90" s="2040">
        <v>0</v>
      </c>
      <c r="M90" s="2041"/>
      <c r="N90" s="2028">
        <f>I90+L90+J90</f>
        <v>0</v>
      </c>
      <c r="O90" s="2019"/>
    </row>
    <row r="91" spans="2:15" ht="19.899999999999999" customHeight="1" x14ac:dyDescent="0.2">
      <c r="B91" s="2042" t="s">
        <v>2187</v>
      </c>
      <c r="C91" s="2018"/>
      <c r="D91" s="1967"/>
      <c r="E91" s="1967"/>
      <c r="F91" s="2040">
        <f>SUM(F82:F90)</f>
        <v>101997</v>
      </c>
      <c r="G91" s="2040">
        <f t="shared" ref="G91:N91" si="0">SUM(G82:G90)</f>
        <v>119662</v>
      </c>
      <c r="H91" s="2020" t="s">
        <v>1231</v>
      </c>
      <c r="I91" s="2040">
        <f t="shared" si="0"/>
        <v>101997</v>
      </c>
      <c r="J91" s="2040">
        <f t="shared" si="0"/>
        <v>126127</v>
      </c>
      <c r="K91" s="2040">
        <f t="shared" si="0"/>
        <v>0</v>
      </c>
      <c r="L91" s="2040">
        <f t="shared" si="0"/>
        <v>18901</v>
      </c>
      <c r="M91" s="2040"/>
      <c r="N91" s="2040">
        <f t="shared" si="0"/>
        <v>247025</v>
      </c>
      <c r="O91" s="2020"/>
    </row>
    <row r="92" spans="2:15" ht="19.899999999999999" customHeight="1" x14ac:dyDescent="0.2">
      <c r="B92" s="2042"/>
      <c r="C92" s="2018"/>
      <c r="D92" s="1967"/>
      <c r="E92" s="1967"/>
      <c r="F92" s="2040"/>
      <c r="G92" s="2040"/>
      <c r="H92" s="2020"/>
      <c r="I92" s="2040"/>
      <c r="J92" s="2040"/>
      <c r="K92" s="2040"/>
      <c r="L92" s="2040"/>
      <c r="M92" s="2040"/>
      <c r="N92" s="2040"/>
      <c r="O92" s="2020"/>
    </row>
    <row r="93" spans="2:15" ht="12.75" x14ac:dyDescent="0.2">
      <c r="B93" s="2043" t="s">
        <v>2188</v>
      </c>
      <c r="C93" s="2018"/>
      <c r="D93" s="1968"/>
      <c r="E93" s="1967"/>
      <c r="F93" s="2020"/>
      <c r="G93" s="2020"/>
      <c r="H93" s="2020"/>
      <c r="I93" s="2020"/>
      <c r="J93" s="2020"/>
      <c r="K93" s="2020"/>
      <c r="L93" s="2020"/>
      <c r="M93" s="2021"/>
      <c r="N93" s="2022"/>
      <c r="O93" s="2020"/>
    </row>
    <row r="94" spans="2:15" ht="12.75" x14ac:dyDescent="0.2">
      <c r="B94" s="2023" t="s">
        <v>2120</v>
      </c>
      <c r="C94" s="2018"/>
      <c r="D94" s="1968"/>
      <c r="E94" s="1967"/>
      <c r="F94" s="2020"/>
      <c r="G94" s="2020" t="s">
        <v>1231</v>
      </c>
      <c r="H94" s="2020"/>
      <c r="I94" s="2020"/>
      <c r="J94" s="2020"/>
      <c r="K94" s="2020"/>
      <c r="L94" s="2020"/>
      <c r="M94" s="2021"/>
      <c r="N94" s="2022"/>
      <c r="O94" s="2020"/>
    </row>
    <row r="95" spans="2:15" ht="12.75" x14ac:dyDescent="0.2">
      <c r="B95" s="2023" t="s">
        <v>2189</v>
      </c>
      <c r="C95" s="2018"/>
      <c r="D95" s="1968"/>
      <c r="E95" s="1967"/>
      <c r="F95" s="2020"/>
      <c r="G95" s="2020" t="s">
        <v>1231</v>
      </c>
      <c r="H95" s="2020"/>
      <c r="I95" s="2020"/>
      <c r="J95" s="2020"/>
      <c r="K95" s="2020"/>
      <c r="L95" s="2020"/>
      <c r="M95" s="2021"/>
      <c r="N95" s="2022"/>
      <c r="O95" s="2020"/>
    </row>
    <row r="96" spans="2:15" ht="12.75" x14ac:dyDescent="0.2">
      <c r="B96" s="2033" t="s">
        <v>2190</v>
      </c>
      <c r="C96" s="2018">
        <v>17.259</v>
      </c>
      <c r="D96" s="1968" t="s">
        <v>2191</v>
      </c>
      <c r="E96" s="1967"/>
      <c r="F96" s="2019">
        <v>50200</v>
      </c>
      <c r="G96" s="2019">
        <v>0</v>
      </c>
      <c r="H96" s="2019">
        <v>0</v>
      </c>
      <c r="I96" s="2019">
        <v>46528</v>
      </c>
      <c r="J96" s="2019">
        <v>3672</v>
      </c>
      <c r="K96" s="2019"/>
      <c r="L96" s="2019"/>
      <c r="M96" s="2021"/>
      <c r="N96" s="2035">
        <f>+I96+J96</f>
        <v>50200</v>
      </c>
      <c r="O96" s="2019">
        <v>50202</v>
      </c>
    </row>
    <row r="97" spans="2:15" ht="15" x14ac:dyDescent="0.2">
      <c r="B97" s="2033" t="s">
        <v>2190</v>
      </c>
      <c r="C97" s="2018">
        <v>17.259</v>
      </c>
      <c r="D97" s="1968" t="s">
        <v>2192</v>
      </c>
      <c r="E97" s="1967"/>
      <c r="F97" s="2026">
        <v>0</v>
      </c>
      <c r="G97" s="2026">
        <v>50200</v>
      </c>
      <c r="H97" s="2026"/>
      <c r="I97" s="2026">
        <v>0</v>
      </c>
      <c r="J97" s="2026">
        <v>50200</v>
      </c>
      <c r="K97" s="2044"/>
      <c r="L97" s="2026">
        <v>0</v>
      </c>
      <c r="M97" s="2045"/>
      <c r="N97" s="2026">
        <f>I97+L97+J97</f>
        <v>50200</v>
      </c>
      <c r="O97" s="2030">
        <v>50200</v>
      </c>
    </row>
    <row r="98" spans="2:15" ht="15" x14ac:dyDescent="0.2">
      <c r="B98" s="2031" t="s">
        <v>2193</v>
      </c>
      <c r="C98" s="2018"/>
      <c r="D98" s="1968"/>
      <c r="E98" s="1967"/>
      <c r="F98" s="2026"/>
      <c r="G98" s="2026"/>
      <c r="H98" s="2026"/>
      <c r="I98" s="2026"/>
      <c r="J98" s="2026"/>
      <c r="K98" s="2044"/>
      <c r="L98" s="2026"/>
      <c r="M98" s="2045"/>
      <c r="N98" s="2026"/>
      <c r="O98" s="2021"/>
    </row>
    <row r="99" spans="2:15" ht="19.899999999999999" customHeight="1" x14ac:dyDescent="0.2">
      <c r="B99" s="2046" t="s">
        <v>2194</v>
      </c>
      <c r="C99" s="2018"/>
      <c r="D99" s="1967"/>
      <c r="E99" s="1967"/>
      <c r="F99" s="2028">
        <f>+F96+F97</f>
        <v>50200</v>
      </c>
      <c r="G99" s="2028">
        <f>+G96+G97</f>
        <v>50200</v>
      </c>
      <c r="H99" s="2028"/>
      <c r="I99" s="2028">
        <f>+I96+I97</f>
        <v>46528</v>
      </c>
      <c r="J99" s="2028">
        <f>+J96+J97</f>
        <v>53872</v>
      </c>
      <c r="K99" s="2028"/>
      <c r="L99" s="2028">
        <f>SUM(L93:L97)</f>
        <v>0</v>
      </c>
      <c r="M99" s="2028"/>
      <c r="N99" s="2028">
        <f>+N96+N97</f>
        <v>100400</v>
      </c>
      <c r="O99" s="2020"/>
    </row>
    <row r="100" spans="2:15" ht="19.899999999999999" customHeight="1" x14ac:dyDescent="0.2">
      <c r="B100" s="1969"/>
      <c r="C100" s="2018"/>
      <c r="D100" s="1967"/>
      <c r="E100" s="1967"/>
      <c r="F100" s="2028"/>
      <c r="G100" s="2028"/>
      <c r="H100" s="2028"/>
      <c r="I100" s="2028"/>
      <c r="J100" s="2028"/>
      <c r="K100" s="2028"/>
      <c r="L100" s="2028"/>
      <c r="M100" s="2028"/>
      <c r="N100" s="2028"/>
      <c r="O100" s="2020"/>
    </row>
    <row r="101" spans="2:15" ht="12.75" x14ac:dyDescent="0.2">
      <c r="B101" s="2043" t="s">
        <v>2195</v>
      </c>
      <c r="C101" s="2018"/>
      <c r="D101" s="1968"/>
      <c r="E101" s="1967"/>
      <c r="F101" s="2020"/>
      <c r="G101" s="2020"/>
      <c r="H101" s="2020"/>
      <c r="I101" s="2020"/>
      <c r="J101" s="2020"/>
      <c r="K101" s="2020"/>
      <c r="L101" s="2020"/>
      <c r="M101" s="2021"/>
      <c r="N101" s="2022"/>
      <c r="O101" s="2020"/>
    </row>
    <row r="102" spans="2:15" ht="12.75" x14ac:dyDescent="0.2">
      <c r="B102" s="2023" t="s">
        <v>2120</v>
      </c>
      <c r="C102" s="2018"/>
      <c r="D102" s="1968"/>
      <c r="E102" s="1967"/>
      <c r="F102" s="2020"/>
      <c r="G102" s="2020" t="s">
        <v>1231</v>
      </c>
      <c r="H102" s="2020"/>
      <c r="I102" s="2020"/>
      <c r="J102" s="2047" t="s">
        <v>1231</v>
      </c>
      <c r="K102" s="2020"/>
      <c r="L102" s="2020"/>
      <c r="M102" s="2021"/>
      <c r="N102" s="2022"/>
      <c r="O102" s="2020"/>
    </row>
    <row r="103" spans="2:15" ht="12.75" x14ac:dyDescent="0.2">
      <c r="B103" s="2023" t="s">
        <v>2196</v>
      </c>
      <c r="C103" s="2018"/>
      <c r="D103" s="1968"/>
      <c r="E103" s="1967"/>
      <c r="F103" s="2020"/>
      <c r="G103" s="2020"/>
      <c r="H103" s="2020"/>
      <c r="I103" s="2020"/>
      <c r="J103" s="2020"/>
      <c r="K103" s="2020"/>
      <c r="L103" s="2020"/>
      <c r="M103" s="2021"/>
      <c r="N103" s="2022"/>
      <c r="O103" s="2020"/>
    </row>
    <row r="104" spans="2:15" ht="12.75" x14ac:dyDescent="0.2">
      <c r="B104" s="2033" t="s">
        <v>2197</v>
      </c>
      <c r="C104" s="2018">
        <v>93.778000000000006</v>
      </c>
      <c r="D104" s="1967" t="s">
        <v>2198</v>
      </c>
      <c r="E104" s="1967"/>
      <c r="F104" s="2019">
        <v>8879</v>
      </c>
      <c r="G104" s="2019">
        <v>9834</v>
      </c>
      <c r="H104" s="2019">
        <v>0</v>
      </c>
      <c r="I104" s="2019">
        <v>19492</v>
      </c>
      <c r="J104" s="2019"/>
      <c r="K104" s="2020">
        <v>0</v>
      </c>
      <c r="L104" s="2020"/>
      <c r="M104" s="2021"/>
      <c r="N104" s="2022">
        <f>+I104+J104</f>
        <v>19492</v>
      </c>
      <c r="O104" s="2021" t="s">
        <v>2124</v>
      </c>
    </row>
    <row r="105" spans="2:15" ht="15" x14ac:dyDescent="0.2">
      <c r="B105" s="2033" t="s">
        <v>2197</v>
      </c>
      <c r="C105" s="2018">
        <v>93.778000000000006</v>
      </c>
      <c r="D105" s="1967" t="s">
        <v>2199</v>
      </c>
      <c r="E105" s="1967"/>
      <c r="F105" s="2026">
        <v>0</v>
      </c>
      <c r="G105" s="2026">
        <v>12308</v>
      </c>
      <c r="H105" s="2026"/>
      <c r="I105" s="2026">
        <v>0</v>
      </c>
      <c r="J105" s="2026">
        <v>18693</v>
      </c>
      <c r="K105" s="2044"/>
      <c r="L105" s="2026">
        <v>0</v>
      </c>
      <c r="M105" s="2045"/>
      <c r="N105" s="2026">
        <f>I105+L105+J105</f>
        <v>18693</v>
      </c>
      <c r="O105" s="2021" t="s">
        <v>2124</v>
      </c>
    </row>
    <row r="106" spans="2:15" ht="12.75" hidden="1" x14ac:dyDescent="0.2">
      <c r="B106" s="2023" t="s">
        <v>2120</v>
      </c>
      <c r="C106" s="2018"/>
      <c r="D106" s="1968"/>
      <c r="E106" s="1967"/>
      <c r="F106" s="2020"/>
      <c r="G106" s="2020"/>
      <c r="H106" s="2020"/>
      <c r="I106" s="2020"/>
      <c r="J106" s="2020"/>
      <c r="K106" s="2020"/>
      <c r="L106" s="2020"/>
      <c r="M106" s="2021"/>
      <c r="N106" s="2022"/>
      <c r="O106" s="2020"/>
    </row>
    <row r="107" spans="2:15" ht="12.75" hidden="1" x14ac:dyDescent="0.2">
      <c r="B107" s="2023" t="s">
        <v>2200</v>
      </c>
      <c r="C107" s="2018"/>
      <c r="D107" s="1968"/>
      <c r="E107" s="1967"/>
      <c r="F107" s="2020"/>
      <c r="G107" s="2020"/>
      <c r="H107" s="2020"/>
      <c r="I107" s="2020"/>
      <c r="J107" s="2020"/>
      <c r="K107" s="2020"/>
      <c r="L107" s="2020"/>
      <c r="M107" s="2021"/>
      <c r="N107" s="2022"/>
      <c r="O107" s="2020"/>
    </row>
    <row r="108" spans="2:15" ht="12.75" hidden="1" x14ac:dyDescent="0.2">
      <c r="B108" s="2033" t="s">
        <v>2197</v>
      </c>
      <c r="C108" s="2018">
        <v>93.778000000000006</v>
      </c>
      <c r="D108" s="1967" t="s">
        <v>2201</v>
      </c>
      <c r="E108" s="1967"/>
      <c r="F108" s="2019"/>
      <c r="G108" s="2019">
        <v>0</v>
      </c>
      <c r="H108" s="2019"/>
      <c r="I108" s="2019"/>
      <c r="J108" s="2020">
        <v>0</v>
      </c>
      <c r="K108" s="2020"/>
      <c r="L108" s="2020"/>
      <c r="M108" s="2021"/>
      <c r="N108" s="2035">
        <f>I108+L108+J108</f>
        <v>0</v>
      </c>
      <c r="O108" s="2021" t="s">
        <v>2124</v>
      </c>
    </row>
    <row r="109" spans="2:15" ht="16.5" hidden="1" customHeight="1" x14ac:dyDescent="0.2">
      <c r="B109" s="2033" t="s">
        <v>2197</v>
      </c>
      <c r="C109" s="2018">
        <v>93.778000000000006</v>
      </c>
      <c r="D109" s="1967" t="s">
        <v>2202</v>
      </c>
      <c r="E109" s="1967"/>
      <c r="F109" s="2048"/>
      <c r="G109" s="2048"/>
      <c r="H109" s="2048"/>
      <c r="I109" s="2048">
        <v>0</v>
      </c>
      <c r="J109" s="2048"/>
      <c r="K109" s="2049"/>
      <c r="L109" s="2050"/>
      <c r="M109" s="2051"/>
      <c r="N109" s="2048">
        <f>I109+L109+J109</f>
        <v>0</v>
      </c>
      <c r="O109" s="2021" t="s">
        <v>2124</v>
      </c>
    </row>
    <row r="110" spans="2:15" ht="16.5" hidden="1" customHeight="1" x14ac:dyDescent="0.2">
      <c r="B110" s="2033" t="s">
        <v>2197</v>
      </c>
      <c r="C110" s="2018">
        <v>93.778000000000006</v>
      </c>
      <c r="D110" s="1967" t="s">
        <v>2203</v>
      </c>
      <c r="E110" s="1967"/>
      <c r="F110" s="2026">
        <v>0</v>
      </c>
      <c r="G110" s="2026">
        <v>0</v>
      </c>
      <c r="H110" s="2026"/>
      <c r="I110" s="2026">
        <v>0</v>
      </c>
      <c r="J110" s="2026">
        <v>0</v>
      </c>
      <c r="K110" s="2044"/>
      <c r="L110" s="2026">
        <v>0</v>
      </c>
      <c r="M110" s="2045"/>
      <c r="N110" s="2026">
        <f>I110+L110+J110</f>
        <v>0</v>
      </c>
      <c r="O110" s="2021" t="s">
        <v>2124</v>
      </c>
    </row>
    <row r="111" spans="2:15" ht="12.75" x14ac:dyDescent="0.2">
      <c r="B111" s="2031" t="s">
        <v>2204</v>
      </c>
      <c r="C111" s="2018"/>
      <c r="D111" s="1969"/>
      <c r="E111" s="1967"/>
      <c r="O111" s="2020"/>
    </row>
    <row r="112" spans="2:15" ht="15" x14ac:dyDescent="0.2">
      <c r="B112" s="2046" t="s">
        <v>2205</v>
      </c>
      <c r="C112" s="2018"/>
      <c r="D112" s="1969"/>
      <c r="E112" s="1967"/>
      <c r="F112" s="2028">
        <f>+F104</f>
        <v>8879</v>
      </c>
      <c r="G112" s="2028">
        <f>SUM(G102:G110)</f>
        <v>22142</v>
      </c>
      <c r="H112" s="2028"/>
      <c r="I112" s="2028">
        <f>+I104</f>
        <v>19492</v>
      </c>
      <c r="J112" s="2028">
        <f>SUM(J102:J110)</f>
        <v>18693</v>
      </c>
      <c r="K112" s="2028"/>
      <c r="L112" s="2028">
        <f>SUM(L102:L110)</f>
        <v>0</v>
      </c>
      <c r="M112" s="2028"/>
      <c r="N112" s="2028">
        <f>SUM(N102:N110)</f>
        <v>38185</v>
      </c>
      <c r="O112" s="2020"/>
    </row>
    <row r="113" spans="2:15" ht="17.45" customHeight="1" x14ac:dyDescent="0.35">
      <c r="B113" s="1978" t="s">
        <v>2206</v>
      </c>
      <c r="C113" s="1956"/>
      <c r="D113" s="1956"/>
      <c r="E113" s="1959"/>
      <c r="F113" s="2052">
        <f>F37+F63+F91+F99+F112</f>
        <v>649731</v>
      </c>
      <c r="G113" s="2052">
        <f>G37+G63+G91+G112+G99</f>
        <v>802928</v>
      </c>
      <c r="H113" s="2052"/>
      <c r="I113" s="2052">
        <f>I37+I63+I91+I112+I99</f>
        <v>750390</v>
      </c>
      <c r="J113" s="2052">
        <f>J37+J63+J91+J112+J99</f>
        <v>836299</v>
      </c>
      <c r="K113" s="2052"/>
      <c r="L113" s="2052">
        <f>L37+L63+L91+L112+L99</f>
        <v>36496</v>
      </c>
      <c r="M113" s="2052"/>
      <c r="N113" s="2052">
        <f>N37+N63+N91+N112+N99</f>
        <v>1623185</v>
      </c>
      <c r="O113" s="2004"/>
    </row>
    <row r="114" spans="2:15" s="1969" customFormat="1" ht="9" customHeight="1" x14ac:dyDescent="0.35">
      <c r="B114" s="1956"/>
      <c r="C114" s="1956"/>
      <c r="D114" s="1956"/>
      <c r="E114" s="1959"/>
      <c r="F114" s="2052"/>
      <c r="G114" s="2052"/>
      <c r="H114" s="2052"/>
      <c r="I114" s="2052"/>
      <c r="J114" s="2052"/>
      <c r="K114" s="2052"/>
      <c r="L114" s="2052"/>
      <c r="M114" s="2052"/>
      <c r="N114" s="2052"/>
      <c r="O114" s="2004"/>
    </row>
    <row r="115" spans="2:15" ht="12.75" x14ac:dyDescent="0.2">
      <c r="B115" s="1978" t="s">
        <v>2207</v>
      </c>
      <c r="C115" s="1956"/>
      <c r="D115" s="1956"/>
      <c r="E115" s="1959"/>
      <c r="F115" s="2004">
        <f>F37+F63</f>
        <v>488655</v>
      </c>
      <c r="G115" s="2004">
        <f>G37+G63</f>
        <v>610924</v>
      </c>
      <c r="H115" s="2004"/>
      <c r="I115" s="2004">
        <f>I37+I63</f>
        <v>582373</v>
      </c>
      <c r="J115" s="2004">
        <f>J37+J63</f>
        <v>637607</v>
      </c>
      <c r="K115" s="2004"/>
      <c r="L115" s="2004">
        <f>L37+L63</f>
        <v>17595</v>
      </c>
      <c r="M115" s="2004"/>
      <c r="N115" s="2004">
        <f>N37+N63</f>
        <v>1237575</v>
      </c>
      <c r="O115" s="2004"/>
    </row>
    <row r="116" spans="2:15" ht="10.5" customHeight="1" x14ac:dyDescent="0.2">
      <c r="B116" s="1978"/>
      <c r="C116" s="1956"/>
      <c r="D116" s="1956"/>
      <c r="E116" s="1959"/>
      <c r="F116" s="2004"/>
      <c r="G116" s="2004"/>
      <c r="H116" s="2004"/>
      <c r="I116" s="2004"/>
      <c r="J116" s="2004"/>
      <c r="K116" s="2004"/>
      <c r="L116" s="2004"/>
      <c r="M116" s="2004"/>
      <c r="N116" s="2004"/>
      <c r="O116" s="2004"/>
    </row>
    <row r="117" spans="2:15" ht="15" x14ac:dyDescent="0.35">
      <c r="B117" s="1978" t="s">
        <v>2208</v>
      </c>
      <c r="C117" s="1956"/>
      <c r="D117" s="1956"/>
      <c r="E117" s="1959"/>
      <c r="F117" s="2003">
        <f>F91+F112+F99</f>
        <v>161076</v>
      </c>
      <c r="G117" s="2003">
        <f>G91+G112+G99</f>
        <v>192004</v>
      </c>
      <c r="H117" s="2003"/>
      <c r="I117" s="2003">
        <f>I91+I112+I99</f>
        <v>168017</v>
      </c>
      <c r="J117" s="2003">
        <f>J91+J112+J99</f>
        <v>198692</v>
      </c>
      <c r="K117" s="2003"/>
      <c r="L117" s="2003">
        <f>L91+L112+L99</f>
        <v>18901</v>
      </c>
      <c r="M117" s="2003"/>
      <c r="N117" s="2003">
        <f>N91+N112+N99</f>
        <v>385610</v>
      </c>
      <c r="O117" s="2004"/>
    </row>
    <row r="118" spans="2:15" ht="9" customHeight="1" x14ac:dyDescent="0.35">
      <c r="B118" s="1978"/>
      <c r="C118" s="1956"/>
      <c r="D118" s="1956"/>
      <c r="E118" s="1959"/>
      <c r="F118" s="2003"/>
      <c r="G118" s="2003"/>
      <c r="H118" s="2003"/>
      <c r="I118" s="2003"/>
      <c r="J118" s="2003"/>
      <c r="K118" s="2003"/>
      <c r="L118" s="2003"/>
      <c r="M118" s="2003"/>
      <c r="N118" s="2003"/>
      <c r="O118" s="2004"/>
    </row>
    <row r="119" spans="2:15" ht="15" x14ac:dyDescent="0.35">
      <c r="B119" s="1978" t="s">
        <v>2206</v>
      </c>
      <c r="C119" s="1956"/>
      <c r="D119" s="1956"/>
      <c r="E119" s="1959"/>
      <c r="F119" s="2052">
        <f>F115+F117</f>
        <v>649731</v>
      </c>
      <c r="G119" s="2052">
        <f>G115+G117</f>
        <v>802928</v>
      </c>
      <c r="H119" s="2052"/>
      <c r="I119" s="2052">
        <f>I115+I117</f>
        <v>750390</v>
      </c>
      <c r="J119" s="2052">
        <f>J115+J117</f>
        <v>836299</v>
      </c>
      <c r="K119" s="2052"/>
      <c r="L119" s="2052">
        <f>L115+L117</f>
        <v>36496</v>
      </c>
      <c r="M119" s="2052"/>
      <c r="N119" s="2052">
        <f>N115+N117</f>
        <v>1623185</v>
      </c>
      <c r="O119" s="2004"/>
    </row>
    <row r="120" spans="2:15" ht="9" customHeight="1" x14ac:dyDescent="0.35">
      <c r="B120" s="1978"/>
      <c r="C120" s="1956"/>
      <c r="D120" s="1956"/>
      <c r="E120" s="1959"/>
      <c r="F120" s="2052"/>
      <c r="G120" s="2052"/>
      <c r="H120" s="2052"/>
      <c r="I120" s="2052"/>
      <c r="J120" s="2052"/>
      <c r="K120" s="2052"/>
      <c r="L120" s="2052"/>
      <c r="M120" s="2052"/>
      <c r="N120" s="2052"/>
      <c r="O120" s="2004"/>
    </row>
    <row r="121" spans="2:15" ht="12.75" x14ac:dyDescent="0.2">
      <c r="B121" s="2053" t="s">
        <v>2209</v>
      </c>
      <c r="C121" s="2054"/>
      <c r="D121" s="1956"/>
      <c r="E121" s="1959"/>
      <c r="F121" s="2004"/>
      <c r="G121" s="2004" t="s">
        <v>1231</v>
      </c>
      <c r="H121" s="2004"/>
      <c r="I121" s="2004"/>
      <c r="J121" s="2004"/>
      <c r="K121" s="2004"/>
      <c r="L121" s="2004"/>
      <c r="M121" s="2005"/>
      <c r="N121" s="2004"/>
      <c r="O121" s="2004"/>
    </row>
    <row r="122" spans="2:15" ht="12.75" x14ac:dyDescent="0.2">
      <c r="B122" s="2055" t="s">
        <v>2210</v>
      </c>
      <c r="C122" s="1956"/>
      <c r="D122" s="1956"/>
      <c r="E122" s="1959"/>
      <c r="F122" s="2004"/>
      <c r="G122" s="2004"/>
      <c r="H122" s="2004"/>
      <c r="I122" s="2004"/>
      <c r="J122" s="2004"/>
      <c r="K122" s="2004"/>
      <c r="L122" s="2004"/>
      <c r="M122" s="2005"/>
      <c r="N122" s="2004"/>
      <c r="O122" s="2004"/>
    </row>
    <row r="123" spans="2:15" ht="12.75" x14ac:dyDescent="0.2">
      <c r="B123" s="1958" t="s">
        <v>2211</v>
      </c>
      <c r="C123" s="1954"/>
      <c r="D123" s="1954"/>
      <c r="E123" s="2056"/>
      <c r="F123" s="2057"/>
      <c r="G123" s="2057"/>
      <c r="H123" s="2057"/>
      <c r="I123" s="2057" t="s">
        <v>1231</v>
      </c>
      <c r="J123" s="2057" t="s">
        <v>1231</v>
      </c>
      <c r="K123" s="2058"/>
      <c r="L123" s="2057" t="s">
        <v>1231</v>
      </c>
      <c r="M123" s="2059"/>
      <c r="N123" s="2057" t="s">
        <v>1231</v>
      </c>
      <c r="O123" s="2057" t="s">
        <v>1231</v>
      </c>
    </row>
    <row r="124" spans="2:15" ht="12.75" x14ac:dyDescent="0.2">
      <c r="B124" s="2060" t="s">
        <v>2212</v>
      </c>
      <c r="C124" s="2061"/>
      <c r="F124" s="2062"/>
      <c r="G124" s="2062"/>
      <c r="H124" s="2062"/>
      <c r="I124" s="2062"/>
      <c r="J124" s="2062"/>
      <c r="K124" s="2062"/>
      <c r="L124" s="2062"/>
      <c r="M124" s="2063"/>
      <c r="N124" s="2062"/>
      <c r="O124" s="2062"/>
    </row>
    <row r="125" spans="2:15" s="2065" customFormat="1" ht="13.5" customHeight="1" x14ac:dyDescent="0.2">
      <c r="B125" s="2060"/>
      <c r="C125" s="2064"/>
      <c r="D125" s="2064"/>
      <c r="E125" s="2064"/>
      <c r="F125" s="2064"/>
      <c r="G125" s="2064"/>
      <c r="H125" s="2064"/>
      <c r="I125" s="2064"/>
      <c r="J125" s="2064"/>
    </row>
    <row r="126" spans="2:15" s="2065" customFormat="1" ht="13.5" customHeight="1" x14ac:dyDescent="0.2">
      <c r="B126" s="2066"/>
      <c r="C126" s="2067"/>
      <c r="D126" s="2067"/>
      <c r="E126" s="2067"/>
      <c r="F126" s="2067"/>
      <c r="G126" s="2067"/>
      <c r="H126" s="2067"/>
      <c r="I126" s="2067"/>
      <c r="J126" s="2067"/>
    </row>
    <row r="127" spans="2:15" s="2065" customFormat="1" ht="13.5" customHeight="1" x14ac:dyDescent="0.2">
      <c r="B127" s="2068"/>
      <c r="C127" s="2064"/>
      <c r="D127" s="2064"/>
      <c r="E127" s="2064"/>
      <c r="F127" s="2064"/>
      <c r="G127" s="2064"/>
      <c r="H127" s="2064"/>
      <c r="I127" s="2064"/>
      <c r="J127" s="2064"/>
    </row>
    <row r="128" spans="2:15" s="2065" customFormat="1" ht="13.5" customHeight="1" x14ac:dyDescent="0.2">
      <c r="B128" s="2066"/>
      <c r="C128" s="2069"/>
      <c r="D128" s="2069"/>
      <c r="E128" s="2069"/>
      <c r="F128" s="2069"/>
      <c r="G128" s="2069"/>
      <c r="H128" s="2069"/>
      <c r="I128" s="2069"/>
      <c r="J128" s="2069"/>
    </row>
    <row r="129" spans="2:8" s="2065" customFormat="1" ht="13.5" customHeight="1" x14ac:dyDescent="0.2">
      <c r="B129" s="2068"/>
      <c r="C129" s="2070"/>
      <c r="D129" s="2071"/>
      <c r="E129" s="2071"/>
      <c r="F129" s="2071"/>
      <c r="G129" s="2071"/>
      <c r="H129" s="2071"/>
    </row>
    <row r="130" spans="2:8" s="2065" customFormat="1" ht="13.5" customHeight="1" x14ac:dyDescent="0.2">
      <c r="B130" s="2068"/>
      <c r="C130" s="2070"/>
      <c r="D130" s="2071"/>
      <c r="E130" s="2071"/>
      <c r="F130" s="2071"/>
      <c r="G130" s="2071"/>
      <c r="H130" s="2071"/>
    </row>
    <row r="131" spans="2:8" s="2065" customFormat="1" ht="13.5" customHeight="1" x14ac:dyDescent="0.2">
      <c r="B131" s="2071"/>
      <c r="C131" s="2072"/>
    </row>
    <row r="132" spans="2:8" s="2065" customFormat="1" ht="13.5" customHeight="1" x14ac:dyDescent="0.2">
      <c r="B132" s="2071"/>
      <c r="C132" s="2072"/>
    </row>
    <row r="133" spans="2:8" s="2065" customFormat="1" ht="13.5" customHeight="1" x14ac:dyDescent="0.2">
      <c r="B133" s="2071"/>
      <c r="C133" s="2072"/>
    </row>
    <row r="134" spans="2:8" s="2075" customFormat="1" ht="13.5" customHeight="1" x14ac:dyDescent="0.15">
      <c r="B134" s="2073"/>
      <c r="C134" s="2074"/>
      <c r="E134" s="2076"/>
      <c r="F134" s="2076"/>
      <c r="G134" s="2076"/>
      <c r="H134" s="2076"/>
    </row>
    <row r="147" spans="6:6" x14ac:dyDescent="0.2">
      <c r="F147" s="1955" t="s">
        <v>1231</v>
      </c>
    </row>
    <row r="148" spans="6:6" x14ac:dyDescent="0.2">
      <c r="F148" s="1955" t="s">
        <v>1231</v>
      </c>
    </row>
    <row r="149" spans="6:6" x14ac:dyDescent="0.2">
      <c r="F149" s="1955" t="s">
        <v>1231</v>
      </c>
    </row>
    <row r="150" spans="6:6" x14ac:dyDescent="0.2">
      <c r="F150" s="1955" t="s">
        <v>1231</v>
      </c>
    </row>
    <row r="151" spans="6:6" x14ac:dyDescent="0.2">
      <c r="F151" s="1955" t="s">
        <v>1231</v>
      </c>
    </row>
    <row r="152" spans="6:6" x14ac:dyDescent="0.2">
      <c r="F152" s="1955" t="s">
        <v>1231</v>
      </c>
    </row>
    <row r="153" spans="6:6" x14ac:dyDescent="0.2">
      <c r="F153" s="1955" t="s">
        <v>1231</v>
      </c>
    </row>
    <row r="154" spans="6:6" x14ac:dyDescent="0.2">
      <c r="F154" s="1955" t="s">
        <v>1231</v>
      </c>
    </row>
  </sheetData>
  <mergeCells count="6">
    <mergeCell ref="B4:O4"/>
    <mergeCell ref="F7:G7"/>
    <mergeCell ref="I7:J7"/>
    <mergeCell ref="B1:O1"/>
    <mergeCell ref="B2:O2"/>
    <mergeCell ref="B3:O3"/>
  </mergeCells>
  <printOptions horizontalCentered="1" gridLinesSet="0"/>
  <pageMargins left="0.25" right="0.25" top="0.75" bottom="0.5" header="0.5" footer="0"/>
  <pageSetup scale="73" fitToHeight="3" orientation="landscape" r:id="rId1"/>
  <headerFooter alignWithMargins="0">
    <oddFooter>&amp;L&amp;"Garamond,Regular"&amp;12See the accompanying notes to the Schedule of Expenditures of Federal Awards.</oddFooter>
  </headerFooter>
  <rowBreaks count="1" manualBreakCount="1">
    <brk id="63" max="1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13" t="str">
        <f>'Single Audit Cover'!A7</f>
        <v>Midwest Central CUSD 191</v>
      </c>
      <c r="C1" s="2614"/>
      <c r="D1" s="2614"/>
      <c r="E1" s="2614"/>
      <c r="F1" s="2614"/>
      <c r="G1" s="2614"/>
      <c r="H1" s="2614"/>
      <c r="I1" s="2614"/>
      <c r="J1" s="1420"/>
    </row>
    <row r="2" spans="2:10" s="317" customFormat="1" ht="12.75" customHeight="1" x14ac:dyDescent="0.2">
      <c r="B2" s="2615">
        <f>'Single Audit Cover'!E7</f>
        <v>53060191026</v>
      </c>
      <c r="C2" s="2616"/>
      <c r="D2" s="2616"/>
      <c r="E2" s="2616"/>
      <c r="F2" s="2616"/>
      <c r="G2" s="2616"/>
      <c r="H2" s="2616"/>
      <c r="I2" s="2616"/>
      <c r="J2" s="1420"/>
    </row>
    <row r="3" spans="2:10" s="317" customFormat="1" ht="12.75" customHeight="1" x14ac:dyDescent="0.2">
      <c r="B3" s="2617" t="s">
        <v>1347</v>
      </c>
      <c r="C3" s="2618"/>
      <c r="D3" s="2618"/>
      <c r="E3" s="2618"/>
      <c r="F3" s="2618"/>
      <c r="G3" s="2618"/>
      <c r="H3" s="2618"/>
      <c r="I3" s="2618"/>
      <c r="J3" s="1421"/>
    </row>
    <row r="4" spans="2:10" s="317" customFormat="1" ht="12.75" customHeight="1" x14ac:dyDescent="0.2">
      <c r="B4" s="2617" t="str">
        <f>'Single Audit Cover'!A4</f>
        <v>Year Ending June 30, 2018</v>
      </c>
      <c r="C4" s="2618"/>
      <c r="D4" s="2618"/>
      <c r="E4" s="2618"/>
      <c r="F4" s="2618"/>
      <c r="G4" s="2618"/>
      <c r="H4" s="2618"/>
      <c r="I4" s="2618"/>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617" t="s">
        <v>1346</v>
      </c>
      <c r="C7" s="2618"/>
      <c r="D7" s="2618"/>
      <c r="E7" s="2618"/>
      <c r="F7" s="2618"/>
      <c r="G7" s="2618"/>
      <c r="H7" s="2618"/>
      <c r="I7" s="2618"/>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619" t="s">
        <v>1226</v>
      </c>
      <c r="D11" s="2619"/>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t="s">
        <v>2081</v>
      </c>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t="s">
        <v>2081</v>
      </c>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1672</v>
      </c>
      <c r="C20" s="1435"/>
      <c r="D20" s="1396"/>
      <c r="E20" s="1436"/>
      <c r="F20" s="1298" t="s">
        <v>940</v>
      </c>
      <c r="G20" s="1436" t="s">
        <v>2081</v>
      </c>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t="s">
        <v>2081</v>
      </c>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t="s">
        <v>2081</v>
      </c>
      <c r="H27" s="1298" t="s">
        <v>1338</v>
      </c>
      <c r="I27" s="1298"/>
    </row>
    <row r="28" spans="2:9" s="317" customFormat="1" ht="12.75" customHeight="1" x14ac:dyDescent="0.2">
      <c r="B28" s="1366"/>
      <c r="C28" s="1280"/>
      <c r="E28" s="1256"/>
    </row>
    <row r="29" spans="2:9" s="317" customFormat="1" ht="12.75" customHeight="1" x14ac:dyDescent="0.2">
      <c r="B29" s="1366" t="s">
        <v>1337</v>
      </c>
      <c r="C29" s="1280"/>
      <c r="D29" s="2620" t="s">
        <v>2220</v>
      </c>
      <c r="E29" s="2620"/>
      <c r="F29" s="2620"/>
      <c r="G29" s="2620"/>
      <c r="H29" s="2620"/>
      <c r="I29" s="2620"/>
    </row>
    <row r="30" spans="2:9" s="317" customFormat="1" x14ac:dyDescent="0.2">
      <c r="B30" s="1366"/>
      <c r="C30" s="322"/>
      <c r="D30" s="1431" t="s">
        <v>1847</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1632</v>
      </c>
      <c r="C33" s="1280"/>
      <c r="E33" s="1436"/>
      <c r="F33" s="1298" t="s">
        <v>940</v>
      </c>
      <c r="G33" s="1436" t="s">
        <v>2081</v>
      </c>
      <c r="H33" s="1298" t="s">
        <v>101</v>
      </c>
    </row>
    <row r="35" spans="2:9" x14ac:dyDescent="0.2">
      <c r="B35" s="1439" t="s">
        <v>1848</v>
      </c>
      <c r="C35" s="1440"/>
      <c r="D35" s="1265"/>
    </row>
    <row r="36" spans="2:9" ht="6" customHeight="1" x14ac:dyDescent="0.2">
      <c r="B36" s="1439"/>
      <c r="C36" s="1440"/>
      <c r="D36" s="1265"/>
    </row>
    <row r="37" spans="2:9" ht="17.25" customHeight="1" x14ac:dyDescent="0.2">
      <c r="B37" s="1441" t="s">
        <v>1849</v>
      </c>
      <c r="C37" s="2621" t="s">
        <v>1850</v>
      </c>
      <c r="D37" s="2622"/>
      <c r="E37" s="2622"/>
      <c r="F37" s="2623"/>
      <c r="G37" s="2621" t="s">
        <v>1673</v>
      </c>
      <c r="H37" s="2622"/>
      <c r="I37" s="2623"/>
    </row>
    <row r="38" spans="2:9" ht="16.5" customHeight="1" x14ac:dyDescent="0.2">
      <c r="B38" s="1442" t="s">
        <v>2221</v>
      </c>
      <c r="C38" s="2609" t="s">
        <v>2222</v>
      </c>
      <c r="D38" s="2610"/>
      <c r="E38" s="2610"/>
      <c r="F38" s="2611"/>
      <c r="G38" s="2624">
        <v>464317</v>
      </c>
      <c r="H38" s="2625"/>
      <c r="I38" s="2626"/>
    </row>
    <row r="39" spans="2:9" ht="16.5" customHeight="1" x14ac:dyDescent="0.2">
      <c r="B39" s="1442"/>
      <c r="C39" s="2609"/>
      <c r="D39" s="2610"/>
      <c r="E39" s="2610"/>
      <c r="F39" s="2611"/>
      <c r="G39" s="2612"/>
      <c r="H39" s="2612"/>
      <c r="I39" s="2612"/>
    </row>
    <row r="40" spans="2:9" ht="16.5" customHeight="1" x14ac:dyDescent="0.2">
      <c r="B40" s="1442"/>
      <c r="C40" s="2609"/>
      <c r="D40" s="2610"/>
      <c r="E40" s="2610"/>
      <c r="F40" s="2611"/>
      <c r="G40" s="2612"/>
      <c r="H40" s="2612"/>
      <c r="I40" s="2612"/>
    </row>
    <row r="41" spans="2:9" ht="16.5" customHeight="1" x14ac:dyDescent="0.2">
      <c r="B41" s="1442"/>
      <c r="C41" s="2609"/>
      <c r="D41" s="2610"/>
      <c r="E41" s="2610"/>
      <c r="F41" s="2611"/>
      <c r="G41" s="2612"/>
      <c r="H41" s="2612"/>
      <c r="I41" s="2612"/>
    </row>
    <row r="42" spans="2:9" ht="16.5" customHeight="1" x14ac:dyDescent="0.2">
      <c r="B42" s="1442"/>
      <c r="C42" s="2609"/>
      <c r="D42" s="2610"/>
      <c r="E42" s="2610"/>
      <c r="F42" s="2611"/>
      <c r="G42" s="2612"/>
      <c r="H42" s="2612"/>
      <c r="I42" s="2612"/>
    </row>
    <row r="43" spans="2:9" ht="16.5" customHeight="1" x14ac:dyDescent="0.2">
      <c r="B43" s="1442"/>
      <c r="C43" s="2627" t="s">
        <v>1674</v>
      </c>
      <c r="D43" s="2628"/>
      <c r="E43" s="2628"/>
      <c r="F43" s="2629"/>
      <c r="G43" s="2630">
        <f>SUM(G38:I42)</f>
        <v>464317</v>
      </c>
      <c r="H43" s="2630"/>
      <c r="I43" s="2630"/>
    </row>
    <row r="44" spans="2:9" ht="12.75" customHeight="1" x14ac:dyDescent="0.2"/>
    <row r="45" spans="2:9" ht="12.75" customHeight="1" x14ac:dyDescent="0.2">
      <c r="B45" s="1433" t="s">
        <v>1947</v>
      </c>
      <c r="D45" s="2631">
        <v>836299</v>
      </c>
      <c r="E45" s="2632"/>
    </row>
    <row r="46" spans="2:9" ht="5.25" customHeight="1" x14ac:dyDescent="0.2">
      <c r="B46" s="1443"/>
      <c r="D46" s="1444"/>
      <c r="E46" s="1445"/>
    </row>
    <row r="47" spans="2:9" ht="12.75" customHeight="1" x14ac:dyDescent="0.2">
      <c r="B47" s="1298" t="s">
        <v>1675</v>
      </c>
      <c r="C47" s="1298"/>
      <c r="D47" s="1446">
        <f>+G43/D45</f>
        <v>0.55520453808984582</v>
      </c>
      <c r="E47" s="1447"/>
      <c r="F47" s="1448"/>
      <c r="I47" s="1449"/>
    </row>
    <row r="48" spans="2:9" ht="9.9499999999999993" customHeight="1" x14ac:dyDescent="0.2"/>
    <row r="49" spans="1:9" x14ac:dyDescent="0.2">
      <c r="B49" s="1366" t="s">
        <v>1335</v>
      </c>
      <c r="C49" s="1280"/>
      <c r="D49" s="1280"/>
      <c r="E49" s="2633">
        <v>750000</v>
      </c>
      <c r="F49" s="2633"/>
      <c r="G49" s="2633"/>
      <c r="H49" s="322"/>
    </row>
    <row r="51" spans="1:9" ht="13.5" customHeight="1" x14ac:dyDescent="0.2">
      <c r="B51" s="1366" t="s">
        <v>1334</v>
      </c>
      <c r="C51" s="1280"/>
      <c r="E51" s="1436"/>
      <c r="F51" s="1298" t="s">
        <v>940</v>
      </c>
      <c r="G51" s="1436" t="s">
        <v>2081</v>
      </c>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1851</v>
      </c>
      <c r="C54" s="1458"/>
      <c r="D54" s="1458"/>
    </row>
    <row r="55" spans="1:9" s="1459" customFormat="1" ht="12.75" customHeight="1" x14ac:dyDescent="0.2">
      <c r="A55" s="1456"/>
      <c r="B55" s="1460" t="s">
        <v>1676</v>
      </c>
      <c r="C55" s="1456"/>
      <c r="D55" s="1456"/>
    </row>
    <row r="56" spans="1:9" s="1459" customFormat="1" ht="12.75" customHeight="1" x14ac:dyDescent="0.2">
      <c r="A56" s="1456"/>
      <c r="B56" s="1460" t="s">
        <v>1677</v>
      </c>
      <c r="C56" s="1456"/>
      <c r="D56" s="1456"/>
    </row>
    <row r="57" spans="1:9" s="1459" customFormat="1" ht="3.95" customHeight="1" x14ac:dyDescent="0.2">
      <c r="A57" s="1456"/>
      <c r="B57" s="1460"/>
      <c r="C57" s="1456"/>
      <c r="D57" s="1456"/>
    </row>
    <row r="58" spans="1:9" s="1459" customFormat="1" ht="13.5" customHeight="1" x14ac:dyDescent="0.2">
      <c r="A58" s="1456"/>
      <c r="B58" s="1461" t="s">
        <v>1852</v>
      </c>
      <c r="C58" s="1462"/>
      <c r="D58" s="1462"/>
    </row>
    <row r="59" spans="1:9" s="1459" customFormat="1" ht="3.95" customHeight="1" x14ac:dyDescent="0.2">
      <c r="A59" s="1456"/>
      <c r="B59" s="1461"/>
      <c r="C59" s="1462"/>
      <c r="D59" s="1462"/>
    </row>
    <row r="60" spans="1:9" s="1459" customFormat="1" ht="13.5" customHeight="1" x14ac:dyDescent="0.2">
      <c r="A60" s="1456"/>
      <c r="B60" s="1461" t="s">
        <v>1853</v>
      </c>
      <c r="C60" s="1462"/>
      <c r="D60" s="1462"/>
    </row>
    <row r="61" spans="1:9" s="1459" customFormat="1" ht="3.95" customHeight="1" x14ac:dyDescent="0.2">
      <c r="A61" s="1456"/>
      <c r="B61" s="1461"/>
      <c r="C61" s="1462"/>
      <c r="D61" s="1462"/>
    </row>
    <row r="62" spans="1:9" s="1459" customFormat="1" ht="12.75" customHeight="1" x14ac:dyDescent="0.2">
      <c r="A62" s="1456"/>
      <c r="B62" s="1461" t="s">
        <v>1854</v>
      </c>
      <c r="C62" s="1462"/>
      <c r="D62" s="1462"/>
    </row>
    <row r="63" spans="1:9" s="1459" customFormat="1" ht="13.5" customHeight="1" x14ac:dyDescent="0.2">
      <c r="A63" s="1456"/>
      <c r="B63" s="1460" t="s">
        <v>1678</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13" t="str">
        <f>'Single Audit Cover'!A7</f>
        <v>Midwest Central CUSD 191</v>
      </c>
      <c r="C1" s="2613"/>
      <c r="D1" s="2613"/>
      <c r="E1" s="2613"/>
      <c r="F1" s="2613"/>
      <c r="G1" s="2613"/>
      <c r="H1" s="2613"/>
      <c r="I1" s="2613"/>
      <c r="J1" s="2613"/>
      <c r="K1" s="2613"/>
      <c r="L1" s="1372"/>
      <c r="M1" s="1372"/>
    </row>
    <row r="2" spans="1:13" ht="12" customHeight="1" x14ac:dyDescent="0.2">
      <c r="B2" s="2615">
        <f>'Single Audit Cover'!E7</f>
        <v>53060191026</v>
      </c>
      <c r="C2" s="2615"/>
      <c r="D2" s="2615"/>
      <c r="E2" s="2615"/>
      <c r="F2" s="2615"/>
      <c r="G2" s="2615"/>
      <c r="H2" s="2615"/>
      <c r="I2" s="2615"/>
      <c r="J2" s="2615"/>
      <c r="K2" s="2615"/>
      <c r="L2" s="1373"/>
      <c r="M2" s="1374"/>
    </row>
    <row r="3" spans="1:13" ht="10.35" customHeight="1" x14ac:dyDescent="0.2">
      <c r="B3" s="2636" t="s">
        <v>1347</v>
      </c>
      <c r="C3" s="2636"/>
      <c r="D3" s="2636"/>
      <c r="E3" s="2636"/>
      <c r="F3" s="2636"/>
      <c r="G3" s="2636"/>
      <c r="H3" s="2636"/>
      <c r="I3" s="2636"/>
      <c r="J3" s="2636"/>
      <c r="K3" s="2636"/>
      <c r="L3" s="2084"/>
      <c r="M3" s="2084"/>
    </row>
    <row r="4" spans="1:13" ht="14.25" customHeight="1" x14ac:dyDescent="0.2">
      <c r="B4" s="2637" t="str">
        <f>'Single Audit Cover'!A4</f>
        <v>Year Ending June 30, 2018</v>
      </c>
      <c r="C4" s="2637"/>
      <c r="D4" s="2637"/>
      <c r="E4" s="2637"/>
      <c r="F4" s="2637"/>
      <c r="G4" s="2637"/>
      <c r="H4" s="2637"/>
      <c r="I4" s="2637"/>
      <c r="J4" s="2637"/>
      <c r="K4" s="2637"/>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637" t="s">
        <v>1363</v>
      </c>
      <c r="C7" s="2637"/>
      <c r="D7" s="2638"/>
      <c r="E7" s="2638"/>
      <c r="F7" s="2638"/>
      <c r="G7" s="2638"/>
      <c r="H7" s="2638"/>
      <c r="I7" s="2638"/>
      <c r="J7" s="2638"/>
      <c r="K7" s="2638"/>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1948</v>
      </c>
      <c r="D10" s="1384">
        <v>1</v>
      </c>
      <c r="E10" s="322"/>
      <c r="F10" s="1385" t="s">
        <v>1362</v>
      </c>
      <c r="G10" s="1386"/>
      <c r="H10" s="1387" t="s">
        <v>1361</v>
      </c>
      <c r="I10" s="1386" t="s">
        <v>2081</v>
      </c>
      <c r="J10" s="1388" t="s">
        <v>1360</v>
      </c>
      <c r="K10" s="322"/>
      <c r="L10" s="1379"/>
    </row>
    <row r="11" spans="1:13" ht="13.5" customHeight="1" x14ac:dyDescent="0.2">
      <c r="B11" s="322"/>
      <c r="C11" s="322"/>
      <c r="D11" s="322"/>
      <c r="E11" s="322"/>
      <c r="F11" s="322"/>
      <c r="G11" s="1381"/>
      <c r="H11" s="322"/>
      <c r="I11" s="1389" t="s">
        <v>1359</v>
      </c>
      <c r="J11" s="322"/>
      <c r="K11" s="1390">
        <v>1990</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2.5" customHeight="1" x14ac:dyDescent="0.2">
      <c r="B14" s="2635" t="s">
        <v>2245</v>
      </c>
      <c r="C14" s="2635"/>
      <c r="D14" s="2635"/>
      <c r="E14" s="2635"/>
      <c r="F14" s="2635"/>
      <c r="G14" s="2635"/>
      <c r="H14" s="2635"/>
      <c r="I14" s="2635"/>
      <c r="J14" s="2635"/>
      <c r="K14" s="2635"/>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635" t="s">
        <v>2246</v>
      </c>
      <c r="C17" s="2635"/>
      <c r="D17" s="2635"/>
      <c r="E17" s="2635"/>
      <c r="F17" s="2635"/>
      <c r="G17" s="2635"/>
      <c r="H17" s="2635"/>
      <c r="I17" s="2635"/>
      <c r="J17" s="2635"/>
      <c r="K17" s="2635"/>
      <c r="L17" s="1379"/>
    </row>
    <row r="18" spans="2:12" ht="4.5" customHeight="1" x14ac:dyDescent="0.2">
      <c r="B18" s="1396"/>
      <c r="C18" s="1396"/>
      <c r="L18" s="1379"/>
    </row>
    <row r="19" spans="2:12" s="1280" customFormat="1" ht="13.5" customHeight="1" x14ac:dyDescent="0.2">
      <c r="B19" s="1391" t="s">
        <v>1842</v>
      </c>
      <c r="C19" s="1391"/>
      <c r="D19" s="1392"/>
      <c r="E19" s="1392"/>
      <c r="F19" s="1392"/>
      <c r="G19" s="1393"/>
      <c r="H19" s="1392"/>
      <c r="I19" s="1393"/>
      <c r="J19" s="1392"/>
      <c r="K19" s="1392"/>
      <c r="L19" s="1394"/>
    </row>
    <row r="20" spans="2:12" ht="45.75" customHeight="1" x14ac:dyDescent="0.2">
      <c r="B20" s="2639" t="s">
        <v>2247</v>
      </c>
      <c r="C20" s="2639"/>
      <c r="D20" s="2635"/>
      <c r="E20" s="2635"/>
      <c r="F20" s="2635"/>
      <c r="G20" s="2635"/>
      <c r="H20" s="2635"/>
      <c r="I20" s="2635"/>
      <c r="J20" s="2635"/>
      <c r="K20" s="2635"/>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635" t="s">
        <v>2248</v>
      </c>
      <c r="C23" s="2635"/>
      <c r="D23" s="2635"/>
      <c r="E23" s="2635"/>
      <c r="F23" s="2635"/>
      <c r="G23" s="2635"/>
      <c r="H23" s="2635"/>
      <c r="I23" s="2635"/>
      <c r="J23" s="2635"/>
      <c r="K23" s="2635"/>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635" t="s">
        <v>2249</v>
      </c>
      <c r="C26" s="2635"/>
      <c r="D26" s="2635"/>
      <c r="E26" s="2635"/>
      <c r="F26" s="2635"/>
      <c r="G26" s="2635"/>
      <c r="H26" s="2635"/>
      <c r="I26" s="2635"/>
      <c r="J26" s="2635"/>
      <c r="K26" s="2635"/>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634" t="s">
        <v>2250</v>
      </c>
      <c r="C29" s="2634"/>
      <c r="D29" s="2635"/>
      <c r="E29" s="2635"/>
      <c r="F29" s="2635"/>
      <c r="G29" s="2635"/>
      <c r="H29" s="2635"/>
      <c r="I29" s="2635"/>
      <c r="J29" s="2635"/>
      <c r="K29" s="2635"/>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1843</v>
      </c>
      <c r="C31" s="1401"/>
      <c r="D31" s="1376"/>
      <c r="E31" s="1377"/>
      <c r="F31" s="1377"/>
      <c r="G31" s="1378"/>
      <c r="H31" s="1377"/>
      <c r="I31" s="1378"/>
      <c r="J31" s="1377"/>
      <c r="K31" s="1377"/>
      <c r="L31" s="1379"/>
    </row>
    <row r="32" spans="2:12" s="322" customFormat="1" ht="44.25" customHeight="1" x14ac:dyDescent="0.2">
      <c r="B32" s="2634" t="s">
        <v>2251</v>
      </c>
      <c r="C32" s="2634"/>
      <c r="D32" s="2635"/>
      <c r="E32" s="2635"/>
      <c r="F32" s="2635"/>
      <c r="G32" s="2635"/>
      <c r="H32" s="2635"/>
      <c r="I32" s="2635"/>
      <c r="J32" s="2635"/>
      <c r="K32" s="2635"/>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1844</v>
      </c>
      <c r="C35" s="1417"/>
      <c r="D35" s="322"/>
      <c r="E35" s="322"/>
      <c r="F35" s="322"/>
      <c r="L35" s="1379"/>
    </row>
    <row r="36" spans="1:13" ht="9.6" customHeight="1" x14ac:dyDescent="0.2">
      <c r="B36" s="1298" t="s">
        <v>1949</v>
      </c>
      <c r="C36" s="1298"/>
      <c r="L36" s="1379"/>
    </row>
    <row r="37" spans="1:13" ht="9.6" customHeight="1" x14ac:dyDescent="0.2">
      <c r="B37" s="1298" t="s">
        <v>1950</v>
      </c>
      <c r="C37" s="1298"/>
    </row>
    <row r="38" spans="1:13" ht="11.85" customHeight="1" x14ac:dyDescent="0.2">
      <c r="B38" s="1418" t="s">
        <v>1845</v>
      </c>
      <c r="C38" s="1418"/>
    </row>
    <row r="39" spans="1:13" ht="9.6" customHeight="1" x14ac:dyDescent="0.2">
      <c r="B39" s="1298" t="s">
        <v>1348</v>
      </c>
      <c r="C39" s="1298"/>
      <c r="M39" s="1419"/>
    </row>
    <row r="40" spans="1:13" ht="12.6" customHeight="1" x14ac:dyDescent="0.2">
      <c r="B40" s="1418" t="s">
        <v>1846</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13" t="str">
        <f>'Single Audit Cover'!A7</f>
        <v>Midwest Central CUSD 191</v>
      </c>
      <c r="C1" s="2613"/>
      <c r="D1" s="2613"/>
      <c r="E1" s="2613"/>
      <c r="F1" s="2613"/>
      <c r="G1" s="2613"/>
      <c r="H1" s="2613"/>
      <c r="I1" s="2613"/>
      <c r="J1" s="2613"/>
      <c r="K1" s="2613"/>
      <c r="L1" s="1372"/>
      <c r="M1" s="1372"/>
    </row>
    <row r="2" spans="1:13" ht="12" customHeight="1" x14ac:dyDescent="0.2">
      <c r="B2" s="2615">
        <f>'Single Audit Cover'!E7</f>
        <v>53060191026</v>
      </c>
      <c r="C2" s="2615"/>
      <c r="D2" s="2615"/>
      <c r="E2" s="2615"/>
      <c r="F2" s="2615"/>
      <c r="G2" s="2615"/>
      <c r="H2" s="2615"/>
      <c r="I2" s="2615"/>
      <c r="J2" s="2615"/>
      <c r="K2" s="2615"/>
      <c r="L2" s="1373"/>
      <c r="M2" s="1374"/>
    </row>
    <row r="3" spans="1:13" ht="10.35" customHeight="1" x14ac:dyDescent="0.2">
      <c r="B3" s="2636" t="s">
        <v>1347</v>
      </c>
      <c r="C3" s="2636"/>
      <c r="D3" s="2636"/>
      <c r="E3" s="2636"/>
      <c r="F3" s="2636"/>
      <c r="G3" s="2636"/>
      <c r="H3" s="2636"/>
      <c r="I3" s="2636"/>
      <c r="J3" s="2636"/>
      <c r="K3" s="2636"/>
      <c r="L3" s="1375"/>
      <c r="M3" s="1375"/>
    </row>
    <row r="4" spans="1:13" ht="14.25" customHeight="1" x14ac:dyDescent="0.2">
      <c r="B4" s="2637" t="str">
        <f>'Single Audit Cover'!A4</f>
        <v>Year Ending June 30, 2018</v>
      </c>
      <c r="C4" s="2637"/>
      <c r="D4" s="2637"/>
      <c r="E4" s="2637"/>
      <c r="F4" s="2637"/>
      <c r="G4" s="2637"/>
      <c r="H4" s="2637"/>
      <c r="I4" s="2637"/>
      <c r="J4" s="2637"/>
      <c r="K4" s="2637"/>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637" t="s">
        <v>1363</v>
      </c>
      <c r="C7" s="2637"/>
      <c r="D7" s="2638"/>
      <c r="E7" s="2638"/>
      <c r="F7" s="2638"/>
      <c r="G7" s="2638"/>
      <c r="H7" s="2638"/>
      <c r="I7" s="2638"/>
      <c r="J7" s="2638"/>
      <c r="K7" s="2638"/>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1948</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635"/>
      <c r="C14" s="2635"/>
      <c r="D14" s="2635"/>
      <c r="E14" s="2635"/>
      <c r="F14" s="2635"/>
      <c r="G14" s="2635"/>
      <c r="H14" s="2635"/>
      <c r="I14" s="2635"/>
      <c r="J14" s="2635"/>
      <c r="K14" s="2635"/>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635"/>
      <c r="C17" s="2635"/>
      <c r="D17" s="2635"/>
      <c r="E17" s="2635"/>
      <c r="F17" s="2635"/>
      <c r="G17" s="2635"/>
      <c r="H17" s="2635"/>
      <c r="I17" s="2635"/>
      <c r="J17" s="2635"/>
      <c r="K17" s="2635"/>
      <c r="L17" s="1379"/>
    </row>
    <row r="18" spans="2:12" ht="4.5" customHeight="1" x14ac:dyDescent="0.2">
      <c r="B18" s="1396"/>
      <c r="C18" s="1396"/>
      <c r="L18" s="1379"/>
    </row>
    <row r="19" spans="2:12" s="1280" customFormat="1" ht="13.5" customHeight="1" x14ac:dyDescent="0.2">
      <c r="B19" s="1391" t="s">
        <v>1842</v>
      </c>
      <c r="C19" s="1391"/>
      <c r="D19" s="1392"/>
      <c r="E19" s="1392"/>
      <c r="F19" s="1392"/>
      <c r="G19" s="1393"/>
      <c r="H19" s="1392"/>
      <c r="I19" s="1393"/>
      <c r="J19" s="1392"/>
      <c r="K19" s="1392"/>
      <c r="L19" s="1394"/>
    </row>
    <row r="20" spans="2:12" ht="45.75" customHeight="1" x14ac:dyDescent="0.2">
      <c r="B20" s="2639"/>
      <c r="C20" s="2639"/>
      <c r="D20" s="2635"/>
      <c r="E20" s="2635"/>
      <c r="F20" s="2635"/>
      <c r="G20" s="2635"/>
      <c r="H20" s="2635"/>
      <c r="I20" s="2635"/>
      <c r="J20" s="2635"/>
      <c r="K20" s="2635"/>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635"/>
      <c r="C23" s="2635"/>
      <c r="D23" s="2635"/>
      <c r="E23" s="2635"/>
      <c r="F23" s="2635"/>
      <c r="G23" s="2635"/>
      <c r="H23" s="2635"/>
      <c r="I23" s="2635"/>
      <c r="J23" s="2635"/>
      <c r="K23" s="2635"/>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635"/>
      <c r="C26" s="2635"/>
      <c r="D26" s="2635"/>
      <c r="E26" s="2635"/>
      <c r="F26" s="2635"/>
      <c r="G26" s="2635"/>
      <c r="H26" s="2635"/>
      <c r="I26" s="2635"/>
      <c r="J26" s="2635"/>
      <c r="K26" s="2635"/>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634"/>
      <c r="C29" s="2634"/>
      <c r="D29" s="2635"/>
      <c r="E29" s="2635"/>
      <c r="F29" s="2635"/>
      <c r="G29" s="2635"/>
      <c r="H29" s="2635"/>
      <c r="I29" s="2635"/>
      <c r="J29" s="2635"/>
      <c r="K29" s="2635"/>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1843</v>
      </c>
      <c r="C31" s="1401"/>
      <c r="D31" s="1376"/>
      <c r="E31" s="1377"/>
      <c r="F31" s="1377"/>
      <c r="G31" s="1378"/>
      <c r="H31" s="1377"/>
      <c r="I31" s="1378"/>
      <c r="J31" s="1377"/>
      <c r="K31" s="1377"/>
      <c r="L31" s="1379"/>
    </row>
    <row r="32" spans="2:12" s="322" customFormat="1" ht="44.25" customHeight="1" x14ac:dyDescent="0.2">
      <c r="B32" s="2634"/>
      <c r="C32" s="2634"/>
      <c r="D32" s="2635"/>
      <c r="E32" s="2635"/>
      <c r="F32" s="2635"/>
      <c r="G32" s="2635"/>
      <c r="H32" s="2635"/>
      <c r="I32" s="2635"/>
      <c r="J32" s="2635"/>
      <c r="K32" s="2635"/>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1844</v>
      </c>
      <c r="C35" s="1417"/>
      <c r="D35" s="322"/>
      <c r="E35" s="322"/>
      <c r="F35" s="322"/>
      <c r="L35" s="1379"/>
    </row>
    <row r="36" spans="1:13" ht="9.6" customHeight="1" x14ac:dyDescent="0.2">
      <c r="B36" s="1298" t="s">
        <v>1949</v>
      </c>
      <c r="C36" s="1298"/>
      <c r="L36" s="1379"/>
    </row>
    <row r="37" spans="1:13" ht="9.6" customHeight="1" x14ac:dyDescent="0.2">
      <c r="B37" s="1298" t="s">
        <v>1950</v>
      </c>
      <c r="C37" s="1298"/>
    </row>
    <row r="38" spans="1:13" ht="11.85" customHeight="1" x14ac:dyDescent="0.2">
      <c r="B38" s="1418" t="s">
        <v>1845</v>
      </c>
      <c r="C38" s="1418"/>
    </row>
    <row r="39" spans="1:13" ht="9.6" customHeight="1" x14ac:dyDescent="0.2">
      <c r="B39" s="1298" t="s">
        <v>1348</v>
      </c>
      <c r="C39" s="1298"/>
      <c r="M39" s="1419"/>
    </row>
    <row r="40" spans="1:13" ht="12.6" customHeight="1" x14ac:dyDescent="0.2">
      <c r="B40" s="1418" t="s">
        <v>1846</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 style="317" customWidth="1"/>
    <col min="3" max="3" width="6.140625" style="317" customWidth="1"/>
    <col min="4" max="4" width="10.28515625" style="317" customWidth="1"/>
    <col min="5" max="5" width="3.5703125" style="317" customWidth="1"/>
    <col min="6" max="6" width="19.425781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40" t="str">
        <f>'Single Audit Cover'!A7</f>
        <v>Midwest Central CUSD 191</v>
      </c>
      <c r="C1" s="2640"/>
      <c r="D1" s="2640"/>
      <c r="E1" s="2640"/>
      <c r="F1" s="2640"/>
      <c r="G1" s="2640"/>
      <c r="H1" s="2640"/>
      <c r="I1" s="2640"/>
      <c r="J1" s="2640"/>
      <c r="K1" s="2640"/>
      <c r="L1" s="1463"/>
    </row>
    <row r="2" spans="1:12" ht="12.75" customHeight="1" x14ac:dyDescent="0.2">
      <c r="B2" s="2641">
        <f>'Single Audit Cover'!E7</f>
        <v>53060191026</v>
      </c>
      <c r="C2" s="2641"/>
      <c r="D2" s="2641"/>
      <c r="E2" s="2641"/>
      <c r="F2" s="2641"/>
      <c r="G2" s="2641"/>
      <c r="H2" s="2641"/>
      <c r="I2" s="2641"/>
      <c r="J2" s="2641"/>
      <c r="K2" s="2641"/>
      <c r="L2" s="1464"/>
    </row>
    <row r="3" spans="1:12" ht="12.75" customHeight="1" x14ac:dyDescent="0.2">
      <c r="B3" s="2636" t="s">
        <v>1347</v>
      </c>
      <c r="C3" s="2636"/>
      <c r="D3" s="2636"/>
      <c r="E3" s="2636"/>
      <c r="F3" s="2636"/>
      <c r="G3" s="2636"/>
      <c r="H3" s="2636"/>
      <c r="I3" s="2636"/>
      <c r="J3" s="2636"/>
      <c r="K3" s="2636"/>
      <c r="L3" s="1375"/>
    </row>
    <row r="4" spans="1:12" ht="12.75" customHeight="1" x14ac:dyDescent="0.2">
      <c r="B4" s="2636" t="str">
        <f>'Single Audit Cover'!A4</f>
        <v>Year Ending June 30, 2018</v>
      </c>
      <c r="C4" s="2636"/>
      <c r="D4" s="2636"/>
      <c r="E4" s="2636"/>
      <c r="F4" s="2636"/>
      <c r="G4" s="2636"/>
      <c r="H4" s="2636"/>
      <c r="I4" s="2636"/>
      <c r="J4" s="2636"/>
      <c r="K4" s="2636"/>
      <c r="L4" s="1375"/>
    </row>
    <row r="5" spans="1:12" ht="5.25" customHeight="1" x14ac:dyDescent="0.2">
      <c r="B5" s="1258" t="s">
        <v>1231</v>
      </c>
      <c r="C5" s="1258"/>
      <c r="L5" s="322"/>
    </row>
    <row r="6" spans="1:12" ht="30.75" customHeight="1" x14ac:dyDescent="0.2">
      <c r="A6" s="322"/>
      <c r="B6" s="2642" t="s">
        <v>1375</v>
      </c>
      <c r="C6" s="2642"/>
      <c r="D6" s="2642"/>
      <c r="E6" s="2642"/>
      <c r="F6" s="2642"/>
      <c r="G6" s="2642"/>
      <c r="H6" s="2642"/>
      <c r="I6" s="2642"/>
      <c r="J6" s="2642"/>
      <c r="K6" s="2642"/>
      <c r="L6" s="322"/>
    </row>
    <row r="7" spans="1:12" ht="4.5" customHeight="1" x14ac:dyDescent="0.2">
      <c r="B7" s="1377"/>
      <c r="C7" s="1377"/>
      <c r="D7" s="1377"/>
      <c r="E7" s="1377"/>
      <c r="F7" s="1377"/>
      <c r="G7" s="1378"/>
      <c r="H7" s="1377"/>
      <c r="I7" s="1378"/>
      <c r="J7" s="1377"/>
      <c r="K7" s="1377"/>
      <c r="L7" s="322"/>
    </row>
    <row r="8" spans="1:12" ht="13.5" customHeight="1" x14ac:dyDescent="0.2">
      <c r="B8" s="1385" t="s">
        <v>1855</v>
      </c>
      <c r="C8" s="1465" t="s">
        <v>1948</v>
      </c>
      <c r="D8" s="1466" t="s">
        <v>2230</v>
      </c>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620"/>
      <c r="G12" s="2620"/>
      <c r="H12" s="2620"/>
      <c r="I12" s="2620"/>
      <c r="J12" s="2620"/>
      <c r="K12" s="2620"/>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643"/>
      <c r="E14" s="2643"/>
      <c r="F14" s="2643"/>
      <c r="H14" s="1473" t="s">
        <v>1370</v>
      </c>
      <c r="I14" s="2644"/>
      <c r="J14" s="2644"/>
      <c r="K14" s="2644"/>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644"/>
      <c r="E16" s="2644"/>
      <c r="F16" s="2644"/>
      <c r="G16" s="2644"/>
      <c r="H16" s="2644"/>
      <c r="I16" s="2644"/>
      <c r="J16" s="2644"/>
      <c r="K16" s="2644"/>
      <c r="L16" s="322"/>
    </row>
    <row r="17" spans="2:12" ht="13.5" customHeight="1" x14ac:dyDescent="0.2">
      <c r="B17" s="1385" t="s">
        <v>1368</v>
      </c>
      <c r="C17" s="1385"/>
      <c r="D17" s="2645"/>
      <c r="E17" s="2645"/>
      <c r="F17" s="2645"/>
      <c r="G17" s="2645"/>
      <c r="H17" s="2645"/>
      <c r="I17" s="2645"/>
      <c r="J17" s="2645"/>
      <c r="K17" s="2645"/>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635"/>
      <c r="C20" s="2635"/>
      <c r="D20" s="2635"/>
      <c r="E20" s="2635"/>
      <c r="F20" s="2635"/>
      <c r="G20" s="2635"/>
      <c r="H20" s="2635"/>
      <c r="I20" s="2635"/>
      <c r="J20" s="2635"/>
      <c r="K20" s="2635"/>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1856</v>
      </c>
      <c r="C22" s="1475"/>
      <c r="D22" s="322"/>
      <c r="E22" s="322"/>
      <c r="F22" s="322"/>
      <c r="G22" s="1381"/>
      <c r="H22" s="322"/>
      <c r="I22" s="1381"/>
      <c r="J22" s="322"/>
      <c r="K22" s="322"/>
      <c r="L22" s="322"/>
    </row>
    <row r="23" spans="2:12" ht="37.5" customHeight="1" x14ac:dyDescent="0.2">
      <c r="B23" s="2635"/>
      <c r="C23" s="2635"/>
      <c r="D23" s="2635"/>
      <c r="E23" s="2635"/>
      <c r="F23" s="2635"/>
      <c r="G23" s="2635"/>
      <c r="H23" s="2635"/>
      <c r="I23" s="2635"/>
      <c r="J23" s="2635"/>
      <c r="K23" s="2635"/>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1857</v>
      </c>
      <c r="C25" s="1475"/>
      <c r="D25" s="322"/>
      <c r="E25" s="322"/>
      <c r="F25" s="322"/>
      <c r="G25" s="1381"/>
      <c r="H25" s="322"/>
      <c r="I25" s="1381"/>
      <c r="J25" s="322"/>
      <c r="K25" s="322"/>
      <c r="L25" s="322"/>
    </row>
    <row r="26" spans="2:12" ht="37.5" customHeight="1" x14ac:dyDescent="0.2">
      <c r="B26" s="2635"/>
      <c r="C26" s="2635"/>
      <c r="D26" s="2635"/>
      <c r="E26" s="2635"/>
      <c r="F26" s="2635"/>
      <c r="G26" s="2635"/>
      <c r="H26" s="2635"/>
      <c r="I26" s="2635"/>
      <c r="J26" s="2635"/>
      <c r="K26" s="2635"/>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1858</v>
      </c>
      <c r="C28" s="1475"/>
      <c r="D28" s="322"/>
      <c r="E28" s="322"/>
      <c r="F28" s="322"/>
      <c r="G28" s="1381"/>
      <c r="H28" s="322"/>
      <c r="I28" s="1381"/>
      <c r="J28" s="322"/>
      <c r="K28" s="322"/>
      <c r="L28" s="322"/>
    </row>
    <row r="29" spans="2:12" ht="37.5" customHeight="1" x14ac:dyDescent="0.2">
      <c r="B29" s="2635"/>
      <c r="C29" s="2635"/>
      <c r="D29" s="2635"/>
      <c r="E29" s="2635"/>
      <c r="F29" s="2635"/>
      <c r="G29" s="2635"/>
      <c r="H29" s="2635"/>
      <c r="I29" s="2635"/>
      <c r="J29" s="2635"/>
      <c r="K29" s="2635"/>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635"/>
      <c r="C32" s="2635"/>
      <c r="D32" s="2635"/>
      <c r="E32" s="2635"/>
      <c r="F32" s="2635"/>
      <c r="G32" s="2635"/>
      <c r="H32" s="2635"/>
      <c r="I32" s="2635"/>
      <c r="J32" s="2635"/>
      <c r="K32" s="2635"/>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635"/>
      <c r="C35" s="2635"/>
      <c r="D35" s="2635"/>
      <c r="E35" s="2635"/>
      <c r="F35" s="2635"/>
      <c r="G35" s="2635"/>
      <c r="H35" s="2635"/>
      <c r="I35" s="2635"/>
      <c r="J35" s="2635"/>
      <c r="K35" s="2635"/>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635"/>
      <c r="C38" s="2635"/>
      <c r="D38" s="2635"/>
      <c r="E38" s="2635"/>
      <c r="F38" s="2635"/>
      <c r="G38" s="2635"/>
      <c r="H38" s="2635"/>
      <c r="I38" s="2635"/>
      <c r="J38" s="2635"/>
      <c r="K38" s="2635"/>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1859</v>
      </c>
      <c r="C40" s="1401"/>
      <c r="D40" s="1376"/>
      <c r="E40" s="1377"/>
      <c r="F40" s="1377"/>
      <c r="G40" s="1378"/>
      <c r="H40" s="1377"/>
      <c r="I40" s="1378"/>
      <c r="J40" s="1377"/>
      <c r="K40" s="1377"/>
    </row>
    <row r="41" spans="2:12" s="322" customFormat="1" ht="33.75" customHeight="1" x14ac:dyDescent="0.2">
      <c r="B41" s="2635"/>
      <c r="C41" s="2635"/>
      <c r="D41" s="2635"/>
      <c r="E41" s="2635"/>
      <c r="F41" s="2635"/>
      <c r="G41" s="2635"/>
      <c r="H41" s="2635"/>
      <c r="I41" s="2635"/>
      <c r="J41" s="2635"/>
      <c r="K41" s="2635"/>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1860</v>
      </c>
      <c r="C48" s="1417"/>
      <c r="D48" s="322"/>
      <c r="E48" s="322"/>
      <c r="F48" s="322"/>
    </row>
    <row r="49" spans="2:3" s="317" customFormat="1" ht="10.5" customHeight="1" x14ac:dyDescent="0.2">
      <c r="B49" s="1418" t="s">
        <v>1861</v>
      </c>
      <c r="C49" s="1418"/>
    </row>
    <row r="50" spans="2:3" s="317" customFormat="1" ht="11.1" customHeight="1" x14ac:dyDescent="0.2">
      <c r="B50" s="1418" t="s">
        <v>1862</v>
      </c>
      <c r="C50" s="1418"/>
    </row>
    <row r="51" spans="2:3" s="317" customFormat="1" ht="11.1" customHeight="1" x14ac:dyDescent="0.2">
      <c r="B51" s="1418" t="s">
        <v>1863</v>
      </c>
      <c r="C51" s="1418"/>
    </row>
    <row r="52" spans="2:3" s="317" customFormat="1" ht="11.1" customHeight="1" x14ac:dyDescent="0.2">
      <c r="B52" s="1418" t="s">
        <v>1864</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7"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613" t="str">
        <f>'Single Audit Cover'!A7</f>
        <v>Midwest Central CUSD 191</v>
      </c>
      <c r="C1" s="2613"/>
      <c r="D1" s="2613"/>
      <c r="E1" s="1489"/>
    </row>
    <row r="2" spans="2:5" s="1280" customFormat="1" ht="12.75" customHeight="1" x14ac:dyDescent="0.2">
      <c r="B2" s="2615">
        <f>'Single Audit Cover'!E7</f>
        <v>53060191026</v>
      </c>
      <c r="C2" s="2615"/>
      <c r="D2" s="2615"/>
      <c r="E2" s="1490"/>
    </row>
    <row r="3" spans="2:5" ht="12.75" customHeight="1" x14ac:dyDescent="0.2">
      <c r="B3" s="2636" t="s">
        <v>1865</v>
      </c>
      <c r="C3" s="2636"/>
      <c r="D3" s="2636"/>
      <c r="E3" s="1272"/>
    </row>
    <row r="4" spans="2:5" s="1280" customFormat="1" ht="12.75" customHeight="1" x14ac:dyDescent="0.2">
      <c r="B4" s="2646" t="str">
        <f>'Single Audit Cover'!A4</f>
        <v>Year Ending June 30, 2018</v>
      </c>
      <c r="C4" s="2646"/>
      <c r="D4" s="2646"/>
      <c r="E4" s="1491"/>
    </row>
    <row r="5" spans="2:5" s="1280" customFormat="1" ht="40.15" customHeight="1" x14ac:dyDescent="0.2">
      <c r="B5" s="1492"/>
      <c r="C5" s="328"/>
      <c r="D5" s="328"/>
      <c r="E5" s="328"/>
    </row>
    <row r="6" spans="2:5" s="1280" customFormat="1" ht="13.5" customHeight="1" x14ac:dyDescent="0.2">
      <c r="B6" s="1493" t="s">
        <v>1382</v>
      </c>
      <c r="C6" s="1493" t="s">
        <v>1381</v>
      </c>
      <c r="D6" s="1493" t="s">
        <v>1866</v>
      </c>
    </row>
    <row r="7" spans="2:5" ht="13.5" customHeight="1" x14ac:dyDescent="0.2">
      <c r="B7" s="2080" t="s">
        <v>2104</v>
      </c>
      <c r="C7" s="2081" t="s">
        <v>2105</v>
      </c>
      <c r="D7" s="2081" t="s">
        <v>2229</v>
      </c>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1867</v>
      </c>
    </row>
    <row r="46" spans="2:5" ht="12.2" customHeight="1" x14ac:dyDescent="0.2">
      <c r="B46" s="1503" t="s">
        <v>1868</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34" t="s">
        <v>404</v>
      </c>
      <c r="B1" s="2234"/>
      <c r="C1" s="2234"/>
      <c r="D1" s="2234"/>
      <c r="E1" s="2234"/>
      <c r="F1" s="2234"/>
      <c r="G1" s="2234"/>
      <c r="H1" s="2234"/>
      <c r="I1" s="2234"/>
      <c r="J1" s="2234"/>
      <c r="K1" s="2234"/>
      <c r="L1" s="2234"/>
      <c r="M1" s="223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93261258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2.1552399999999999E-2</v>
      </c>
      <c r="E10" s="356" t="s">
        <v>1062</v>
      </c>
      <c r="F10" s="355">
        <v>5.0000000000000001E-3</v>
      </c>
      <c r="G10" s="356" t="s">
        <v>1062</v>
      </c>
      <c r="H10" s="355">
        <v>2E-3</v>
      </c>
      <c r="I10" s="356" t="s">
        <v>1063</v>
      </c>
      <c r="J10" s="1752">
        <f>ROUND(D10+F10+H10,5)</f>
        <v>2.8549999999999999E-2</v>
      </c>
      <c r="K10" s="222"/>
      <c r="L10" s="355">
        <v>5.0000000000000001E-4</v>
      </c>
      <c r="M10" s="222"/>
    </row>
    <row r="11" spans="1:14" ht="7.5" customHeight="1" x14ac:dyDescent="0.2">
      <c r="B11" s="222"/>
      <c r="C11" s="222"/>
      <c r="D11" s="2244" t="str">
        <f>IF(SUM(J10)&lt;=0.0999999,"","Enter the Tax Rates by moving the decimal two places to the left.")</f>
        <v/>
      </c>
      <c r="E11" s="2245"/>
      <c r="F11" s="2245"/>
      <c r="G11" s="2245"/>
      <c r="H11" s="2245"/>
      <c r="I11" s="2245"/>
      <c r="J11" s="224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8791690</v>
      </c>
      <c r="E16" s="356"/>
      <c r="F16" s="1753">
        <f>SUM('Acct Summary 7-8'!C17,'Acct Summary 7-8'!D17,'Acct Summary 7-8'!F17)</f>
        <v>8179637</v>
      </c>
      <c r="G16" s="356"/>
      <c r="H16" s="1753">
        <f>SUM(D16-F16)</f>
        <v>612053</v>
      </c>
      <c r="I16" s="222"/>
      <c r="J16" s="1753">
        <f>SUM('Acct Summary 7-8'!C81,'Acct Summary 7-8'!D81,'Acct Summary 7-8'!F81,'Acct Summary 7-8'!I81)</f>
        <v>5007500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12870053.604</v>
      </c>
      <c r="I31" s="368"/>
      <c r="J31" s="222"/>
      <c r="K31" s="222"/>
      <c r="L31" s="222"/>
      <c r="M31" s="222"/>
    </row>
    <row r="32" spans="1:13" ht="13.35" customHeight="1" x14ac:dyDescent="0.2">
      <c r="B32" s="369" t="s">
        <v>2081</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1825000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35"/>
      <c r="C54" s="2236"/>
      <c r="D54" s="2236"/>
      <c r="E54" s="2236"/>
      <c r="F54" s="2236"/>
      <c r="G54" s="2236"/>
      <c r="H54" s="2236"/>
      <c r="I54" s="2236"/>
      <c r="J54" s="2236"/>
      <c r="K54" s="2236"/>
      <c r="L54" s="2237"/>
      <c r="M54" s="380"/>
    </row>
    <row r="55" spans="1:13" ht="12.75" customHeight="1" x14ac:dyDescent="0.2">
      <c r="B55" s="2238"/>
      <c r="C55" s="2239"/>
      <c r="D55" s="2239"/>
      <c r="E55" s="2239"/>
      <c r="F55" s="2239"/>
      <c r="G55" s="2239"/>
      <c r="H55" s="2239"/>
      <c r="I55" s="2239"/>
      <c r="J55" s="2239"/>
      <c r="K55" s="2239"/>
      <c r="L55" s="2240"/>
      <c r="M55" s="380"/>
    </row>
    <row r="56" spans="1:13" ht="12.75" customHeight="1" x14ac:dyDescent="0.2">
      <c r="B56" s="2238"/>
      <c r="C56" s="2239"/>
      <c r="D56" s="2239"/>
      <c r="E56" s="2239"/>
      <c r="F56" s="2239"/>
      <c r="G56" s="2239"/>
      <c r="H56" s="2239"/>
      <c r="I56" s="2239"/>
      <c r="J56" s="2239"/>
      <c r="K56" s="2239"/>
      <c r="L56" s="2240"/>
      <c r="M56" s="222"/>
    </row>
    <row r="57" spans="1:13" ht="12.75" customHeight="1" x14ac:dyDescent="0.2">
      <c r="B57" s="2238"/>
      <c r="C57" s="2239"/>
      <c r="D57" s="2239"/>
      <c r="E57" s="2239"/>
      <c r="F57" s="2239"/>
      <c r="G57" s="2239"/>
      <c r="H57" s="2239"/>
      <c r="I57" s="2239"/>
      <c r="J57" s="2239"/>
      <c r="K57" s="2239"/>
      <c r="L57" s="2240"/>
      <c r="M57" s="222"/>
    </row>
    <row r="58" spans="1:13" x14ac:dyDescent="0.2">
      <c r="B58" s="2241"/>
      <c r="C58" s="2242"/>
      <c r="D58" s="2242"/>
      <c r="E58" s="2242"/>
      <c r="F58" s="2242"/>
      <c r="G58" s="2242"/>
      <c r="H58" s="2242"/>
      <c r="I58" s="2242"/>
      <c r="J58" s="2242"/>
      <c r="K58" s="2242"/>
      <c r="L58" s="224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46"/>
      <c r="D61" s="224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49"/>
      <c r="B1" s="2250"/>
      <c r="C1" s="2250"/>
      <c r="D1" s="384"/>
      <c r="E1" s="384"/>
      <c r="F1" s="384"/>
      <c r="G1" s="384"/>
      <c r="H1" s="384"/>
      <c r="I1" s="384"/>
      <c r="J1" s="384"/>
      <c r="K1" s="384"/>
      <c r="L1" s="384"/>
      <c r="M1" s="384"/>
      <c r="N1" s="384"/>
      <c r="O1" s="2249"/>
      <c r="P1" s="2250"/>
      <c r="Q1" s="2250"/>
    </row>
    <row r="2" spans="1:18" ht="15" x14ac:dyDescent="0.2">
      <c r="A2" s="2253" t="s">
        <v>577</v>
      </c>
      <c r="B2" s="2253"/>
      <c r="C2" s="2253"/>
      <c r="D2" s="2253"/>
      <c r="E2" s="2253"/>
      <c r="F2" s="2253"/>
      <c r="G2" s="2253"/>
      <c r="H2" s="2253"/>
      <c r="I2" s="2253"/>
      <c r="J2" s="2253"/>
      <c r="K2" s="2253"/>
      <c r="L2" s="2253"/>
      <c r="M2" s="2253"/>
      <c r="N2" s="2253"/>
      <c r="O2" s="2253"/>
      <c r="P2" s="2253"/>
      <c r="Q2" s="2253"/>
      <c r="R2" s="2253"/>
    </row>
    <row r="3" spans="1:18" ht="12.75" x14ac:dyDescent="0.2">
      <c r="A3" s="2254" t="s">
        <v>1480</v>
      </c>
      <c r="B3" s="2254"/>
      <c r="C3" s="2254"/>
      <c r="D3" s="2254"/>
      <c r="E3" s="2254"/>
      <c r="F3" s="2254"/>
      <c r="G3" s="2254"/>
      <c r="H3" s="2254"/>
      <c r="I3" s="2254"/>
      <c r="J3" s="2254"/>
      <c r="K3" s="2254"/>
      <c r="L3" s="2254"/>
      <c r="M3" s="2254"/>
      <c r="N3" s="2254"/>
      <c r="O3" s="2254"/>
      <c r="P3" s="2254"/>
      <c r="Q3" s="2254"/>
      <c r="R3" s="2254"/>
    </row>
    <row r="4" spans="1:18" x14ac:dyDescent="0.2">
      <c r="A4" s="2255" t="s">
        <v>1634</v>
      </c>
      <c r="B4" s="2255"/>
      <c r="C4" s="2255"/>
      <c r="D4" s="2255"/>
      <c r="E4" s="2255"/>
      <c r="F4" s="2255"/>
      <c r="G4" s="2255"/>
      <c r="H4" s="2255"/>
      <c r="I4" s="2255"/>
      <c r="J4" s="2255"/>
      <c r="K4" s="2255"/>
      <c r="L4" s="2255"/>
      <c r="M4" s="2255"/>
      <c r="N4" s="2255"/>
      <c r="O4" s="2255"/>
      <c r="P4" s="2255"/>
      <c r="Q4" s="2255"/>
      <c r="R4" s="225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Midwest Central CUSD 191</v>
      </c>
      <c r="E7" s="391"/>
      <c r="G7" s="252"/>
      <c r="H7" s="387"/>
      <c r="I7" s="387"/>
      <c r="J7" s="387"/>
      <c r="K7" s="387"/>
      <c r="L7" s="329"/>
      <c r="M7" s="329"/>
      <c r="N7" s="329"/>
      <c r="O7" s="329"/>
      <c r="P7" s="329"/>
    </row>
    <row r="8" spans="1:18" ht="12.75" x14ac:dyDescent="0.2">
      <c r="A8" s="329"/>
      <c r="B8" s="329"/>
      <c r="C8" s="389" t="s">
        <v>1187</v>
      </c>
      <c r="D8" s="392">
        <f>COVER!A13</f>
        <v>53060191026</v>
      </c>
      <c r="E8" s="393"/>
      <c r="G8" s="329"/>
      <c r="H8" s="329"/>
      <c r="I8" s="329"/>
      <c r="J8" s="329"/>
      <c r="K8" s="329"/>
      <c r="L8" s="329"/>
      <c r="M8" s="329"/>
      <c r="N8" s="329"/>
      <c r="O8" s="329"/>
      <c r="P8" s="329"/>
    </row>
    <row r="9" spans="1:18" ht="12.75" x14ac:dyDescent="0.2">
      <c r="A9" s="329"/>
      <c r="B9" s="329"/>
      <c r="C9" s="389" t="s">
        <v>737</v>
      </c>
      <c r="D9" s="394" t="str">
        <f>COVER!A15</f>
        <v>Tazewell and Mason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5007500</v>
      </c>
      <c r="I12" s="404"/>
      <c r="J12" s="404"/>
      <c r="K12" s="405">
        <f>TRUNC((H12/H13*100000),5)/100000</f>
        <v>0.56957194799999999</v>
      </c>
      <c r="L12" s="406"/>
      <c r="M12" s="360" t="s">
        <v>1206</v>
      </c>
      <c r="N12" s="360"/>
      <c r="O12" s="407">
        <v>0.35</v>
      </c>
      <c r="P12" s="218"/>
      <c r="Q12" s="218"/>
    </row>
    <row r="13" spans="1:18" s="408" customFormat="1" ht="12.75" x14ac:dyDescent="0.2">
      <c r="A13" s="218"/>
      <c r="B13" s="401"/>
      <c r="C13" s="2251" t="s">
        <v>1391</v>
      </c>
      <c r="D13" s="2252"/>
      <c r="E13" s="218"/>
      <c r="F13" s="409" t="s">
        <v>826</v>
      </c>
      <c r="G13" s="402"/>
      <c r="H13" s="403">
        <f>SUM('Acct Summary 7-8'!C8+'Acct Summary 7-8'!D8+'Acct Summary 7-8'!F8+'Acct Summary 7-8'!I8)+H14</f>
        <v>8791690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8179637</v>
      </c>
      <c r="I17" s="404"/>
      <c r="J17" s="416"/>
      <c r="K17" s="405">
        <f>TRUNC((H17/H18*100000),5)/100000</f>
        <v>0.93038278190000001</v>
      </c>
      <c r="L17" s="406"/>
      <c r="M17" s="417" t="s">
        <v>1233</v>
      </c>
      <c r="O17" s="418" t="str">
        <f>IF(AND(O16="2", J20 &gt; 2),"1",IF(AND(O16 = "1", J20 &gt; 2),"2",IF(AND(O16="1", J20 &gt;1),"1","0")))</f>
        <v>0</v>
      </c>
      <c r="P17" s="218"/>
    </row>
    <row r="18" spans="1:18" s="408" customFormat="1" ht="11.25" x14ac:dyDescent="0.2">
      <c r="A18" s="218"/>
      <c r="B18" s="401"/>
      <c r="C18" s="2251" t="s">
        <v>1384</v>
      </c>
      <c r="D18" s="2252"/>
      <c r="E18" s="218"/>
      <c r="F18" s="419" t="s">
        <v>827</v>
      </c>
      <c r="G18" s="402"/>
      <c r="H18" s="403">
        <f>SUM('Acct Summary 7-8'!C8+'Acct Summary 7-8'!D8+'Acct Summary 7-8'!F8+'Acct Summary 7-8'!I8)+H19</f>
        <v>8791690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248" t="s">
        <v>1479</v>
      </c>
      <c r="D24" s="2248"/>
      <c r="E24" s="218"/>
      <c r="F24" s="218" t="s">
        <v>465</v>
      </c>
      <c r="G24" s="402"/>
      <c r="H24" s="403">
        <f>SUM('Assets-Liab 5-6'!C4+'Assets-Liab 5-6'!D4+'Assets-Liab 5-6'!F4+'Assets-Liab 5-6'!I4+'Assets-Liab 5-6'!C5+'Assets-Liab 5-6'!D5+'Assets-Liab 5-6'!F5+'Assets-Liab 5-6'!I5)</f>
        <v>4762000</v>
      </c>
      <c r="I24" s="422"/>
      <c r="J24" s="422"/>
      <c r="K24" s="423">
        <f>TRUNC(((H24/H25*100000)/100000),2)</f>
        <v>209.58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22721.213889999999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2263217.57852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1825000</v>
      </c>
      <c r="I32" s="420"/>
      <c r="J32" s="420"/>
      <c r="K32" s="423">
        <f>TRUNC(100-((((H32/H33*100))*100)/100),2)</f>
        <v>85.81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12870053.604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5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5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58" t="s">
        <v>1030</v>
      </c>
      <c r="B3" s="2259"/>
      <c r="C3" s="1579"/>
      <c r="D3" s="1580"/>
      <c r="E3" s="1580"/>
      <c r="F3" s="1580"/>
      <c r="G3" s="1580"/>
      <c r="H3" s="1580"/>
      <c r="I3" s="1580"/>
      <c r="J3" s="1580"/>
      <c r="K3" s="1580"/>
      <c r="L3" s="1580"/>
      <c r="M3" s="1581"/>
      <c r="N3" s="1582"/>
    </row>
    <row r="4" spans="1:14" ht="13.5" customHeight="1" x14ac:dyDescent="0.2">
      <c r="A4" s="463" t="s">
        <v>1749</v>
      </c>
      <c r="B4" s="464"/>
      <c r="C4" s="465">
        <v>1471518</v>
      </c>
      <c r="D4" s="465">
        <v>203987</v>
      </c>
      <c r="E4" s="466">
        <v>91542</v>
      </c>
      <c r="F4" s="466">
        <v>579249</v>
      </c>
      <c r="G4" s="466">
        <v>52561</v>
      </c>
      <c r="H4" s="466">
        <v>48036</v>
      </c>
      <c r="I4" s="466">
        <v>149327</v>
      </c>
      <c r="J4" s="467">
        <v>47235</v>
      </c>
      <c r="K4" s="466">
        <v>39199</v>
      </c>
      <c r="L4" s="466">
        <v>49675</v>
      </c>
      <c r="M4" s="468"/>
      <c r="N4" s="469"/>
    </row>
    <row r="5" spans="1:14" x14ac:dyDescent="0.2">
      <c r="A5" s="463" t="s">
        <v>1049</v>
      </c>
      <c r="B5" s="470">
        <v>120</v>
      </c>
      <c r="C5" s="465">
        <v>1157919</v>
      </c>
      <c r="D5" s="466">
        <v>300000</v>
      </c>
      <c r="E5" s="466">
        <v>113169</v>
      </c>
      <c r="F5" s="466">
        <v>0</v>
      </c>
      <c r="G5" s="466">
        <v>621844</v>
      </c>
      <c r="H5" s="466">
        <v>0</v>
      </c>
      <c r="I5" s="466">
        <v>900000</v>
      </c>
      <c r="J5" s="467">
        <v>54335</v>
      </c>
      <c r="K5" s="471">
        <v>50000</v>
      </c>
      <c r="L5" s="472">
        <v>200000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255000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2629437</v>
      </c>
      <c r="D13" s="1757">
        <f t="shared" ref="D13:L13" si="0">SUM(D4:D12)</f>
        <v>503987</v>
      </c>
      <c r="E13" s="1757">
        <f t="shared" si="0"/>
        <v>204711</v>
      </c>
      <c r="F13" s="1757">
        <f t="shared" si="0"/>
        <v>579249</v>
      </c>
      <c r="G13" s="1757">
        <f t="shared" si="0"/>
        <v>674405</v>
      </c>
      <c r="H13" s="1757">
        <f t="shared" si="0"/>
        <v>48036</v>
      </c>
      <c r="I13" s="1757">
        <f t="shared" si="0"/>
        <v>1304327</v>
      </c>
      <c r="J13" s="1757">
        <f t="shared" si="0"/>
        <v>101570</v>
      </c>
      <c r="K13" s="1757">
        <f t="shared" si="0"/>
        <v>89199</v>
      </c>
      <c r="L13" s="1757">
        <f t="shared" si="0"/>
        <v>249675</v>
      </c>
      <c r="M13" s="468"/>
      <c r="N13" s="469"/>
    </row>
    <row r="14" spans="1:14" ht="18" customHeight="1" thickTop="1" x14ac:dyDescent="0.2">
      <c r="A14" s="2260" t="s">
        <v>149</v>
      </c>
      <c r="B14" s="2261"/>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121076</v>
      </c>
      <c r="N16" s="483"/>
    </row>
    <row r="17" spans="1:14" s="484" customFormat="1" ht="12.75" customHeight="1" x14ac:dyDescent="0.2">
      <c r="A17" s="481" t="s">
        <v>1470</v>
      </c>
      <c r="B17" s="482">
        <v>230</v>
      </c>
      <c r="C17" s="476"/>
      <c r="D17" s="476"/>
      <c r="E17" s="476"/>
      <c r="F17" s="476"/>
      <c r="G17" s="476"/>
      <c r="H17" s="476"/>
      <c r="I17" s="476"/>
      <c r="J17" s="476"/>
      <c r="K17" s="476"/>
      <c r="L17" s="476"/>
      <c r="M17" s="467">
        <v>15166982</v>
      </c>
      <c r="N17" s="483"/>
    </row>
    <row r="18" spans="1:14" s="484" customFormat="1" ht="12.75" customHeight="1" x14ac:dyDescent="0.2">
      <c r="A18" s="481" t="s">
        <v>1471</v>
      </c>
      <c r="B18" s="482">
        <v>240</v>
      </c>
      <c r="C18" s="476"/>
      <c r="D18" s="476"/>
      <c r="E18" s="476"/>
      <c r="F18" s="476"/>
      <c r="G18" s="476"/>
      <c r="H18" s="476"/>
      <c r="I18" s="476"/>
      <c r="J18" s="476"/>
      <c r="K18" s="476"/>
      <c r="L18" s="476"/>
      <c r="M18" s="467">
        <v>1566885</v>
      </c>
      <c r="N18" s="483"/>
    </row>
    <row r="19" spans="1:14" s="484" customFormat="1" ht="12.75" customHeight="1" x14ac:dyDescent="0.2">
      <c r="A19" s="481" t="s">
        <v>1472</v>
      </c>
      <c r="B19" s="482">
        <v>250</v>
      </c>
      <c r="C19" s="476"/>
      <c r="D19" s="476"/>
      <c r="E19" s="476"/>
      <c r="F19" s="476"/>
      <c r="G19" s="476"/>
      <c r="H19" s="476"/>
      <c r="I19" s="476"/>
      <c r="J19" s="476"/>
      <c r="K19" s="476"/>
      <c r="L19" s="476"/>
      <c r="M19" s="467">
        <v>1308860</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204711</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1620289</v>
      </c>
    </row>
    <row r="23" spans="1:14" ht="13.5" customHeight="1" thickBot="1" x14ac:dyDescent="0.25">
      <c r="A23" s="1756" t="s">
        <v>664</v>
      </c>
      <c r="B23" s="1761"/>
      <c r="C23" s="468"/>
      <c r="D23" s="468"/>
      <c r="E23" s="468"/>
      <c r="F23" s="468"/>
      <c r="G23" s="468"/>
      <c r="H23" s="468"/>
      <c r="I23" s="468"/>
      <c r="J23" s="468"/>
      <c r="K23" s="468"/>
      <c r="L23" s="468"/>
      <c r="M23" s="1708">
        <f>SUM(M15:M22)</f>
        <v>18163803</v>
      </c>
      <c r="N23" s="1708">
        <f>SUM(N21:N22)</f>
        <v>1825000</v>
      </c>
    </row>
    <row r="24" spans="1:14" ht="18" customHeight="1" thickTop="1" x14ac:dyDescent="0.2">
      <c r="A24" s="2262" t="s">
        <v>619</v>
      </c>
      <c r="B24" s="2263"/>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255000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9474</v>
      </c>
      <c r="D31" s="467">
        <v>0</v>
      </c>
      <c r="E31" s="467"/>
      <c r="F31" s="466">
        <v>26</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228197</v>
      </c>
      <c r="M33" s="468"/>
      <c r="N33" s="469"/>
    </row>
    <row r="34" spans="1:14" ht="13.5" customHeight="1" thickBot="1" x14ac:dyDescent="0.25">
      <c r="A34" s="1758" t="s">
        <v>675</v>
      </c>
      <c r="B34" s="1759"/>
      <c r="C34" s="1760">
        <f>SUM(C25:C33)</f>
        <v>9474</v>
      </c>
      <c r="D34" s="1760">
        <f t="shared" ref="D34:K34" si="1">SUM(D25:D33)</f>
        <v>0</v>
      </c>
      <c r="E34" s="1760">
        <f t="shared" si="1"/>
        <v>0</v>
      </c>
      <c r="F34" s="1760">
        <f t="shared" si="1"/>
        <v>26</v>
      </c>
      <c r="G34" s="1760">
        <f t="shared" si="1"/>
        <v>0</v>
      </c>
      <c r="H34" s="1760">
        <f t="shared" si="1"/>
        <v>255000</v>
      </c>
      <c r="I34" s="1760">
        <f t="shared" si="1"/>
        <v>0</v>
      </c>
      <c r="J34" s="1760">
        <f t="shared" si="1"/>
        <v>0</v>
      </c>
      <c r="K34" s="1760">
        <f t="shared" si="1"/>
        <v>0</v>
      </c>
      <c r="L34" s="1741">
        <f>SUM(L33)</f>
        <v>228197</v>
      </c>
      <c r="M34" s="468"/>
      <c r="N34" s="479"/>
    </row>
    <row r="35" spans="1:14" ht="18" customHeight="1" thickTop="1" x14ac:dyDescent="0.2">
      <c r="A35" s="2264" t="s">
        <v>550</v>
      </c>
      <c r="B35" s="2265"/>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1825000</v>
      </c>
    </row>
    <row r="37" spans="1:14" ht="13.5" thickBot="1" x14ac:dyDescent="0.25">
      <c r="A37" s="1756" t="s">
        <v>674</v>
      </c>
      <c r="B37" s="1761"/>
      <c r="C37" s="476"/>
      <c r="D37" s="476"/>
      <c r="E37" s="476"/>
      <c r="F37" s="476"/>
      <c r="G37" s="476"/>
      <c r="H37" s="476"/>
      <c r="I37" s="476"/>
      <c r="J37" s="476"/>
      <c r="K37" s="476"/>
      <c r="L37" s="479"/>
      <c r="M37" s="468"/>
      <c r="N37" s="1708">
        <f>SUM(N36:N36)</f>
        <v>1825000</v>
      </c>
    </row>
    <row r="38" spans="1:14" s="329" customFormat="1" ht="13.5" customHeight="1" thickTop="1" x14ac:dyDescent="0.2">
      <c r="A38" s="494" t="s">
        <v>440</v>
      </c>
      <c r="B38" s="482">
        <v>714</v>
      </c>
      <c r="C38" s="465">
        <v>17896</v>
      </c>
      <c r="D38" s="465">
        <v>0</v>
      </c>
      <c r="E38" s="465">
        <v>115759</v>
      </c>
      <c r="F38" s="465">
        <v>0</v>
      </c>
      <c r="G38" s="465">
        <v>392072</v>
      </c>
      <c r="H38" s="465">
        <v>0</v>
      </c>
      <c r="I38" s="465">
        <v>0</v>
      </c>
      <c r="J38" s="465">
        <v>0</v>
      </c>
      <c r="K38" s="465">
        <v>0</v>
      </c>
      <c r="L38" s="465">
        <v>21478</v>
      </c>
      <c r="M38" s="495"/>
      <c r="N38" s="495"/>
    </row>
    <row r="39" spans="1:14" s="329" customFormat="1" ht="13.5" customHeight="1" x14ac:dyDescent="0.2">
      <c r="A39" s="494" t="s">
        <v>360</v>
      </c>
      <c r="B39" s="482">
        <v>730</v>
      </c>
      <c r="C39" s="465">
        <v>2602067</v>
      </c>
      <c r="D39" s="465">
        <v>503987</v>
      </c>
      <c r="E39" s="465">
        <v>88952</v>
      </c>
      <c r="F39" s="465">
        <v>579223</v>
      </c>
      <c r="G39" s="465">
        <v>282333</v>
      </c>
      <c r="H39" s="465">
        <v>-206964</v>
      </c>
      <c r="I39" s="465">
        <v>1304327</v>
      </c>
      <c r="J39" s="465">
        <v>101570</v>
      </c>
      <c r="K39" s="465">
        <v>89199</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18163803</v>
      </c>
      <c r="N40" s="495"/>
    </row>
    <row r="41" spans="1:14" ht="13.5" customHeight="1" thickBot="1" x14ac:dyDescent="0.25">
      <c r="A41" s="1756" t="s">
        <v>676</v>
      </c>
      <c r="B41" s="1726"/>
      <c r="C41" s="1708">
        <f>(SUM(C34,C37,C38,C39))</f>
        <v>2629437</v>
      </c>
      <c r="D41" s="1708">
        <f t="shared" ref="D41:L41" si="2">SUM(D34,D37,D38:D39)</f>
        <v>503987</v>
      </c>
      <c r="E41" s="1708">
        <f t="shared" si="2"/>
        <v>204711</v>
      </c>
      <c r="F41" s="1708">
        <f t="shared" si="2"/>
        <v>579249</v>
      </c>
      <c r="G41" s="1708">
        <f t="shared" si="2"/>
        <v>674405</v>
      </c>
      <c r="H41" s="1708">
        <f t="shared" si="2"/>
        <v>48036</v>
      </c>
      <c r="I41" s="1708">
        <f t="shared" si="2"/>
        <v>1304327</v>
      </c>
      <c r="J41" s="1708">
        <f t="shared" si="2"/>
        <v>101570</v>
      </c>
      <c r="K41" s="1708">
        <f t="shared" si="2"/>
        <v>89199</v>
      </c>
      <c r="L41" s="1708">
        <f t="shared" si="2"/>
        <v>249675</v>
      </c>
      <c r="M41" s="1708">
        <f>SUM(M40)</f>
        <v>18163803</v>
      </c>
      <c r="N41" s="1708">
        <f>SUM(N37)</f>
        <v>1825000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74" t="s">
        <v>1750</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275"/>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286" t="s">
        <v>1237</v>
      </c>
      <c r="B3" s="2287"/>
      <c r="C3" s="1593"/>
      <c r="D3" s="1594"/>
      <c r="E3" s="1594"/>
      <c r="F3" s="1594"/>
      <c r="G3" s="1594"/>
      <c r="H3" s="1594"/>
      <c r="I3" s="1594"/>
      <c r="J3" s="1594"/>
      <c r="K3" s="1595"/>
      <c r="L3" s="504"/>
    </row>
    <row r="4" spans="1:13" ht="15.75" customHeight="1" x14ac:dyDescent="0.2">
      <c r="A4" s="1952" t="s">
        <v>1579</v>
      </c>
      <c r="B4" s="1953">
        <v>1000</v>
      </c>
      <c r="C4" s="1762">
        <f>'Revenues 9-14'!C109</f>
        <v>2507943</v>
      </c>
      <c r="D4" s="1762">
        <f>'Revenues 9-14'!D109</f>
        <v>453923</v>
      </c>
      <c r="E4" s="1762">
        <f>'Revenues 9-14'!E109</f>
        <v>1066886</v>
      </c>
      <c r="F4" s="1762">
        <f>'Revenues 9-14'!F109</f>
        <v>210586</v>
      </c>
      <c r="G4" s="1762">
        <f>'Revenues 9-14'!G109</f>
        <v>464489</v>
      </c>
      <c r="H4" s="1762">
        <f>'Revenues 9-14'!H109</f>
        <v>117543</v>
      </c>
      <c r="I4" s="1762">
        <f>'Revenues 9-14'!I109</f>
        <v>54527</v>
      </c>
      <c r="J4" s="1762">
        <f>'Revenues 9-14'!J109</f>
        <v>609254</v>
      </c>
      <c r="K4" s="1762">
        <f>'Revenues 9-14'!K109</f>
        <v>45596</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4097139</v>
      </c>
      <c r="D6" s="1763">
        <f>'Revenues 9-14'!D173</f>
        <v>0</v>
      </c>
      <c r="E6" s="1763">
        <f>'Revenues 9-14'!E173</f>
        <v>0</v>
      </c>
      <c r="F6" s="1763">
        <f>'Revenues 9-14'!F173</f>
        <v>596310</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871262</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7476344</v>
      </c>
      <c r="D8" s="1708">
        <f t="shared" ref="D8:K8" si="0">SUM(D4:D7)</f>
        <v>453923</v>
      </c>
      <c r="E8" s="1708">
        <f t="shared" si="0"/>
        <v>1066886</v>
      </c>
      <c r="F8" s="1708">
        <f t="shared" si="0"/>
        <v>806896</v>
      </c>
      <c r="G8" s="1708">
        <f t="shared" si="0"/>
        <v>464489</v>
      </c>
      <c r="H8" s="1708">
        <f t="shared" si="0"/>
        <v>117543</v>
      </c>
      <c r="I8" s="1708">
        <f t="shared" si="0"/>
        <v>54527</v>
      </c>
      <c r="J8" s="1708">
        <f t="shared" si="0"/>
        <v>609254</v>
      </c>
      <c r="K8" s="1708">
        <f t="shared" si="0"/>
        <v>45596</v>
      </c>
      <c r="L8" s="347"/>
    </row>
    <row r="9" spans="1:13" ht="15.75" thickTop="1" x14ac:dyDescent="0.2">
      <c r="A9" s="512" t="s">
        <v>1751</v>
      </c>
      <c r="B9" s="513">
        <v>3998</v>
      </c>
      <c r="C9" s="465">
        <v>3225651</v>
      </c>
      <c r="D9" s="514"/>
      <c r="E9" s="480"/>
      <c r="F9" s="480"/>
      <c r="G9" s="515"/>
      <c r="H9" s="480"/>
      <c r="I9" s="507" t="s">
        <v>1231</v>
      </c>
      <c r="J9" s="477"/>
      <c r="K9" s="480"/>
      <c r="L9" s="347"/>
    </row>
    <row r="10" spans="1:13" s="517" customFormat="1" ht="13.5" thickBot="1" x14ac:dyDescent="0.25">
      <c r="A10" s="1756" t="s">
        <v>1235</v>
      </c>
      <c r="B10" s="1729"/>
      <c r="C10" s="1708">
        <f>SUM(C8:C9)</f>
        <v>10701995</v>
      </c>
      <c r="D10" s="1708">
        <f t="shared" ref="D10:K10" si="1">SUM(D8:D9)</f>
        <v>453923</v>
      </c>
      <c r="E10" s="1708">
        <f t="shared" si="1"/>
        <v>1066886</v>
      </c>
      <c r="F10" s="1708">
        <f t="shared" si="1"/>
        <v>806896</v>
      </c>
      <c r="G10" s="1708">
        <f t="shared" si="1"/>
        <v>464489</v>
      </c>
      <c r="H10" s="1708">
        <f t="shared" si="1"/>
        <v>117543</v>
      </c>
      <c r="I10" s="1708">
        <f t="shared" si="1"/>
        <v>54527</v>
      </c>
      <c r="J10" s="1708">
        <f t="shared" si="1"/>
        <v>609254</v>
      </c>
      <c r="K10" s="1708">
        <f t="shared" si="1"/>
        <v>45596</v>
      </c>
      <c r="L10" s="516"/>
    </row>
    <row r="11" spans="1:13" s="517" customFormat="1" ht="16.7" customHeight="1" thickTop="1" x14ac:dyDescent="0.2">
      <c r="A11" s="2260" t="s">
        <v>1238</v>
      </c>
      <c r="B11" s="2261"/>
      <c r="C11" s="1590"/>
      <c r="D11" s="1591"/>
      <c r="E11" s="1591"/>
      <c r="F11" s="1591"/>
      <c r="G11" s="1591"/>
      <c r="H11" s="1591"/>
      <c r="I11" s="1591"/>
      <c r="J11" s="1591"/>
      <c r="K11" s="1592"/>
      <c r="L11" s="516"/>
    </row>
    <row r="12" spans="1:13" ht="15.75" customHeight="1" x14ac:dyDescent="0.2">
      <c r="A12" s="1596" t="s">
        <v>476</v>
      </c>
      <c r="B12" s="1598">
        <v>1000</v>
      </c>
      <c r="C12" s="1762">
        <f>'Expenditures 15-22'!K33</f>
        <v>4908412</v>
      </c>
      <c r="D12" s="518" t="s">
        <v>1231</v>
      </c>
      <c r="E12" s="468" t="s">
        <v>1231</v>
      </c>
      <c r="F12" s="468" t="s">
        <v>1231</v>
      </c>
      <c r="G12" s="1762">
        <f>'Expenditures 15-22'!K229</f>
        <v>95163</v>
      </c>
      <c r="H12" s="519"/>
      <c r="I12" s="468" t="s">
        <v>1231</v>
      </c>
      <c r="J12" s="468" t="s">
        <v>1231</v>
      </c>
      <c r="K12" s="519" t="s">
        <v>1231</v>
      </c>
      <c r="L12" s="347"/>
    </row>
    <row r="13" spans="1:13" ht="15.75" customHeight="1" x14ac:dyDescent="0.2">
      <c r="A13" s="1596" t="s">
        <v>477</v>
      </c>
      <c r="B13" s="1598">
        <v>2000</v>
      </c>
      <c r="C13" s="1763">
        <f>'Expenditures 15-22'!K74</f>
        <v>2089096</v>
      </c>
      <c r="D13" s="1763">
        <f>'Expenditures 15-22'!K129</f>
        <v>367168</v>
      </c>
      <c r="E13" s="469" t="s">
        <v>1231</v>
      </c>
      <c r="F13" s="1763">
        <f>'Expenditures 15-22'!K184</f>
        <v>661422</v>
      </c>
      <c r="G13" s="1763">
        <f>'Expenditures 15-22'!K279</f>
        <v>169319</v>
      </c>
      <c r="H13" s="1763">
        <f>'Expenditures 15-22'!K303</f>
        <v>0</v>
      </c>
      <c r="I13" s="468" t="s">
        <v>1231</v>
      </c>
      <c r="J13" s="1763">
        <f>'Expenditures 15-22'!K330</f>
        <v>608479</v>
      </c>
      <c r="K13" s="1767">
        <f>'Expenditures 15-22'!K352</f>
        <v>0</v>
      </c>
      <c r="L13" s="347"/>
    </row>
    <row r="14" spans="1:13" ht="15.75" customHeight="1" x14ac:dyDescent="0.2">
      <c r="A14" s="1596" t="s">
        <v>469</v>
      </c>
      <c r="B14" s="1598">
        <v>3000</v>
      </c>
      <c r="C14" s="1763">
        <f>'Expenditures 15-22'!K75</f>
        <v>458</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153081</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1018330</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7151047</v>
      </c>
      <c r="D17" s="1708">
        <f t="shared" si="2"/>
        <v>367168</v>
      </c>
      <c r="E17" s="1708">
        <f t="shared" si="2"/>
        <v>1018330</v>
      </c>
      <c r="F17" s="1708">
        <f t="shared" si="2"/>
        <v>661422</v>
      </c>
      <c r="G17" s="1708">
        <f t="shared" si="2"/>
        <v>264482</v>
      </c>
      <c r="H17" s="1708">
        <f t="shared" si="2"/>
        <v>0</v>
      </c>
      <c r="I17" s="468"/>
      <c r="J17" s="1708">
        <f>SUM(J12:J16)</f>
        <v>608479</v>
      </c>
      <c r="K17" s="1708">
        <f>SUM(K12:K16)</f>
        <v>0</v>
      </c>
      <c r="L17" s="347"/>
    </row>
    <row r="18" spans="1:12" ht="15" customHeight="1" thickTop="1" x14ac:dyDescent="0.2">
      <c r="A18" s="1764" t="s">
        <v>1752</v>
      </c>
      <c r="B18" s="1765">
        <v>4180</v>
      </c>
      <c r="C18" s="1762">
        <f t="shared" ref="C18:H18" si="3">C9</f>
        <v>3225651</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10376698</v>
      </c>
      <c r="D19" s="1708">
        <f t="shared" si="4"/>
        <v>367168</v>
      </c>
      <c r="E19" s="1708">
        <f t="shared" si="4"/>
        <v>1018330</v>
      </c>
      <c r="F19" s="1708">
        <f t="shared" si="4"/>
        <v>661422</v>
      </c>
      <c r="G19" s="1708">
        <f t="shared" si="4"/>
        <v>264482</v>
      </c>
      <c r="H19" s="1708">
        <f t="shared" si="4"/>
        <v>0</v>
      </c>
      <c r="I19" s="468"/>
      <c r="J19" s="1708">
        <f>SUM(J17:J18)</f>
        <v>608479</v>
      </c>
      <c r="K19" s="1708">
        <f>SUM(K17:K18)</f>
        <v>0</v>
      </c>
      <c r="L19" s="347"/>
    </row>
    <row r="20" spans="1:12" ht="16.5" thickTop="1" thickBot="1" x14ac:dyDescent="0.25">
      <c r="A20" s="2276" t="s">
        <v>1753</v>
      </c>
      <c r="B20" s="2277"/>
      <c r="C20" s="1766">
        <f>C8-C17</f>
        <v>325297</v>
      </c>
      <c r="D20" s="1766">
        <f t="shared" ref="D20:K20" si="5">D8-D17</f>
        <v>86755</v>
      </c>
      <c r="E20" s="1766">
        <f t="shared" si="5"/>
        <v>48556</v>
      </c>
      <c r="F20" s="1766">
        <f t="shared" si="5"/>
        <v>145474</v>
      </c>
      <c r="G20" s="1766">
        <f t="shared" si="5"/>
        <v>200007</v>
      </c>
      <c r="H20" s="1766">
        <f t="shared" si="5"/>
        <v>117543</v>
      </c>
      <c r="I20" s="1766">
        <f t="shared" si="5"/>
        <v>54527</v>
      </c>
      <c r="J20" s="1766">
        <f t="shared" si="5"/>
        <v>775</v>
      </c>
      <c r="K20" s="1766">
        <f t="shared" si="5"/>
        <v>45596</v>
      </c>
      <c r="L20" s="347"/>
    </row>
    <row r="21" spans="1:12" ht="16.7" customHeight="1" thickTop="1" x14ac:dyDescent="0.2">
      <c r="A21" s="2288" t="s">
        <v>616</v>
      </c>
      <c r="B21" s="2289"/>
      <c r="C21" s="1590"/>
      <c r="D21" s="1591"/>
      <c r="E21" s="1591"/>
      <c r="F21" s="1591"/>
      <c r="G21" s="1591"/>
      <c r="H21" s="1591"/>
      <c r="I21" s="1591"/>
      <c r="J21" s="1591"/>
      <c r="K21" s="1592"/>
      <c r="L21" s="522"/>
    </row>
    <row r="22" spans="1:12" ht="15.75" customHeight="1" collapsed="1" x14ac:dyDescent="0.2">
      <c r="A22" s="2284" t="s">
        <v>617</v>
      </c>
      <c r="B22" s="2285"/>
      <c r="C22" s="476"/>
      <c r="D22" s="476"/>
      <c r="E22" s="476"/>
      <c r="F22" s="476"/>
      <c r="G22" s="476"/>
      <c r="H22" s="476"/>
      <c r="I22" s="476"/>
      <c r="J22" s="476"/>
      <c r="K22" s="476"/>
      <c r="L22" s="347"/>
    </row>
    <row r="23" spans="1:12" s="484" customFormat="1" ht="15.75" customHeight="1" x14ac:dyDescent="0.2">
      <c r="A23" s="2280" t="s">
        <v>311</v>
      </c>
      <c r="B23" s="2281"/>
      <c r="C23" s="479"/>
      <c r="D23" s="476"/>
      <c r="E23" s="476"/>
      <c r="F23" s="476"/>
      <c r="G23" s="476"/>
      <c r="H23" s="476"/>
      <c r="I23" s="476"/>
      <c r="J23" s="476"/>
      <c r="K23" s="476"/>
      <c r="L23" s="522"/>
    </row>
    <row r="24" spans="1:12" s="484" customFormat="1" ht="13.5" customHeight="1" x14ac:dyDescent="0.2">
      <c r="A24" s="1509" t="s">
        <v>1754</v>
      </c>
      <c r="B24" s="523">
        <v>7110</v>
      </c>
      <c r="C24" s="465">
        <v>0</v>
      </c>
      <c r="D24" s="476"/>
      <c r="E24" s="476"/>
      <c r="F24" s="476"/>
      <c r="G24" s="476"/>
      <c r="H24" s="476"/>
      <c r="I24" s="476"/>
      <c r="J24" s="476"/>
      <c r="K24" s="476"/>
      <c r="L24" s="522"/>
    </row>
    <row r="25" spans="1:12" s="484" customFormat="1" ht="13.5" customHeight="1" x14ac:dyDescent="0.2">
      <c r="A25" s="1509" t="s">
        <v>1755</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9500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1892</v>
      </c>
      <c r="B30" s="525">
        <v>7160</v>
      </c>
      <c r="C30" s="476"/>
      <c r="D30" s="467">
        <v>0</v>
      </c>
      <c r="E30" s="476"/>
      <c r="F30" s="476"/>
      <c r="G30" s="476"/>
      <c r="H30" s="476"/>
      <c r="I30" s="476"/>
      <c r="J30" s="476"/>
      <c r="K30" s="476"/>
      <c r="L30" s="522"/>
    </row>
    <row r="31" spans="1:12" s="484" customFormat="1" ht="26.25" x14ac:dyDescent="0.2">
      <c r="A31" s="1509" t="s">
        <v>1896</v>
      </c>
      <c r="B31" s="525">
        <v>7170</v>
      </c>
      <c r="C31" s="476"/>
      <c r="D31" s="476"/>
      <c r="E31" s="474">
        <v>0</v>
      </c>
      <c r="F31" s="476"/>
      <c r="G31" s="476"/>
      <c r="H31" s="476"/>
      <c r="I31" s="476"/>
      <c r="J31" s="476"/>
      <c r="K31" s="476"/>
      <c r="L31" s="522"/>
    </row>
    <row r="32" spans="1:12" s="484" customFormat="1" ht="15.75" customHeight="1" x14ac:dyDescent="0.2">
      <c r="A32" s="2282" t="s">
        <v>1038</v>
      </c>
      <c r="B32" s="2283"/>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1756</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290" t="s">
        <v>392</v>
      </c>
      <c r="B44" s="2291"/>
      <c r="C44" s="1723">
        <f>SUM(C24:C43)</f>
        <v>9500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284" t="s">
        <v>110</v>
      </c>
      <c r="B45" s="2285"/>
      <c r="C45" s="526"/>
      <c r="D45" s="526"/>
      <c r="E45" s="526"/>
      <c r="F45" s="526"/>
      <c r="G45" s="526"/>
      <c r="H45" s="526"/>
      <c r="I45" s="526"/>
      <c r="J45" s="526"/>
      <c r="K45" s="526"/>
      <c r="L45" s="347"/>
    </row>
    <row r="46" spans="1:12" s="484" customFormat="1" ht="15.75" customHeight="1" x14ac:dyDescent="0.2">
      <c r="A46" s="2292" t="s">
        <v>111</v>
      </c>
      <c r="B46" s="2293"/>
      <c r="C46" s="476"/>
      <c r="D46" s="476"/>
      <c r="E46" s="476"/>
      <c r="F46" s="476"/>
      <c r="G46" s="476"/>
      <c r="H46" s="476"/>
      <c r="I46" s="479"/>
      <c r="J46" s="476"/>
      <c r="K46" s="476"/>
      <c r="L46" s="527"/>
    </row>
    <row r="47" spans="1:12" s="484" customFormat="1" ht="15" x14ac:dyDescent="0.2">
      <c r="A47" s="1510" t="s">
        <v>1757</v>
      </c>
      <c r="B47" s="482">
        <v>8110</v>
      </c>
      <c r="C47" s="476"/>
      <c r="D47" s="476"/>
      <c r="E47" s="476"/>
      <c r="F47" s="476"/>
      <c r="G47" s="476"/>
      <c r="H47" s="476"/>
      <c r="I47" s="1763">
        <f>SUM(C24,C25:H25,J25:K25)</f>
        <v>0</v>
      </c>
      <c r="J47" s="476"/>
      <c r="K47" s="476"/>
      <c r="L47" s="527"/>
    </row>
    <row r="48" spans="1:12" s="484" customFormat="1" ht="15" x14ac:dyDescent="0.2">
      <c r="A48" s="1510" t="s">
        <v>1758</v>
      </c>
      <c r="B48" s="482">
        <v>8120</v>
      </c>
      <c r="C48" s="479"/>
      <c r="D48" s="479"/>
      <c r="E48" s="476"/>
      <c r="F48" s="479"/>
      <c r="G48" s="476"/>
      <c r="H48" s="476"/>
      <c r="I48" s="1763">
        <f>SUM(C26:H26,J26,K26)</f>
        <v>9500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1895</v>
      </c>
      <c r="B52" s="482">
        <v>8160</v>
      </c>
      <c r="C52" s="476"/>
      <c r="D52" s="476"/>
      <c r="E52" s="476"/>
      <c r="F52" s="476"/>
      <c r="G52" s="476"/>
      <c r="H52" s="476"/>
      <c r="I52" s="476"/>
      <c r="J52" s="476"/>
      <c r="K52" s="1763">
        <f>D30</f>
        <v>0</v>
      </c>
      <c r="L52" s="522"/>
    </row>
    <row r="53" spans="1:12" s="484" customFormat="1" ht="26.25" x14ac:dyDescent="0.2">
      <c r="A53" s="1510" t="s">
        <v>1894</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266" t="s">
        <v>460</v>
      </c>
      <c r="B76" s="2267"/>
      <c r="C76" s="1723">
        <f t="shared" ref="C76:K76" si="7">SUM(C47:C75)</f>
        <v>0</v>
      </c>
      <c r="D76" s="1723">
        <f t="shared" si="7"/>
        <v>0</v>
      </c>
      <c r="E76" s="1723">
        <f t="shared" si="7"/>
        <v>0</v>
      </c>
      <c r="F76" s="1723">
        <f t="shared" si="7"/>
        <v>0</v>
      </c>
      <c r="G76" s="1723">
        <f t="shared" si="7"/>
        <v>0</v>
      </c>
      <c r="H76" s="1723">
        <f t="shared" si="7"/>
        <v>0</v>
      </c>
      <c r="I76" s="1723">
        <f t="shared" si="7"/>
        <v>9500</v>
      </c>
      <c r="J76" s="1723">
        <f t="shared" si="7"/>
        <v>0</v>
      </c>
      <c r="K76" s="1723">
        <f t="shared" si="7"/>
        <v>0</v>
      </c>
      <c r="L76" s="522"/>
    </row>
    <row r="77" spans="1:12" ht="14.25" thickTop="1" thickBot="1" x14ac:dyDescent="0.25">
      <c r="A77" s="2268" t="s">
        <v>1239</v>
      </c>
      <c r="B77" s="2269"/>
      <c r="C77" s="1723">
        <f t="shared" ref="C77:K77" si="8">C44-C76</f>
        <v>9500</v>
      </c>
      <c r="D77" s="1723">
        <f t="shared" si="8"/>
        <v>0</v>
      </c>
      <c r="E77" s="1723">
        <f t="shared" si="8"/>
        <v>0</v>
      </c>
      <c r="F77" s="1723">
        <f t="shared" si="8"/>
        <v>0</v>
      </c>
      <c r="G77" s="1723">
        <f t="shared" si="8"/>
        <v>0</v>
      </c>
      <c r="H77" s="1723">
        <f t="shared" si="8"/>
        <v>0</v>
      </c>
      <c r="I77" s="1723">
        <f t="shared" si="8"/>
        <v>-9500</v>
      </c>
      <c r="J77" s="1723">
        <f t="shared" si="8"/>
        <v>0</v>
      </c>
      <c r="K77" s="1723">
        <f t="shared" si="8"/>
        <v>0</v>
      </c>
      <c r="L77" s="347"/>
    </row>
    <row r="78" spans="1:12" ht="21.75" customHeight="1" thickTop="1" thickBot="1" x14ac:dyDescent="0.25">
      <c r="A78" s="2272" t="s">
        <v>618</v>
      </c>
      <c r="B78" s="2273"/>
      <c r="C78" s="1722">
        <f t="shared" ref="C78:K78" si="9">C20+C77</f>
        <v>334797</v>
      </c>
      <c r="D78" s="1722">
        <f t="shared" si="9"/>
        <v>86755</v>
      </c>
      <c r="E78" s="1722">
        <f t="shared" si="9"/>
        <v>48556</v>
      </c>
      <c r="F78" s="1722">
        <f t="shared" si="9"/>
        <v>145474</v>
      </c>
      <c r="G78" s="1722">
        <f t="shared" si="9"/>
        <v>200007</v>
      </c>
      <c r="H78" s="1722">
        <f t="shared" si="9"/>
        <v>117543</v>
      </c>
      <c r="I78" s="1722">
        <f t="shared" si="9"/>
        <v>45027</v>
      </c>
      <c r="J78" s="1722">
        <f t="shared" si="9"/>
        <v>775</v>
      </c>
      <c r="K78" s="1722">
        <f t="shared" si="9"/>
        <v>45596</v>
      </c>
      <c r="L78" s="531"/>
    </row>
    <row r="79" spans="1:12" ht="13.5" thickTop="1" x14ac:dyDescent="0.2">
      <c r="A79" s="1514" t="s">
        <v>2068</v>
      </c>
      <c r="B79" s="532"/>
      <c r="C79" s="467">
        <v>2285166</v>
      </c>
      <c r="D79" s="467">
        <v>417232</v>
      </c>
      <c r="E79" s="467">
        <v>156155</v>
      </c>
      <c r="F79" s="467">
        <v>433749</v>
      </c>
      <c r="G79" s="467">
        <v>474398</v>
      </c>
      <c r="H79" s="467">
        <v>-324507</v>
      </c>
      <c r="I79" s="467">
        <v>1259300</v>
      </c>
      <c r="J79" s="467">
        <v>100795</v>
      </c>
      <c r="K79" s="467">
        <v>43603</v>
      </c>
      <c r="L79" s="347"/>
    </row>
    <row r="80" spans="1:12" x14ac:dyDescent="0.2">
      <c r="A80" s="2278" t="s">
        <v>1893</v>
      </c>
      <c r="B80" s="2279"/>
      <c r="C80" s="467">
        <v>0</v>
      </c>
      <c r="D80" s="467">
        <v>0</v>
      </c>
      <c r="E80" s="467">
        <v>0</v>
      </c>
      <c r="F80" s="467">
        <v>0</v>
      </c>
      <c r="G80" s="467">
        <v>0</v>
      </c>
      <c r="H80" s="467">
        <v>0</v>
      </c>
      <c r="I80" s="467">
        <v>0</v>
      </c>
      <c r="J80" s="467">
        <v>0</v>
      </c>
      <c r="K80" s="467">
        <v>0</v>
      </c>
      <c r="L80" s="347"/>
    </row>
    <row r="81" spans="1:12" ht="13.5" thickBot="1" x14ac:dyDescent="0.25">
      <c r="A81" s="2270" t="s">
        <v>2069</v>
      </c>
      <c r="B81" s="2271"/>
      <c r="C81" s="1708">
        <f>(SUM(C78:C80))</f>
        <v>2619963</v>
      </c>
      <c r="D81" s="1708">
        <f>SUM(D78:D80)</f>
        <v>503987</v>
      </c>
      <c r="E81" s="1708">
        <f t="shared" ref="E81:K81" si="10">SUM(E78:E80)</f>
        <v>204711</v>
      </c>
      <c r="F81" s="1708">
        <f t="shared" si="10"/>
        <v>579223</v>
      </c>
      <c r="G81" s="1708">
        <f t="shared" si="10"/>
        <v>674405</v>
      </c>
      <c r="H81" s="1708">
        <f t="shared" si="10"/>
        <v>-206964</v>
      </c>
      <c r="I81" s="1708">
        <f t="shared" si="10"/>
        <v>1304327</v>
      </c>
      <c r="J81" s="1708">
        <f t="shared" si="10"/>
        <v>101570</v>
      </c>
      <c r="K81" s="1708">
        <f t="shared" si="10"/>
        <v>89199</v>
      </c>
      <c r="L81" s="347"/>
    </row>
    <row r="82" spans="1:12" ht="0.75" customHeight="1" thickTop="1" thickBot="1" x14ac:dyDescent="0.25">
      <c r="A82" s="534" t="s">
        <v>361</v>
      </c>
      <c r="B82" s="535"/>
      <c r="C82" s="536">
        <f>(C81-C79)</f>
        <v>334797</v>
      </c>
      <c r="D82" s="536">
        <f t="shared" ref="D82:K82" si="11">(D81-D79)</f>
        <v>86755</v>
      </c>
      <c r="E82" s="536">
        <f t="shared" si="11"/>
        <v>48556</v>
      </c>
      <c r="F82" s="536">
        <f t="shared" si="11"/>
        <v>145474</v>
      </c>
      <c r="G82" s="536">
        <f t="shared" si="11"/>
        <v>200007</v>
      </c>
      <c r="H82" s="536">
        <f t="shared" si="11"/>
        <v>117543</v>
      </c>
      <c r="I82" s="536">
        <f t="shared" si="11"/>
        <v>45027</v>
      </c>
      <c r="J82" s="536">
        <f t="shared" si="11"/>
        <v>775</v>
      </c>
      <c r="K82" s="536">
        <f t="shared" si="11"/>
        <v>45596</v>
      </c>
    </row>
    <row r="83" spans="1:12" ht="14.25" hidden="1" thickTop="1" thickBot="1" x14ac:dyDescent="0.25">
      <c r="A83" s="537" t="s">
        <v>362</v>
      </c>
      <c r="B83" s="464"/>
      <c r="C83" s="538">
        <f>C82/C81</f>
        <v>0.12778691912824722</v>
      </c>
      <c r="D83" s="538">
        <f t="shared" ref="D83:K83" si="12">D82/D81</f>
        <v>0.17213737655931602</v>
      </c>
      <c r="E83" s="538">
        <f t="shared" si="12"/>
        <v>0.23719292075169385</v>
      </c>
      <c r="F83" s="538">
        <f t="shared" si="12"/>
        <v>0.25115370073356896</v>
      </c>
      <c r="G83" s="538">
        <f t="shared" si="12"/>
        <v>0.29656808594242334</v>
      </c>
      <c r="H83" s="538">
        <f t="shared" si="12"/>
        <v>-0.5679393517713226</v>
      </c>
      <c r="I83" s="538">
        <f t="shared" si="12"/>
        <v>3.4521251189310653E-2</v>
      </c>
      <c r="J83" s="538">
        <f t="shared" si="12"/>
        <v>7.6302057694201042E-3</v>
      </c>
      <c r="K83" s="538">
        <f t="shared" si="12"/>
        <v>0.51117164990638908</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74" t="s">
        <v>1900</v>
      </c>
      <c r="B1" s="452"/>
      <c r="C1" s="453" t="s">
        <v>445</v>
      </c>
      <c r="D1" s="453" t="s">
        <v>446</v>
      </c>
      <c r="E1" s="453" t="s">
        <v>447</v>
      </c>
      <c r="F1" s="453" t="s">
        <v>448</v>
      </c>
      <c r="G1" s="453" t="s">
        <v>449</v>
      </c>
      <c r="H1" s="453" t="s">
        <v>450</v>
      </c>
      <c r="I1" s="453" t="s">
        <v>451</v>
      </c>
      <c r="J1" s="453" t="s">
        <v>452</v>
      </c>
      <c r="K1" s="453" t="s">
        <v>780</v>
      </c>
    </row>
    <row r="2" spans="1:12" ht="36" x14ac:dyDescent="0.2">
      <c r="A2" s="2275"/>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1759</v>
      </c>
      <c r="B5" s="545"/>
      <c r="C5" s="480">
        <v>1960299</v>
      </c>
      <c r="D5" s="480">
        <v>445522</v>
      </c>
      <c r="E5" s="480">
        <v>877931</v>
      </c>
      <c r="F5" s="546">
        <v>178209</v>
      </c>
      <c r="G5" s="466">
        <v>199882</v>
      </c>
      <c r="H5" s="466">
        <v>0</v>
      </c>
      <c r="I5" s="466">
        <v>44553</v>
      </c>
      <c r="J5" s="466">
        <v>579596</v>
      </c>
      <c r="K5" s="466">
        <v>44553</v>
      </c>
    </row>
    <row r="6" spans="1:12" ht="15" x14ac:dyDescent="0.2">
      <c r="A6" s="463" t="s">
        <v>1760</v>
      </c>
      <c r="B6" s="470">
        <v>1130</v>
      </c>
      <c r="C6" s="466">
        <v>44550</v>
      </c>
      <c r="D6" s="466">
        <v>0</v>
      </c>
      <c r="E6" s="475"/>
      <c r="F6" s="475"/>
      <c r="G6" s="468"/>
      <c r="H6" s="468"/>
      <c r="I6" s="468"/>
      <c r="J6" s="468"/>
      <c r="K6" s="468"/>
    </row>
    <row r="7" spans="1:12" x14ac:dyDescent="0.2">
      <c r="A7" s="463" t="s">
        <v>112</v>
      </c>
      <c r="B7" s="547">
        <v>1140</v>
      </c>
      <c r="C7" s="466">
        <v>35642</v>
      </c>
      <c r="D7" s="466">
        <v>0</v>
      </c>
      <c r="E7" s="468"/>
      <c r="F7" s="467">
        <v>0</v>
      </c>
      <c r="G7" s="467">
        <v>0</v>
      </c>
      <c r="H7" s="467">
        <v>0</v>
      </c>
      <c r="I7" s="468"/>
      <c r="J7" s="468"/>
      <c r="K7" s="468"/>
    </row>
    <row r="8" spans="1:12" x14ac:dyDescent="0.2">
      <c r="A8" s="463" t="s">
        <v>433</v>
      </c>
      <c r="B8" s="470">
        <v>1150</v>
      </c>
      <c r="C8" s="475"/>
      <c r="D8" s="475"/>
      <c r="E8" s="476"/>
      <c r="F8" s="476"/>
      <c r="G8" s="480">
        <v>249875</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2040491</v>
      </c>
      <c r="D12" s="1727">
        <f t="shared" si="0"/>
        <v>445522</v>
      </c>
      <c r="E12" s="1727">
        <f t="shared" si="0"/>
        <v>877931</v>
      </c>
      <c r="F12" s="1727">
        <f t="shared" si="0"/>
        <v>178209</v>
      </c>
      <c r="G12" s="1727">
        <f t="shared" si="0"/>
        <v>449757</v>
      </c>
      <c r="H12" s="1727">
        <f t="shared" si="0"/>
        <v>0</v>
      </c>
      <c r="I12" s="1727">
        <f t="shared" si="0"/>
        <v>44553</v>
      </c>
      <c r="J12" s="1727">
        <f t="shared" si="0"/>
        <v>579596</v>
      </c>
      <c r="K12" s="1708">
        <f t="shared" si="0"/>
        <v>44553</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1231</v>
      </c>
      <c r="D14" s="466">
        <v>269</v>
      </c>
      <c r="E14" s="466">
        <v>529</v>
      </c>
      <c r="F14" s="466">
        <v>107</v>
      </c>
      <c r="G14" s="466">
        <v>271</v>
      </c>
      <c r="H14" s="466">
        <v>0</v>
      </c>
      <c r="I14" s="466">
        <v>27</v>
      </c>
      <c r="J14" s="467">
        <v>350</v>
      </c>
      <c r="K14" s="466">
        <v>27</v>
      </c>
    </row>
    <row r="15" spans="1:12" ht="12.75" customHeight="1" x14ac:dyDescent="0.2">
      <c r="A15" s="463" t="s">
        <v>97</v>
      </c>
      <c r="B15" s="470">
        <v>1220</v>
      </c>
      <c r="C15" s="549">
        <v>2267</v>
      </c>
      <c r="D15" s="466">
        <v>497</v>
      </c>
      <c r="E15" s="466">
        <v>778</v>
      </c>
      <c r="F15" s="466">
        <v>196</v>
      </c>
      <c r="G15" s="466">
        <v>416</v>
      </c>
      <c r="H15" s="466">
        <v>0</v>
      </c>
      <c r="I15" s="466">
        <v>50</v>
      </c>
      <c r="J15" s="467">
        <v>580</v>
      </c>
      <c r="K15" s="466">
        <v>50</v>
      </c>
    </row>
    <row r="16" spans="1:12" ht="15" customHeight="1" x14ac:dyDescent="0.2">
      <c r="A16" s="463" t="s">
        <v>1761</v>
      </c>
      <c r="B16" s="547">
        <v>1230</v>
      </c>
      <c r="C16" s="549">
        <v>150845</v>
      </c>
      <c r="D16" s="466">
        <v>0</v>
      </c>
      <c r="E16" s="466">
        <v>0</v>
      </c>
      <c r="F16" s="466">
        <v>0</v>
      </c>
      <c r="G16" s="466">
        <v>6000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154343</v>
      </c>
      <c r="D18" s="1730">
        <f t="shared" ref="D18:K18" si="1">SUM(D14:D17)</f>
        <v>766</v>
      </c>
      <c r="E18" s="1730">
        <f t="shared" si="1"/>
        <v>1307</v>
      </c>
      <c r="F18" s="1730">
        <f t="shared" si="1"/>
        <v>303</v>
      </c>
      <c r="G18" s="1730">
        <f t="shared" si="1"/>
        <v>6687</v>
      </c>
      <c r="H18" s="1730">
        <f t="shared" si="1"/>
        <v>0</v>
      </c>
      <c r="I18" s="1730">
        <f t="shared" si="1"/>
        <v>77</v>
      </c>
      <c r="J18" s="1730">
        <f t="shared" si="1"/>
        <v>930</v>
      </c>
      <c r="K18" s="1731">
        <f t="shared" si="1"/>
        <v>77</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33932</v>
      </c>
      <c r="D65" s="466">
        <v>7068</v>
      </c>
      <c r="E65" s="466">
        <v>4530</v>
      </c>
      <c r="F65" s="467">
        <v>5661</v>
      </c>
      <c r="G65" s="466">
        <v>8023</v>
      </c>
      <c r="H65" s="466">
        <v>1429</v>
      </c>
      <c r="I65" s="466">
        <v>9897</v>
      </c>
      <c r="J65" s="467">
        <v>6268</v>
      </c>
      <c r="K65" s="466">
        <v>966</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33932</v>
      </c>
      <c r="D67" s="1708">
        <f t="shared" ref="D67:K67" si="2">SUM(D65:D66)</f>
        <v>7068</v>
      </c>
      <c r="E67" s="1708">
        <f t="shared" si="2"/>
        <v>4530</v>
      </c>
      <c r="F67" s="1708">
        <f t="shared" si="2"/>
        <v>5661</v>
      </c>
      <c r="G67" s="1708">
        <f t="shared" si="2"/>
        <v>8023</v>
      </c>
      <c r="H67" s="1708">
        <f t="shared" si="2"/>
        <v>1429</v>
      </c>
      <c r="I67" s="1708">
        <f t="shared" si="2"/>
        <v>9897</v>
      </c>
      <c r="J67" s="1708">
        <f t="shared" si="2"/>
        <v>6268</v>
      </c>
      <c r="K67" s="1708">
        <f t="shared" si="2"/>
        <v>966</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16102</v>
      </c>
      <c r="D69" s="468"/>
      <c r="E69" s="468"/>
      <c r="F69" s="468"/>
      <c r="G69" s="468"/>
      <c r="H69" s="468"/>
      <c r="I69" s="468"/>
      <c r="J69" s="468"/>
      <c r="K69" s="468"/>
    </row>
    <row r="70" spans="1:11" ht="12.75" customHeight="1" x14ac:dyDescent="0.2">
      <c r="A70" s="463" t="s">
        <v>1054</v>
      </c>
      <c r="B70" s="470">
        <v>1612</v>
      </c>
      <c r="C70" s="549">
        <v>1528</v>
      </c>
      <c r="D70" s="468"/>
      <c r="E70" s="468"/>
      <c r="F70" s="468"/>
      <c r="G70" s="468"/>
      <c r="H70" s="468"/>
      <c r="I70" s="468"/>
      <c r="J70" s="468"/>
      <c r="K70" s="468"/>
    </row>
    <row r="71" spans="1:11" ht="12.75" customHeight="1" x14ac:dyDescent="0.2">
      <c r="A71" s="463" t="s">
        <v>291</v>
      </c>
      <c r="B71" s="470">
        <v>1613</v>
      </c>
      <c r="C71" s="549">
        <v>16902</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2317</v>
      </c>
      <c r="D73" s="468"/>
      <c r="E73" s="468"/>
      <c r="F73" s="468"/>
      <c r="G73" s="468"/>
      <c r="H73" s="468"/>
      <c r="I73" s="468"/>
      <c r="J73" s="468"/>
      <c r="K73" s="468"/>
    </row>
    <row r="74" spans="1:11" ht="12.75" customHeight="1" x14ac:dyDescent="0.2">
      <c r="A74" s="463" t="s">
        <v>25</v>
      </c>
      <c r="B74" s="470">
        <v>1690</v>
      </c>
      <c r="C74" s="549">
        <v>8337</v>
      </c>
      <c r="D74" s="468"/>
      <c r="E74" s="468"/>
      <c r="F74" s="468"/>
      <c r="G74" s="468"/>
      <c r="H74" s="468"/>
      <c r="I74" s="468"/>
      <c r="J74" s="468"/>
      <c r="K74" s="468"/>
    </row>
    <row r="75" spans="1:11" ht="12.75" customHeight="1" thickBot="1" x14ac:dyDescent="0.25">
      <c r="A75" s="1728" t="s">
        <v>569</v>
      </c>
      <c r="B75" s="1729"/>
      <c r="C75" s="1708">
        <f>SUM(C69:C74)</f>
        <v>45186</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14264</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13416</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27680</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41781</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41781</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13000</v>
      </c>
      <c r="G98" s="510"/>
      <c r="H98" s="510"/>
      <c r="I98" s="508"/>
      <c r="J98" s="510"/>
      <c r="K98" s="510"/>
    </row>
    <row r="99" spans="1:12" ht="12.75" customHeight="1" x14ac:dyDescent="0.2">
      <c r="A99" s="463" t="s">
        <v>875</v>
      </c>
      <c r="B99" s="470">
        <v>1950</v>
      </c>
      <c r="C99" s="487">
        <v>82515</v>
      </c>
      <c r="D99" s="466">
        <v>523</v>
      </c>
      <c r="E99" s="466">
        <v>0</v>
      </c>
      <c r="F99" s="466">
        <v>93</v>
      </c>
      <c r="G99" s="466">
        <v>0</v>
      </c>
      <c r="H99" s="466">
        <v>0</v>
      </c>
      <c r="I99" s="468"/>
      <c r="J99" s="467">
        <v>22460</v>
      </c>
      <c r="K99" s="466">
        <v>0</v>
      </c>
    </row>
    <row r="100" spans="1:12" ht="12.75" customHeight="1" x14ac:dyDescent="0.2">
      <c r="A100" s="463" t="s">
        <v>263</v>
      </c>
      <c r="B100" s="470">
        <v>1960</v>
      </c>
      <c r="C100" s="487">
        <v>29756</v>
      </c>
      <c r="D100" s="487">
        <v>0</v>
      </c>
      <c r="E100" s="487">
        <v>0</v>
      </c>
      <c r="F100" s="487">
        <v>0</v>
      </c>
      <c r="G100" s="487">
        <v>0</v>
      </c>
      <c r="H100" s="487">
        <v>0</v>
      </c>
      <c r="I100" s="467">
        <v>0</v>
      </c>
      <c r="J100" s="487">
        <v>0</v>
      </c>
      <c r="K100" s="467">
        <v>0</v>
      </c>
    </row>
    <row r="101" spans="1:12" ht="12.75" customHeight="1" x14ac:dyDescent="0.2">
      <c r="A101" s="463" t="s">
        <v>264</v>
      </c>
      <c r="B101" s="470">
        <v>1970</v>
      </c>
      <c r="C101" s="487">
        <v>6025</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183118</v>
      </c>
      <c r="F103" s="468"/>
      <c r="G103" s="468"/>
      <c r="H103" s="487">
        <v>116114</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46234</v>
      </c>
      <c r="D107" s="466">
        <v>44</v>
      </c>
      <c r="E107" s="466">
        <v>0</v>
      </c>
      <c r="F107" s="466">
        <v>13320</v>
      </c>
      <c r="G107" s="466">
        <v>22</v>
      </c>
      <c r="H107" s="466">
        <v>0</v>
      </c>
      <c r="I107" s="466">
        <v>0</v>
      </c>
      <c r="J107" s="467">
        <v>0</v>
      </c>
      <c r="K107" s="466">
        <v>0</v>
      </c>
    </row>
    <row r="108" spans="1:12" ht="12.75" customHeight="1" thickBot="1" x14ac:dyDescent="0.25">
      <c r="A108" s="1728" t="s">
        <v>508</v>
      </c>
      <c r="B108" s="1732"/>
      <c r="C108" s="1727">
        <f>SUM(C95:C107)</f>
        <v>164530</v>
      </c>
      <c r="D108" s="1727">
        <f t="shared" ref="D108:K108" si="3">SUM(D95:D107)</f>
        <v>567</v>
      </c>
      <c r="E108" s="1727">
        <f t="shared" si="3"/>
        <v>183118</v>
      </c>
      <c r="F108" s="1727">
        <f t="shared" si="3"/>
        <v>26413</v>
      </c>
      <c r="G108" s="1727">
        <f t="shared" si="3"/>
        <v>22</v>
      </c>
      <c r="H108" s="1727">
        <f t="shared" si="3"/>
        <v>116114</v>
      </c>
      <c r="I108" s="1727">
        <f t="shared" si="3"/>
        <v>0</v>
      </c>
      <c r="J108" s="1727">
        <f t="shared" si="3"/>
        <v>22460</v>
      </c>
      <c r="K108" s="1708">
        <f t="shared" si="3"/>
        <v>0</v>
      </c>
    </row>
    <row r="109" spans="1:12" ht="14.25" thickTop="1" thickBot="1" x14ac:dyDescent="0.25">
      <c r="A109" s="1733" t="s">
        <v>266</v>
      </c>
      <c r="B109" s="1734" t="s">
        <v>591</v>
      </c>
      <c r="C109" s="1735">
        <f t="shared" ref="C109:K109" si="4">SUM(C12,C18,C40,C63,C67,C75,C82,C93,C108,)</f>
        <v>2507943</v>
      </c>
      <c r="D109" s="1735">
        <f t="shared" si="4"/>
        <v>453923</v>
      </c>
      <c r="E109" s="1735">
        <f t="shared" si="4"/>
        <v>1066886</v>
      </c>
      <c r="F109" s="1735">
        <f t="shared" si="4"/>
        <v>210586</v>
      </c>
      <c r="G109" s="1735">
        <f t="shared" si="4"/>
        <v>464489</v>
      </c>
      <c r="H109" s="1735">
        <f t="shared" si="4"/>
        <v>117543</v>
      </c>
      <c r="I109" s="1735">
        <f t="shared" si="4"/>
        <v>54527</v>
      </c>
      <c r="J109" s="1735">
        <f t="shared" si="4"/>
        <v>609254</v>
      </c>
      <c r="K109" s="1722">
        <f t="shared" si="4"/>
        <v>45596</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1765</v>
      </c>
      <c r="B117" s="560">
        <v>3001</v>
      </c>
      <c r="C117" s="514">
        <v>3801176</v>
      </c>
      <c r="D117" s="480">
        <v>0</v>
      </c>
      <c r="E117" s="466">
        <v>0</v>
      </c>
      <c r="F117" s="480">
        <v>0</v>
      </c>
      <c r="G117" s="480">
        <v>0</v>
      </c>
      <c r="H117" s="466">
        <v>0</v>
      </c>
      <c r="I117" s="468"/>
      <c r="J117" s="467">
        <v>0</v>
      </c>
      <c r="K117" s="466">
        <v>0</v>
      </c>
    </row>
    <row r="118" spans="1:11" ht="12.75" customHeight="1" x14ac:dyDescent="0.2">
      <c r="A118" s="463" t="s">
        <v>1897</v>
      </c>
      <c r="B118" s="560">
        <v>3002</v>
      </c>
      <c r="C118" s="549">
        <v>0</v>
      </c>
      <c r="D118" s="466">
        <v>0</v>
      </c>
      <c r="E118" s="466">
        <v>0</v>
      </c>
      <c r="F118" s="466">
        <v>0</v>
      </c>
      <c r="G118" s="466">
        <v>0</v>
      </c>
      <c r="H118" s="466">
        <v>0</v>
      </c>
      <c r="I118" s="468"/>
      <c r="J118" s="467">
        <v>0</v>
      </c>
      <c r="K118" s="466">
        <v>0</v>
      </c>
    </row>
    <row r="119" spans="1:11" ht="12.75" customHeight="1" x14ac:dyDescent="0.2">
      <c r="A119" s="463" t="s">
        <v>1898</v>
      </c>
      <c r="B119" s="560">
        <v>3005</v>
      </c>
      <c r="C119" s="549">
        <v>0</v>
      </c>
      <c r="D119" s="466">
        <v>0</v>
      </c>
      <c r="E119" s="466">
        <v>0</v>
      </c>
      <c r="F119" s="466">
        <v>0</v>
      </c>
      <c r="G119" s="466">
        <v>0</v>
      </c>
      <c r="H119" s="466">
        <v>0</v>
      </c>
      <c r="I119" s="468"/>
      <c r="J119" s="467">
        <v>0</v>
      </c>
      <c r="K119" s="466">
        <v>0</v>
      </c>
    </row>
    <row r="120" spans="1:11" x14ac:dyDescent="0.2">
      <c r="A120" s="1516" t="s">
        <v>1899</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3801176</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66303</v>
      </c>
      <c r="D124" s="559"/>
      <c r="E124" s="468"/>
      <c r="F124" s="546">
        <v>0</v>
      </c>
      <c r="G124" s="468"/>
      <c r="H124" s="468"/>
      <c r="I124" s="468"/>
      <c r="J124" s="468"/>
      <c r="K124" s="468"/>
    </row>
    <row r="125" spans="1:11" ht="12.75" customHeight="1" x14ac:dyDescent="0.2">
      <c r="A125" s="463" t="s">
        <v>1521</v>
      </c>
      <c r="B125" s="560">
        <v>3105</v>
      </c>
      <c r="C125" s="466">
        <v>65260</v>
      </c>
      <c r="D125" s="559"/>
      <c r="E125" s="468"/>
      <c r="F125" s="466">
        <v>0</v>
      </c>
      <c r="G125" s="468"/>
      <c r="H125" s="468"/>
      <c r="I125" s="468"/>
      <c r="J125" s="468"/>
      <c r="K125" s="468"/>
    </row>
    <row r="126" spans="1:11" ht="12.75" customHeight="1" x14ac:dyDescent="0.2">
      <c r="A126" s="463" t="s">
        <v>922</v>
      </c>
      <c r="B126" s="560">
        <v>3110</v>
      </c>
      <c r="C126" s="549">
        <v>74904</v>
      </c>
      <c r="D126" s="466">
        <v>0</v>
      </c>
      <c r="E126" s="468"/>
      <c r="F126" s="466">
        <v>0</v>
      </c>
      <c r="G126" s="468"/>
      <c r="H126" s="468"/>
      <c r="I126" s="468"/>
      <c r="J126" s="468"/>
      <c r="K126" s="468"/>
    </row>
    <row r="127" spans="1:11" ht="12.75" customHeight="1" x14ac:dyDescent="0.2">
      <c r="A127" s="463" t="s">
        <v>107</v>
      </c>
      <c r="B127" s="560">
        <v>3120</v>
      </c>
      <c r="C127" s="466">
        <v>29270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3776</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239513</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26251</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8939</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35190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7547</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12213</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413481</v>
      </c>
      <c r="G151" s="467">
        <v>0</v>
      </c>
      <c r="H151" s="468"/>
      <c r="I151" s="468"/>
      <c r="J151" s="468"/>
      <c r="K151" s="468"/>
    </row>
    <row r="152" spans="1:11" ht="12.75" customHeight="1" x14ac:dyDescent="0.2">
      <c r="A152" s="463" t="s">
        <v>1117</v>
      </c>
      <c r="B152" s="560">
        <v>3510</v>
      </c>
      <c r="C152" s="549">
        <v>0</v>
      </c>
      <c r="D152" s="466">
        <v>0</v>
      </c>
      <c r="E152" s="559"/>
      <c r="F152" s="466">
        <v>182829</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596310</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294" t="s">
        <v>418</v>
      </c>
      <c r="B172" s="2295"/>
      <c r="C172" s="1742">
        <f t="shared" ref="C172:K172" si="6">SUM(C131,C140,C144,C145:C149,C154,C155:C170,C171)</f>
        <v>295963</v>
      </c>
      <c r="D172" s="1742">
        <f t="shared" si="6"/>
        <v>0</v>
      </c>
      <c r="E172" s="1742">
        <f t="shared" si="6"/>
        <v>0</v>
      </c>
      <c r="F172" s="1742">
        <f t="shared" si="6"/>
        <v>596310</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4097139</v>
      </c>
      <c r="D173" s="1735">
        <f>SUM(D121,D172)</f>
        <v>0</v>
      </c>
      <c r="E173" s="1735">
        <f>SUM(E121,E172)</f>
        <v>0</v>
      </c>
      <c r="F173" s="1735">
        <f t="shared" ref="F173:K173" si="7">SUM(F121,F172)</f>
        <v>596310</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296" t="s">
        <v>1572</v>
      </c>
      <c r="B175" s="2297"/>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300" t="s">
        <v>1763</v>
      </c>
      <c r="B178" s="2301"/>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304" t="s">
        <v>1762</v>
      </c>
      <c r="B179" s="2305"/>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302" t="s">
        <v>818</v>
      </c>
      <c r="B184" s="2303"/>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298" t="s">
        <v>1901</v>
      </c>
      <c r="B185" s="2299"/>
      <c r="C185" s="582"/>
      <c r="D185" s="564"/>
      <c r="E185" s="507"/>
      <c r="F185" s="564"/>
      <c r="G185" s="564"/>
      <c r="H185" s="468"/>
      <c r="I185" s="468"/>
      <c r="J185" s="468"/>
      <c r="K185" s="468"/>
    </row>
    <row r="186" spans="1:11" ht="15.75" customHeight="1" x14ac:dyDescent="0.2">
      <c r="A186" s="1623" t="s">
        <v>1691</v>
      </c>
      <c r="B186" s="1624"/>
      <c r="C186" s="520"/>
      <c r="D186" s="519"/>
      <c r="E186" s="507"/>
      <c r="F186" s="519"/>
      <c r="G186" s="519"/>
      <c r="H186" s="468"/>
      <c r="I186" s="468"/>
      <c r="J186" s="468"/>
      <c r="K186" s="468"/>
    </row>
    <row r="187" spans="1:11" ht="12.75" customHeight="1" x14ac:dyDescent="0.2">
      <c r="A187" s="463" t="s">
        <v>1692</v>
      </c>
      <c r="B187" s="470">
        <v>4100</v>
      </c>
      <c r="C187" s="514">
        <v>0</v>
      </c>
      <c r="D187" s="480">
        <v>0</v>
      </c>
      <c r="E187" s="559"/>
      <c r="F187" s="480">
        <v>0</v>
      </c>
      <c r="G187" s="480">
        <v>0</v>
      </c>
      <c r="H187" s="468"/>
      <c r="I187" s="468"/>
      <c r="J187" s="468"/>
      <c r="K187" s="468"/>
    </row>
    <row r="188" spans="1:11" ht="12.75" customHeight="1" x14ac:dyDescent="0.2">
      <c r="A188" s="463" t="s">
        <v>1693</v>
      </c>
      <c r="B188" s="470">
        <v>4105</v>
      </c>
      <c r="C188" s="549">
        <v>0</v>
      </c>
      <c r="D188" s="466">
        <v>0</v>
      </c>
      <c r="E188" s="559"/>
      <c r="F188" s="466">
        <v>0</v>
      </c>
      <c r="G188" s="466">
        <v>0</v>
      </c>
      <c r="H188" s="468"/>
      <c r="I188" s="468"/>
      <c r="J188" s="468"/>
      <c r="K188" s="468"/>
    </row>
    <row r="189" spans="1:11" ht="12.75" customHeight="1" x14ac:dyDescent="0.2">
      <c r="A189" s="463" t="s">
        <v>1695</v>
      </c>
      <c r="B189" s="470">
        <v>4107</v>
      </c>
      <c r="C189" s="549">
        <v>0</v>
      </c>
      <c r="D189" s="466">
        <v>0</v>
      </c>
      <c r="E189" s="559"/>
      <c r="F189" s="466">
        <v>0</v>
      </c>
      <c r="G189" s="466">
        <v>0</v>
      </c>
      <c r="H189" s="468"/>
      <c r="I189" s="468"/>
      <c r="J189" s="468"/>
      <c r="K189" s="468"/>
    </row>
    <row r="190" spans="1:11" ht="12.75" customHeight="1" x14ac:dyDescent="0.2">
      <c r="A190" s="463" t="s">
        <v>1694</v>
      </c>
      <c r="B190" s="470">
        <v>4199</v>
      </c>
      <c r="C190" s="549">
        <v>0</v>
      </c>
      <c r="D190" s="466">
        <v>0</v>
      </c>
      <c r="E190" s="559"/>
      <c r="F190" s="466">
        <v>0</v>
      </c>
      <c r="G190" s="466">
        <v>0</v>
      </c>
      <c r="H190" s="468"/>
      <c r="I190" s="468"/>
      <c r="J190" s="468"/>
      <c r="K190" s="468"/>
    </row>
    <row r="191" spans="1:11" ht="12.75" customHeight="1" thickBot="1" x14ac:dyDescent="0.25">
      <c r="A191" s="1728" t="s">
        <v>1696</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290301</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137326</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427627</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143709</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143709</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12744</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106918</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119662</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39588</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22142</v>
      </c>
      <c r="D270" s="574">
        <v>0</v>
      </c>
      <c r="E270" s="468"/>
      <c r="F270" s="574">
        <v>0</v>
      </c>
      <c r="G270" s="574">
        <v>0</v>
      </c>
      <c r="H270" s="468"/>
      <c r="I270" s="468"/>
      <c r="J270" s="468"/>
      <c r="K270" s="468"/>
    </row>
    <row r="271" spans="1:11" ht="12.75" customHeight="1" thickTop="1" thickBot="1" x14ac:dyDescent="0.25">
      <c r="A271" s="463" t="s">
        <v>395</v>
      </c>
      <c r="B271" s="470">
        <v>4992</v>
      </c>
      <c r="C271" s="573">
        <v>68334</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50200</v>
      </c>
      <c r="D272" s="574">
        <v>0</v>
      </c>
      <c r="E272" s="468"/>
      <c r="F272" s="574">
        <v>0</v>
      </c>
      <c r="G272" s="574">
        <v>0</v>
      </c>
      <c r="H272" s="528">
        <v>0</v>
      </c>
      <c r="I272" s="468"/>
      <c r="J272" s="468"/>
      <c r="K272" s="528">
        <v>0</v>
      </c>
    </row>
    <row r="273" spans="1:11" ht="14.25" thickTop="1" thickBot="1" x14ac:dyDescent="0.25">
      <c r="A273" s="1728" t="s">
        <v>1764</v>
      </c>
      <c r="B273" s="1747"/>
      <c r="C273" s="1735">
        <f t="shared" ref="C273:H273" si="10">SUM(C191,C201,C211,C216,C224,C228,C229,C259:C272)</f>
        <v>871262</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871262</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7476344</v>
      </c>
      <c r="D275" s="1735">
        <f t="shared" si="12"/>
        <v>453923</v>
      </c>
      <c r="E275" s="1735">
        <f t="shared" si="12"/>
        <v>1066886</v>
      </c>
      <c r="F275" s="1735">
        <f t="shared" si="12"/>
        <v>806896</v>
      </c>
      <c r="G275" s="1735">
        <f t="shared" si="12"/>
        <v>464489</v>
      </c>
      <c r="H275" s="1735">
        <f t="shared" si="12"/>
        <v>117543</v>
      </c>
      <c r="I275" s="1735">
        <f t="shared" si="12"/>
        <v>54527</v>
      </c>
      <c r="J275" s="1735">
        <f t="shared" si="12"/>
        <v>609254</v>
      </c>
      <c r="K275" s="1722">
        <f t="shared" si="12"/>
        <v>45596</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74" t="s">
        <v>1900</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308"/>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314" t="s">
        <v>315</v>
      </c>
      <c r="B3" s="2315"/>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2001113</v>
      </c>
      <c r="D5" s="466">
        <v>701910</v>
      </c>
      <c r="E5" s="466">
        <v>6240</v>
      </c>
      <c r="F5" s="466">
        <v>32645</v>
      </c>
      <c r="G5" s="466">
        <v>0</v>
      </c>
      <c r="H5" s="466">
        <v>16382</v>
      </c>
      <c r="I5" s="467">
        <v>0</v>
      </c>
      <c r="J5" s="467">
        <v>0</v>
      </c>
      <c r="K5" s="1691">
        <f>SUM(C5:J5)</f>
        <v>2758290</v>
      </c>
      <c r="L5" s="466">
        <v>2922500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43765</v>
      </c>
      <c r="D7" s="467">
        <v>14893</v>
      </c>
      <c r="E7" s="467">
        <v>0</v>
      </c>
      <c r="F7" s="467">
        <v>109</v>
      </c>
      <c r="G7" s="467">
        <v>0</v>
      </c>
      <c r="H7" s="467">
        <v>0</v>
      </c>
      <c r="I7" s="467">
        <v>0</v>
      </c>
      <c r="J7" s="467">
        <v>0</v>
      </c>
      <c r="K7" s="1691">
        <f t="shared" ref="K7:K32" si="0">SUM(C7:J7)</f>
        <v>58767</v>
      </c>
      <c r="L7" s="466">
        <v>50400</v>
      </c>
    </row>
    <row r="8" spans="1:14" x14ac:dyDescent="0.2">
      <c r="A8" s="1524" t="s">
        <v>166</v>
      </c>
      <c r="B8" s="613">
        <v>1200</v>
      </c>
      <c r="C8" s="466">
        <v>811465</v>
      </c>
      <c r="D8" s="466">
        <v>260433</v>
      </c>
      <c r="E8" s="466">
        <v>30813</v>
      </c>
      <c r="F8" s="466">
        <v>4387</v>
      </c>
      <c r="G8" s="466">
        <v>0</v>
      </c>
      <c r="H8" s="466">
        <v>0</v>
      </c>
      <c r="I8" s="467">
        <v>0</v>
      </c>
      <c r="J8" s="467">
        <v>0</v>
      </c>
      <c r="K8" s="1691">
        <f t="shared" si="0"/>
        <v>1107098</v>
      </c>
      <c r="L8" s="466">
        <v>1050000</v>
      </c>
    </row>
    <row r="9" spans="1:14" x14ac:dyDescent="0.2">
      <c r="A9" s="1524" t="s">
        <v>745</v>
      </c>
      <c r="B9" s="613" t="s">
        <v>1025</v>
      </c>
      <c r="C9" s="467">
        <v>50099</v>
      </c>
      <c r="D9" s="467">
        <v>14242</v>
      </c>
      <c r="E9" s="467">
        <v>0</v>
      </c>
      <c r="F9" s="467">
        <v>531</v>
      </c>
      <c r="G9" s="467">
        <v>0</v>
      </c>
      <c r="H9" s="467">
        <v>0</v>
      </c>
      <c r="I9" s="467">
        <v>0</v>
      </c>
      <c r="J9" s="467">
        <v>0</v>
      </c>
      <c r="K9" s="1691">
        <f t="shared" si="0"/>
        <v>64872</v>
      </c>
      <c r="L9" s="466">
        <v>74000</v>
      </c>
    </row>
    <row r="10" spans="1:14" x14ac:dyDescent="0.2">
      <c r="A10" s="1524" t="s">
        <v>746</v>
      </c>
      <c r="B10" s="613">
        <v>1250</v>
      </c>
      <c r="C10" s="466">
        <v>65671</v>
      </c>
      <c r="D10" s="466">
        <v>10324</v>
      </c>
      <c r="E10" s="466">
        <v>7641</v>
      </c>
      <c r="F10" s="466">
        <v>1602</v>
      </c>
      <c r="G10" s="466">
        <v>0</v>
      </c>
      <c r="H10" s="466">
        <v>0</v>
      </c>
      <c r="I10" s="467">
        <v>0</v>
      </c>
      <c r="J10" s="467">
        <v>0</v>
      </c>
      <c r="K10" s="1691">
        <f t="shared" si="0"/>
        <v>85238</v>
      </c>
      <c r="L10" s="466">
        <v>96000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205027</v>
      </c>
      <c r="D13" s="466">
        <v>97182</v>
      </c>
      <c r="E13" s="466">
        <v>802</v>
      </c>
      <c r="F13" s="466">
        <v>10794</v>
      </c>
      <c r="G13" s="466">
        <v>0</v>
      </c>
      <c r="H13" s="466">
        <v>0</v>
      </c>
      <c r="I13" s="467">
        <v>0</v>
      </c>
      <c r="J13" s="467">
        <v>0</v>
      </c>
      <c r="K13" s="1691">
        <f t="shared" si="0"/>
        <v>313805</v>
      </c>
      <c r="L13" s="466">
        <v>316000</v>
      </c>
    </row>
    <row r="14" spans="1:14" x14ac:dyDescent="0.2">
      <c r="A14" s="1524" t="s">
        <v>1020</v>
      </c>
      <c r="B14" s="613">
        <v>1500</v>
      </c>
      <c r="C14" s="467">
        <v>126242</v>
      </c>
      <c r="D14" s="466">
        <v>11577</v>
      </c>
      <c r="E14" s="466">
        <v>28793</v>
      </c>
      <c r="F14" s="466">
        <v>17273</v>
      </c>
      <c r="G14" s="466">
        <v>0</v>
      </c>
      <c r="H14" s="466">
        <v>70</v>
      </c>
      <c r="I14" s="467">
        <v>0</v>
      </c>
      <c r="J14" s="467">
        <v>0</v>
      </c>
      <c r="K14" s="1691">
        <f t="shared" si="0"/>
        <v>183955</v>
      </c>
      <c r="L14" s="466">
        <v>176500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25641</v>
      </c>
      <c r="D17" s="467">
        <v>12495</v>
      </c>
      <c r="E17" s="467">
        <v>4594</v>
      </c>
      <c r="F17" s="467">
        <v>1080</v>
      </c>
      <c r="G17" s="467">
        <v>0</v>
      </c>
      <c r="H17" s="467">
        <v>0</v>
      </c>
      <c r="I17" s="467">
        <v>0</v>
      </c>
      <c r="J17" s="467">
        <v>0</v>
      </c>
      <c r="K17" s="1691">
        <f t="shared" si="0"/>
        <v>43810</v>
      </c>
      <c r="L17" s="466">
        <v>39450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292577</v>
      </c>
      <c r="I22" s="615"/>
      <c r="J22" s="476"/>
      <c r="K22" s="1691">
        <f t="shared" si="0"/>
        <v>292577</v>
      </c>
      <c r="L22" s="466">
        <v>300000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1766</v>
      </c>
      <c r="B33" s="1689" t="s">
        <v>591</v>
      </c>
      <c r="C33" s="1690">
        <f>SUM(C5:C32)</f>
        <v>3329023</v>
      </c>
      <c r="D33" s="1690">
        <f t="shared" ref="D33:L33" si="1">SUM(D5:D32)</f>
        <v>1123056</v>
      </c>
      <c r="E33" s="1690">
        <f t="shared" si="1"/>
        <v>78883</v>
      </c>
      <c r="F33" s="1690">
        <f t="shared" si="1"/>
        <v>68421</v>
      </c>
      <c r="G33" s="1690">
        <f t="shared" si="1"/>
        <v>0</v>
      </c>
      <c r="H33" s="1690">
        <f t="shared" si="1"/>
        <v>309029</v>
      </c>
      <c r="I33" s="1690">
        <f t="shared" si="1"/>
        <v>0</v>
      </c>
      <c r="J33" s="1690">
        <f t="shared" si="1"/>
        <v>0</v>
      </c>
      <c r="K33" s="1690">
        <f t="shared" si="1"/>
        <v>4908412</v>
      </c>
      <c r="L33" s="1690">
        <f t="shared" si="1"/>
        <v>5024850</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55853</v>
      </c>
      <c r="D37" s="466">
        <v>16584</v>
      </c>
      <c r="E37" s="466">
        <v>2521</v>
      </c>
      <c r="F37" s="466">
        <v>147</v>
      </c>
      <c r="G37" s="466">
        <v>0</v>
      </c>
      <c r="H37" s="466">
        <v>0</v>
      </c>
      <c r="I37" s="467">
        <v>0</v>
      </c>
      <c r="J37" s="467">
        <v>0</v>
      </c>
      <c r="K37" s="1691">
        <f t="shared" si="2"/>
        <v>75105</v>
      </c>
      <c r="L37" s="466">
        <v>70550</v>
      </c>
    </row>
    <row r="38" spans="1:14" x14ac:dyDescent="0.2">
      <c r="A38" s="1524" t="s">
        <v>207</v>
      </c>
      <c r="B38" s="613">
        <v>2130</v>
      </c>
      <c r="C38" s="466">
        <v>69532</v>
      </c>
      <c r="D38" s="466">
        <v>9291</v>
      </c>
      <c r="E38" s="466">
        <v>838</v>
      </c>
      <c r="F38" s="466">
        <v>1079</v>
      </c>
      <c r="G38" s="466">
        <v>0</v>
      </c>
      <c r="H38" s="466">
        <v>0</v>
      </c>
      <c r="I38" s="467">
        <v>0</v>
      </c>
      <c r="J38" s="467">
        <v>0</v>
      </c>
      <c r="K38" s="1691">
        <f t="shared" si="2"/>
        <v>80740</v>
      </c>
      <c r="L38" s="466">
        <v>85500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1767</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125385</v>
      </c>
      <c r="D42" s="1690">
        <f t="shared" ref="D42:L42" si="3">SUM(D36:D41)</f>
        <v>25875</v>
      </c>
      <c r="E42" s="1690">
        <f t="shared" si="3"/>
        <v>3359</v>
      </c>
      <c r="F42" s="1690">
        <f t="shared" si="3"/>
        <v>1226</v>
      </c>
      <c r="G42" s="1690">
        <f t="shared" si="3"/>
        <v>0</v>
      </c>
      <c r="H42" s="1690">
        <f t="shared" si="3"/>
        <v>0</v>
      </c>
      <c r="I42" s="1690">
        <f t="shared" si="3"/>
        <v>0</v>
      </c>
      <c r="J42" s="1690">
        <f t="shared" si="3"/>
        <v>0</v>
      </c>
      <c r="K42" s="1690">
        <f t="shared" si="3"/>
        <v>155845</v>
      </c>
      <c r="L42" s="1690">
        <f t="shared" si="3"/>
        <v>156050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9597</v>
      </c>
      <c r="D44" s="480">
        <v>737</v>
      </c>
      <c r="E44" s="480">
        <v>24417</v>
      </c>
      <c r="F44" s="480">
        <v>0</v>
      </c>
      <c r="G44" s="480">
        <v>0</v>
      </c>
      <c r="H44" s="480">
        <v>0</v>
      </c>
      <c r="I44" s="467">
        <v>0</v>
      </c>
      <c r="J44" s="467">
        <v>0</v>
      </c>
      <c r="K44" s="1692">
        <f>SUM(C44:J44)</f>
        <v>34751</v>
      </c>
      <c r="L44" s="480">
        <v>30000</v>
      </c>
    </row>
    <row r="45" spans="1:14" x14ac:dyDescent="0.2">
      <c r="A45" s="1524" t="s">
        <v>869</v>
      </c>
      <c r="B45" s="613">
        <v>2220</v>
      </c>
      <c r="C45" s="467">
        <v>118109</v>
      </c>
      <c r="D45" s="466">
        <v>27229</v>
      </c>
      <c r="E45" s="466">
        <v>86883</v>
      </c>
      <c r="F45" s="466">
        <v>14848</v>
      </c>
      <c r="G45" s="466">
        <v>49677</v>
      </c>
      <c r="H45" s="466">
        <v>0</v>
      </c>
      <c r="I45" s="467">
        <v>0</v>
      </c>
      <c r="J45" s="467">
        <v>0</v>
      </c>
      <c r="K45" s="1692">
        <f>SUM(C45:J45)</f>
        <v>296746</v>
      </c>
      <c r="L45" s="466">
        <v>329800</v>
      </c>
    </row>
    <row r="46" spans="1:14" x14ac:dyDescent="0.2">
      <c r="A46" s="1524" t="s">
        <v>870</v>
      </c>
      <c r="B46" s="613">
        <v>2230</v>
      </c>
      <c r="C46" s="467">
        <v>0</v>
      </c>
      <c r="D46" s="466">
        <v>0</v>
      </c>
      <c r="E46" s="466">
        <v>11774</v>
      </c>
      <c r="F46" s="466">
        <v>0</v>
      </c>
      <c r="G46" s="466">
        <v>0</v>
      </c>
      <c r="H46" s="466">
        <v>0</v>
      </c>
      <c r="I46" s="467">
        <v>0</v>
      </c>
      <c r="J46" s="467">
        <v>0</v>
      </c>
      <c r="K46" s="1692">
        <f>SUM(C46:J46)</f>
        <v>11774</v>
      </c>
      <c r="L46" s="466">
        <v>6300</v>
      </c>
    </row>
    <row r="47" spans="1:14" ht="12.75" customHeight="1" thickBot="1" x14ac:dyDescent="0.25">
      <c r="A47" s="1688" t="s">
        <v>582</v>
      </c>
      <c r="B47" s="1689" t="s">
        <v>32</v>
      </c>
      <c r="C47" s="1690">
        <f>SUM(C44:C46)</f>
        <v>127706</v>
      </c>
      <c r="D47" s="1690">
        <f t="shared" ref="D47:K47" si="4">SUM(D44:D46)</f>
        <v>27966</v>
      </c>
      <c r="E47" s="1690">
        <f t="shared" si="4"/>
        <v>123074</v>
      </c>
      <c r="F47" s="1690">
        <f t="shared" si="4"/>
        <v>14848</v>
      </c>
      <c r="G47" s="1690">
        <f t="shared" si="4"/>
        <v>49677</v>
      </c>
      <c r="H47" s="1690">
        <f t="shared" si="4"/>
        <v>0</v>
      </c>
      <c r="I47" s="1690">
        <f t="shared" si="4"/>
        <v>0</v>
      </c>
      <c r="J47" s="1690">
        <f t="shared" si="4"/>
        <v>0</v>
      </c>
      <c r="K47" s="1690">
        <f t="shared" si="4"/>
        <v>343271</v>
      </c>
      <c r="L47" s="1690">
        <f>SUM(L44:L46)</f>
        <v>366100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3222</v>
      </c>
      <c r="D49" s="480">
        <v>0</v>
      </c>
      <c r="E49" s="480">
        <v>28050</v>
      </c>
      <c r="F49" s="480">
        <v>3047</v>
      </c>
      <c r="G49" s="480">
        <v>0</v>
      </c>
      <c r="H49" s="480">
        <v>40</v>
      </c>
      <c r="I49" s="467">
        <v>0</v>
      </c>
      <c r="J49" s="467">
        <v>0</v>
      </c>
      <c r="K49" s="1692">
        <f>SUM(C49:J49)</f>
        <v>34359</v>
      </c>
      <c r="L49" s="466">
        <v>43500</v>
      </c>
    </row>
    <row r="50" spans="1:14" x14ac:dyDescent="0.2">
      <c r="A50" s="1524" t="s">
        <v>872</v>
      </c>
      <c r="B50" s="613">
        <v>2320</v>
      </c>
      <c r="C50" s="466">
        <v>163744</v>
      </c>
      <c r="D50" s="466">
        <v>51187</v>
      </c>
      <c r="E50" s="466">
        <v>5476</v>
      </c>
      <c r="F50" s="466">
        <v>1513</v>
      </c>
      <c r="G50" s="466">
        <v>0</v>
      </c>
      <c r="H50" s="466">
        <v>0</v>
      </c>
      <c r="I50" s="467">
        <v>0</v>
      </c>
      <c r="J50" s="467">
        <v>0</v>
      </c>
      <c r="K50" s="1692">
        <f>SUM(C50:J50)</f>
        <v>221920</v>
      </c>
      <c r="L50" s="466">
        <v>232100</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166966</v>
      </c>
      <c r="D53" s="1690">
        <f t="shared" ref="D53:L53" si="5">SUM(D49:D52)</f>
        <v>51187</v>
      </c>
      <c r="E53" s="1690">
        <f t="shared" si="5"/>
        <v>33526</v>
      </c>
      <c r="F53" s="1690">
        <f t="shared" si="5"/>
        <v>4560</v>
      </c>
      <c r="G53" s="1690">
        <f t="shared" si="5"/>
        <v>0</v>
      </c>
      <c r="H53" s="1690">
        <f t="shared" si="5"/>
        <v>40</v>
      </c>
      <c r="I53" s="1690">
        <f t="shared" si="5"/>
        <v>0</v>
      </c>
      <c r="J53" s="1690">
        <f t="shared" si="5"/>
        <v>0</v>
      </c>
      <c r="K53" s="1690">
        <f t="shared" si="5"/>
        <v>256279</v>
      </c>
      <c r="L53" s="1690">
        <f t="shared" si="5"/>
        <v>275600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391370</v>
      </c>
      <c r="D55" s="480">
        <v>168109</v>
      </c>
      <c r="E55" s="480">
        <v>3280</v>
      </c>
      <c r="F55" s="480">
        <v>1986</v>
      </c>
      <c r="G55" s="480">
        <v>0</v>
      </c>
      <c r="H55" s="480">
        <v>0</v>
      </c>
      <c r="I55" s="467">
        <v>0</v>
      </c>
      <c r="J55" s="467">
        <v>0</v>
      </c>
      <c r="K55" s="1692">
        <f>SUM(C55:J55)</f>
        <v>564745</v>
      </c>
      <c r="L55" s="480">
        <v>648000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391370</v>
      </c>
      <c r="D57" s="1694">
        <f t="shared" ref="D57:K57" si="6">SUM(D55:D56)</f>
        <v>168109</v>
      </c>
      <c r="E57" s="1694">
        <f t="shared" si="6"/>
        <v>3280</v>
      </c>
      <c r="F57" s="1694">
        <f t="shared" si="6"/>
        <v>1986</v>
      </c>
      <c r="G57" s="1694">
        <f t="shared" si="6"/>
        <v>0</v>
      </c>
      <c r="H57" s="1694">
        <f t="shared" si="6"/>
        <v>0</v>
      </c>
      <c r="I57" s="1694">
        <f t="shared" si="6"/>
        <v>0</v>
      </c>
      <c r="J57" s="1694">
        <f t="shared" si="6"/>
        <v>0</v>
      </c>
      <c r="K57" s="1694">
        <f t="shared" si="6"/>
        <v>564745</v>
      </c>
      <c r="L57" s="1690">
        <f>SUM(L55:L56)</f>
        <v>648000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48471</v>
      </c>
      <c r="D60" s="466">
        <v>9291</v>
      </c>
      <c r="E60" s="466">
        <v>1482</v>
      </c>
      <c r="F60" s="466">
        <v>351</v>
      </c>
      <c r="G60" s="466">
        <v>0</v>
      </c>
      <c r="H60" s="466">
        <v>0</v>
      </c>
      <c r="I60" s="467">
        <v>0</v>
      </c>
      <c r="J60" s="467">
        <v>0</v>
      </c>
      <c r="K60" s="1692">
        <f t="shared" si="7"/>
        <v>59595</v>
      </c>
      <c r="L60" s="466">
        <v>62700</v>
      </c>
      <c r="M60" s="608"/>
      <c r="N60" s="608"/>
    </row>
    <row r="61" spans="1:14" s="343" customFormat="1" x14ac:dyDescent="0.2">
      <c r="A61" s="1524" t="s">
        <v>206</v>
      </c>
      <c r="B61" s="613">
        <v>2540</v>
      </c>
      <c r="C61" s="467">
        <v>219149</v>
      </c>
      <c r="D61" s="466">
        <v>44343</v>
      </c>
      <c r="E61" s="466">
        <v>40361</v>
      </c>
      <c r="F61" s="466">
        <v>0</v>
      </c>
      <c r="G61" s="466">
        <v>0</v>
      </c>
      <c r="H61" s="466">
        <v>0</v>
      </c>
      <c r="I61" s="467">
        <v>0</v>
      </c>
      <c r="J61" s="467">
        <v>0</v>
      </c>
      <c r="K61" s="1692">
        <f t="shared" si="7"/>
        <v>303853</v>
      </c>
      <c r="L61" s="466">
        <v>330000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0</v>
      </c>
      <c r="D63" s="466">
        <v>0</v>
      </c>
      <c r="E63" s="466">
        <v>399340</v>
      </c>
      <c r="F63" s="466">
        <v>4260</v>
      </c>
      <c r="G63" s="466">
        <v>1776</v>
      </c>
      <c r="H63" s="466">
        <v>0</v>
      </c>
      <c r="I63" s="467">
        <v>0</v>
      </c>
      <c r="J63" s="467">
        <v>0</v>
      </c>
      <c r="K63" s="1692">
        <f t="shared" si="7"/>
        <v>405376</v>
      </c>
      <c r="L63" s="466">
        <v>421000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267620</v>
      </c>
      <c r="D65" s="1690">
        <f t="shared" ref="D65:L65" si="8">SUM(D59:D64)</f>
        <v>53634</v>
      </c>
      <c r="E65" s="1690">
        <f t="shared" si="8"/>
        <v>441183</v>
      </c>
      <c r="F65" s="1690">
        <f t="shared" si="8"/>
        <v>4611</v>
      </c>
      <c r="G65" s="1690">
        <f t="shared" si="8"/>
        <v>1776</v>
      </c>
      <c r="H65" s="1690">
        <f t="shared" si="8"/>
        <v>0</v>
      </c>
      <c r="I65" s="1690">
        <f t="shared" si="8"/>
        <v>0</v>
      </c>
      <c r="J65" s="1690">
        <f t="shared" si="8"/>
        <v>0</v>
      </c>
      <c r="K65" s="1690">
        <f t="shared" si="8"/>
        <v>768824</v>
      </c>
      <c r="L65" s="1690">
        <f t="shared" si="8"/>
        <v>813700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132</v>
      </c>
      <c r="D70" s="466">
        <v>0</v>
      </c>
      <c r="E70" s="466">
        <v>0</v>
      </c>
      <c r="F70" s="466">
        <v>0</v>
      </c>
      <c r="G70" s="466">
        <v>0</v>
      </c>
      <c r="H70" s="466">
        <v>0</v>
      </c>
      <c r="I70" s="467">
        <v>0</v>
      </c>
      <c r="J70" s="467">
        <v>0</v>
      </c>
      <c r="K70" s="1692">
        <f>SUM(C70:J70)</f>
        <v>132</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132</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132</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50</v>
      </c>
      <c r="M73" s="608"/>
      <c r="N73" s="608"/>
    </row>
    <row r="74" spans="1:14" ht="12.75" customHeight="1" thickTop="1" thickBot="1" x14ac:dyDescent="0.25">
      <c r="A74" s="1688" t="s">
        <v>865</v>
      </c>
      <c r="B74" s="1696">
        <v>2000</v>
      </c>
      <c r="C74" s="1697">
        <f>SUM(C42,C47,C53,C57,C65,C72,C73)</f>
        <v>1079179</v>
      </c>
      <c r="D74" s="1697">
        <f t="shared" ref="D74:K74" si="10">SUM(D42,D47,D53,D57,D65,D72,D73)</f>
        <v>326771</v>
      </c>
      <c r="E74" s="1697">
        <f t="shared" si="10"/>
        <v>604422</v>
      </c>
      <c r="F74" s="1697">
        <f t="shared" si="10"/>
        <v>27231</v>
      </c>
      <c r="G74" s="1697">
        <f t="shared" si="10"/>
        <v>51453</v>
      </c>
      <c r="H74" s="1697">
        <f t="shared" si="10"/>
        <v>40</v>
      </c>
      <c r="I74" s="1697">
        <f t="shared" si="10"/>
        <v>0</v>
      </c>
      <c r="J74" s="1697">
        <f t="shared" si="10"/>
        <v>0</v>
      </c>
      <c r="K74" s="1697">
        <f t="shared" si="10"/>
        <v>2089096</v>
      </c>
      <c r="L74" s="1697">
        <f>SUM(L42,L47,L53,L57,L65,L72,L73)</f>
        <v>2259500</v>
      </c>
    </row>
    <row r="75" spans="1:14" s="259" customFormat="1" ht="15.75" customHeight="1" thickTop="1" thickBot="1" x14ac:dyDescent="0.25">
      <c r="A75" s="1630" t="s">
        <v>49</v>
      </c>
      <c r="B75" s="1631" t="s">
        <v>596</v>
      </c>
      <c r="C75" s="571">
        <v>0</v>
      </c>
      <c r="D75" s="571">
        <v>0</v>
      </c>
      <c r="E75" s="571">
        <v>0</v>
      </c>
      <c r="F75" s="571">
        <v>458</v>
      </c>
      <c r="G75" s="571">
        <v>0</v>
      </c>
      <c r="H75" s="571">
        <v>0</v>
      </c>
      <c r="I75" s="529">
        <v>0</v>
      </c>
      <c r="J75" s="529">
        <v>0</v>
      </c>
      <c r="K75" s="1690">
        <f>SUM(C75:J75)</f>
        <v>458</v>
      </c>
      <c r="L75" s="574">
        <v>1000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0</v>
      </c>
      <c r="F84" s="615"/>
      <c r="G84" s="615"/>
      <c r="H84" s="1690">
        <f>SUM(H78:H83)</f>
        <v>0</v>
      </c>
      <c r="I84" s="476"/>
      <c r="J84" s="476"/>
      <c r="K84" s="1690">
        <f>SUM(K78:K83)</f>
        <v>0</v>
      </c>
      <c r="L84" s="1690">
        <f>SUM(L78:L83)</f>
        <v>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153081</v>
      </c>
      <c r="I86" s="476"/>
      <c r="J86" s="476"/>
      <c r="K86" s="1697">
        <f t="shared" ref="K86:K98" si="12">H86</f>
        <v>153081</v>
      </c>
      <c r="L86" s="528">
        <v>180000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1640</v>
      </c>
      <c r="B92" s="1698">
        <v>4200</v>
      </c>
      <c r="C92" s="615"/>
      <c r="D92" s="615"/>
      <c r="E92" s="637"/>
      <c r="F92" s="615"/>
      <c r="G92" s="615"/>
      <c r="H92" s="1690">
        <f>SUM(H85:H91)</f>
        <v>153081</v>
      </c>
      <c r="I92" s="476"/>
      <c r="J92" s="476"/>
      <c r="K92" s="1697">
        <f t="shared" si="12"/>
        <v>153081</v>
      </c>
      <c r="L92" s="1690">
        <f>SUM(L85:L91)</f>
        <v>180000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0</v>
      </c>
      <c r="F102" s="615"/>
      <c r="G102" s="615"/>
      <c r="H102" s="1697">
        <f>SUM(H84,H92,H100,H101)</f>
        <v>153081</v>
      </c>
      <c r="I102" s="476"/>
      <c r="J102" s="476"/>
      <c r="K102" s="1697">
        <f>SUM(K84,K92,K100,K101)</f>
        <v>153081</v>
      </c>
      <c r="L102" s="1697">
        <f>SUM(L84,L92,L100,L101)</f>
        <v>180000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4408202</v>
      </c>
      <c r="D114" s="1690">
        <f t="shared" ref="D114:K114" si="13">SUM(D33,D74,D75,D102,D112,D113)</f>
        <v>1449827</v>
      </c>
      <c r="E114" s="1690">
        <f t="shared" si="13"/>
        <v>683305</v>
      </c>
      <c r="F114" s="1690">
        <f t="shared" si="13"/>
        <v>96110</v>
      </c>
      <c r="G114" s="1690">
        <f t="shared" si="13"/>
        <v>51453</v>
      </c>
      <c r="H114" s="1690">
        <f>SUM(H33,H74,H75,H102,H112,H113)</f>
        <v>462150</v>
      </c>
      <c r="I114" s="1690">
        <f t="shared" si="13"/>
        <v>0</v>
      </c>
      <c r="J114" s="1690">
        <f t="shared" si="13"/>
        <v>0</v>
      </c>
      <c r="K114" s="1690">
        <f t="shared" si="13"/>
        <v>7151047</v>
      </c>
      <c r="L114" s="1690">
        <f>SUM(L33,L74,L75,L102,L112,L113)</f>
        <v>7465350</v>
      </c>
    </row>
    <row r="115" spans="1:14" ht="13.5" thickTop="1" x14ac:dyDescent="0.2">
      <c r="A115" s="2306" t="s">
        <v>1053</v>
      </c>
      <c r="B115" s="2307"/>
      <c r="C115" s="617"/>
      <c r="D115" s="617"/>
      <c r="E115" s="617"/>
      <c r="F115" s="617"/>
      <c r="G115" s="617"/>
      <c r="H115" s="617"/>
      <c r="I115" s="617"/>
      <c r="J115" s="617"/>
      <c r="K115" s="1704">
        <f>'Revenues 9-14'!C275-'Expenditures 15-22'!K114</f>
        <v>325297</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311" t="s">
        <v>314</v>
      </c>
      <c r="B117" s="2312"/>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0</v>
      </c>
      <c r="D124" s="466">
        <v>0</v>
      </c>
      <c r="E124" s="466">
        <v>102641</v>
      </c>
      <c r="F124" s="466">
        <v>256893</v>
      </c>
      <c r="G124" s="466">
        <v>0</v>
      </c>
      <c r="H124" s="466">
        <v>0</v>
      </c>
      <c r="I124" s="467">
        <v>0</v>
      </c>
      <c r="J124" s="467">
        <v>0</v>
      </c>
      <c r="K124" s="1690">
        <f>SUM(C124:J124)</f>
        <v>359534</v>
      </c>
      <c r="L124" s="466">
        <v>359000</v>
      </c>
    </row>
    <row r="125" spans="1:14" ht="14.25" thickTop="1" thickBot="1" x14ac:dyDescent="0.25">
      <c r="A125" s="1524" t="s">
        <v>1010</v>
      </c>
      <c r="B125" s="613">
        <v>2550</v>
      </c>
      <c r="C125" s="466">
        <v>0</v>
      </c>
      <c r="D125" s="466">
        <v>0</v>
      </c>
      <c r="E125" s="466">
        <v>5297</v>
      </c>
      <c r="F125" s="466">
        <v>1457</v>
      </c>
      <c r="G125" s="466">
        <v>880</v>
      </c>
      <c r="H125" s="466">
        <v>0</v>
      </c>
      <c r="I125" s="467">
        <v>0</v>
      </c>
      <c r="J125" s="467">
        <v>0</v>
      </c>
      <c r="K125" s="1690">
        <f>SUM(C125:J125)</f>
        <v>7634</v>
      </c>
      <c r="L125" s="466">
        <v>4250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107938</v>
      </c>
      <c r="F127" s="1690">
        <f t="shared" si="14"/>
        <v>258350</v>
      </c>
      <c r="G127" s="1690">
        <f t="shared" si="14"/>
        <v>880</v>
      </c>
      <c r="H127" s="1690">
        <f t="shared" si="14"/>
        <v>0</v>
      </c>
      <c r="I127" s="1690">
        <f t="shared" si="14"/>
        <v>0</v>
      </c>
      <c r="J127" s="1690">
        <f t="shared" si="14"/>
        <v>0</v>
      </c>
      <c r="K127" s="1690">
        <f t="shared" si="14"/>
        <v>367168</v>
      </c>
      <c r="L127" s="1690">
        <f t="shared" si="14"/>
        <v>363250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0</v>
      </c>
      <c r="D129" s="1697">
        <f t="shared" ref="D129:L129" si="15">SUM(D120,D127,D128)</f>
        <v>0</v>
      </c>
      <c r="E129" s="1697">
        <f t="shared" si="15"/>
        <v>107938</v>
      </c>
      <c r="F129" s="1697">
        <f t="shared" si="15"/>
        <v>258350</v>
      </c>
      <c r="G129" s="1697">
        <f t="shared" si="15"/>
        <v>880</v>
      </c>
      <c r="H129" s="1697">
        <f t="shared" si="15"/>
        <v>0</v>
      </c>
      <c r="I129" s="1697">
        <f t="shared" si="15"/>
        <v>0</v>
      </c>
      <c r="J129" s="1697">
        <f t="shared" si="15"/>
        <v>0</v>
      </c>
      <c r="K129" s="1697">
        <f t="shared" si="15"/>
        <v>367168</v>
      </c>
      <c r="L129" s="1697">
        <f t="shared" si="15"/>
        <v>363250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1952</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323" t="s">
        <v>641</v>
      </c>
      <c r="B151" s="2303"/>
      <c r="C151" s="1690">
        <f>SUM(C129,C130,C139,C149,C150)</f>
        <v>0</v>
      </c>
      <c r="D151" s="1690">
        <f t="shared" ref="D151:K151" si="16">SUM(D129,D130,D139,D149,D150)</f>
        <v>0</v>
      </c>
      <c r="E151" s="1690">
        <f t="shared" si="16"/>
        <v>107938</v>
      </c>
      <c r="F151" s="1690">
        <f t="shared" si="16"/>
        <v>258350</v>
      </c>
      <c r="G151" s="1690">
        <f t="shared" si="16"/>
        <v>880</v>
      </c>
      <c r="H151" s="1690">
        <f t="shared" si="16"/>
        <v>0</v>
      </c>
      <c r="I151" s="1690">
        <f t="shared" si="16"/>
        <v>0</v>
      </c>
      <c r="J151" s="1690">
        <f t="shared" si="16"/>
        <v>0</v>
      </c>
      <c r="K151" s="1690">
        <f t="shared" si="16"/>
        <v>367168</v>
      </c>
      <c r="L151" s="1690">
        <f>SUM(L129,L130,L139,L149,L150)</f>
        <v>363250</v>
      </c>
    </row>
    <row r="152" spans="1:14" ht="12.75" customHeight="1" thickTop="1" x14ac:dyDescent="0.2">
      <c r="A152" s="2326" t="s">
        <v>1240</v>
      </c>
      <c r="B152" s="2327"/>
      <c r="C152" s="617"/>
      <c r="D152" s="617"/>
      <c r="E152" s="617"/>
      <c r="F152" s="617"/>
      <c r="G152" s="617"/>
      <c r="H152" s="617"/>
      <c r="I152" s="617"/>
      <c r="J152" s="615"/>
      <c r="K152" s="1704">
        <f>'Revenues 9-14'!D275-'Expenditures 15-22'!K151</f>
        <v>86755</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311" t="s">
        <v>642</v>
      </c>
      <c r="B154" s="2313"/>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1953</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1952</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1954</v>
      </c>
      <c r="C158" s="615"/>
      <c r="D158" s="615"/>
      <c r="E158" s="615"/>
      <c r="F158" s="615"/>
      <c r="G158" s="615"/>
      <c r="H158" s="467">
        <v>0</v>
      </c>
      <c r="I158" s="615"/>
      <c r="J158" s="615"/>
      <c r="K158" s="1691">
        <f>H158</f>
        <v>0</v>
      </c>
      <c r="L158" s="467">
        <v>0</v>
      </c>
      <c r="M158" s="618"/>
      <c r="N158" s="618"/>
    </row>
    <row r="159" spans="1:14" s="619" customFormat="1" ht="12" x14ac:dyDescent="0.2">
      <c r="A159" s="1847" t="s">
        <v>1955</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1956</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91980</v>
      </c>
      <c r="I169" s="615"/>
      <c r="J169" s="615"/>
      <c r="K169" s="1691">
        <f>SUM(C169:H169)</f>
        <v>91980</v>
      </c>
      <c r="L169" s="655">
        <v>85000</v>
      </c>
    </row>
    <row r="170" spans="1:14" ht="33.75" customHeight="1" x14ac:dyDescent="0.2">
      <c r="A170" s="668" t="s">
        <v>1768</v>
      </c>
      <c r="B170" s="670" t="s">
        <v>31</v>
      </c>
      <c r="C170" s="615"/>
      <c r="D170" s="615"/>
      <c r="E170" s="615"/>
      <c r="F170" s="615"/>
      <c r="G170" s="615"/>
      <c r="H170" s="567">
        <v>925000</v>
      </c>
      <c r="I170" s="615"/>
      <c r="J170" s="615"/>
      <c r="K170" s="1691">
        <f>SUM(C170:J170)</f>
        <v>925000</v>
      </c>
      <c r="L170" s="567">
        <v>962000</v>
      </c>
    </row>
    <row r="171" spans="1:14" ht="15.75" customHeight="1" x14ac:dyDescent="0.2">
      <c r="A171" s="620" t="s">
        <v>790</v>
      </c>
      <c r="B171" s="671" t="s">
        <v>86</v>
      </c>
      <c r="C171" s="615"/>
      <c r="D171" s="615"/>
      <c r="E171" s="466">
        <v>0</v>
      </c>
      <c r="F171" s="615"/>
      <c r="G171" s="615"/>
      <c r="H171" s="567">
        <v>1350</v>
      </c>
      <c r="I171" s="476"/>
      <c r="J171" s="615"/>
      <c r="K171" s="1691">
        <f>SUM(C171:J171)</f>
        <v>1350</v>
      </c>
      <c r="L171" s="567">
        <v>0</v>
      </c>
    </row>
    <row r="172" spans="1:14" ht="12.75" customHeight="1" thickBot="1" x14ac:dyDescent="0.25">
      <c r="A172" s="1688" t="s">
        <v>659</v>
      </c>
      <c r="B172" s="1689" t="s">
        <v>513</v>
      </c>
      <c r="C172" s="615"/>
      <c r="D172" s="615"/>
      <c r="E172" s="1697">
        <f>SUM(E168,E169,E170,E171)</f>
        <v>0</v>
      </c>
      <c r="F172" s="615"/>
      <c r="G172" s="615"/>
      <c r="H172" s="1697">
        <f>SUM(H168,H169,H170,H171)</f>
        <v>1018330</v>
      </c>
      <c r="I172" s="637"/>
      <c r="J172" s="615"/>
      <c r="K172" s="1697">
        <f>SUM(K168,K169,K170,K171)</f>
        <v>1018330</v>
      </c>
      <c r="L172" s="1697">
        <f>SUM(L168,L169,L170,L171)</f>
        <v>1047000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1018330</v>
      </c>
      <c r="I174" s="637"/>
      <c r="J174" s="615"/>
      <c r="K174" s="1697">
        <f>SUM(K160,K172,K173)</f>
        <v>1018330</v>
      </c>
      <c r="L174" s="1697">
        <f>SUM(L160,L172,L173)</f>
        <v>1047000</v>
      </c>
    </row>
    <row r="175" spans="1:14" ht="13.5" thickTop="1" x14ac:dyDescent="0.2">
      <c r="A175" s="2306" t="s">
        <v>1053</v>
      </c>
      <c r="B175" s="2307"/>
      <c r="C175" s="615"/>
      <c r="D175" s="615"/>
      <c r="E175" s="615"/>
      <c r="F175" s="615"/>
      <c r="G175" s="615"/>
      <c r="H175" s="617"/>
      <c r="I175" s="615"/>
      <c r="J175" s="615"/>
      <c r="K175" s="1704">
        <f>'Revenues 9-14'!E275-'Expenditures 15-22'!K174</f>
        <v>48556</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279791</v>
      </c>
      <c r="D182" s="467">
        <v>10842</v>
      </c>
      <c r="E182" s="467">
        <v>278697</v>
      </c>
      <c r="F182" s="467">
        <v>69414</v>
      </c>
      <c r="G182" s="467">
        <v>22678</v>
      </c>
      <c r="H182" s="466">
        <v>0</v>
      </c>
      <c r="I182" s="467">
        <v>0</v>
      </c>
      <c r="J182" s="467">
        <v>0</v>
      </c>
      <c r="K182" s="1691">
        <f>SUM(C182:J182)</f>
        <v>661422</v>
      </c>
      <c r="L182" s="466">
        <v>620000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279791</v>
      </c>
      <c r="D184" s="1697">
        <f t="shared" ref="D184:J184" si="17">SUM(D180,D182,D183)</f>
        <v>10842</v>
      </c>
      <c r="E184" s="1697">
        <f t="shared" si="17"/>
        <v>278697</v>
      </c>
      <c r="F184" s="1697">
        <f t="shared" si="17"/>
        <v>69414</v>
      </c>
      <c r="G184" s="1697">
        <f t="shared" si="17"/>
        <v>22678</v>
      </c>
      <c r="H184" s="1697">
        <f t="shared" si="17"/>
        <v>0</v>
      </c>
      <c r="I184" s="1697">
        <f t="shared" si="17"/>
        <v>0</v>
      </c>
      <c r="J184" s="1697">
        <f t="shared" si="17"/>
        <v>0</v>
      </c>
      <c r="K184" s="1697">
        <f>SUM(K180,K182,K183)</f>
        <v>661422</v>
      </c>
      <c r="L184" s="1697">
        <f>SUM(L180, L182:L183)</f>
        <v>620000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1769</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279791</v>
      </c>
      <c r="D210" s="1690">
        <f>SUM(D184,D185)</f>
        <v>10842</v>
      </c>
      <c r="E210" s="1690">
        <f>SUM(E184,E185,E196)</f>
        <v>278697</v>
      </c>
      <c r="F210" s="1690">
        <f>SUM(F184,F185)</f>
        <v>69414</v>
      </c>
      <c r="G210" s="1690">
        <f>SUM(G184,G185)</f>
        <v>22678</v>
      </c>
      <c r="H210" s="1690">
        <f>SUM(H184,H185,H196,H208,H209)</f>
        <v>0</v>
      </c>
      <c r="I210" s="1690">
        <f>SUM(I184,I185)</f>
        <v>0</v>
      </c>
      <c r="J210" s="1690">
        <f>SUM(J184,J185)</f>
        <v>0</v>
      </c>
      <c r="K210" s="1691">
        <f>SUM(K184,K185,K196,K208,K209)</f>
        <v>661422</v>
      </c>
      <c r="L210" s="1690">
        <f>SUM(L184,L185,L196,L208,L209)</f>
        <v>620000</v>
      </c>
    </row>
    <row r="211" spans="1:14" ht="13.5" thickTop="1" x14ac:dyDescent="0.2">
      <c r="A211" s="2306" t="s">
        <v>1053</v>
      </c>
      <c r="B211" s="2307"/>
      <c r="C211" s="617"/>
      <c r="D211" s="617"/>
      <c r="E211" s="617"/>
      <c r="F211" s="617"/>
      <c r="G211" s="617"/>
      <c r="H211" s="617"/>
      <c r="I211" s="615"/>
      <c r="J211" s="615"/>
      <c r="K211" s="1704">
        <f>'Revenues 9-14'!F275-'Expenditures 15-22'!K210</f>
        <v>145474</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328" t="s">
        <v>1022</v>
      </c>
      <c r="B213" s="2329"/>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42857</v>
      </c>
      <c r="E215" s="615"/>
      <c r="F215" s="615"/>
      <c r="G215" s="615"/>
      <c r="H215" s="615"/>
      <c r="I215" s="615"/>
      <c r="J215" s="615"/>
      <c r="K215" s="1691">
        <f>D215</f>
        <v>42857</v>
      </c>
      <c r="L215" s="466">
        <v>47900</v>
      </c>
    </row>
    <row r="216" spans="1:14" x14ac:dyDescent="0.2">
      <c r="A216" s="1524" t="s">
        <v>165</v>
      </c>
      <c r="B216" s="613" t="s">
        <v>1024</v>
      </c>
      <c r="C216" s="615"/>
      <c r="D216" s="467">
        <v>688</v>
      </c>
      <c r="E216" s="615"/>
      <c r="F216" s="615"/>
      <c r="G216" s="615"/>
      <c r="H216" s="615"/>
      <c r="I216" s="615"/>
      <c r="J216" s="615"/>
      <c r="K216" s="1691">
        <f t="shared" ref="K216:K228" si="19">D216</f>
        <v>688</v>
      </c>
      <c r="L216" s="466">
        <v>700</v>
      </c>
    </row>
    <row r="217" spans="1:14" x14ac:dyDescent="0.2">
      <c r="A217" s="1524" t="s">
        <v>166</v>
      </c>
      <c r="B217" s="613">
        <v>1200</v>
      </c>
      <c r="C217" s="615"/>
      <c r="D217" s="466">
        <v>31376</v>
      </c>
      <c r="E217" s="615"/>
      <c r="F217" s="615"/>
      <c r="G217" s="615"/>
      <c r="H217" s="615"/>
      <c r="I217" s="615"/>
      <c r="J217" s="615"/>
      <c r="K217" s="1691">
        <f t="shared" si="19"/>
        <v>31376</v>
      </c>
      <c r="L217" s="466">
        <v>43500</v>
      </c>
    </row>
    <row r="218" spans="1:14" x14ac:dyDescent="0.2">
      <c r="A218" s="1524" t="s">
        <v>296</v>
      </c>
      <c r="B218" s="613" t="s">
        <v>1025</v>
      </c>
      <c r="C218" s="615"/>
      <c r="D218" s="467">
        <v>2586</v>
      </c>
      <c r="E218" s="615"/>
      <c r="F218" s="615"/>
      <c r="G218" s="615"/>
      <c r="H218" s="615"/>
      <c r="I218" s="615"/>
      <c r="J218" s="615"/>
      <c r="K218" s="1691">
        <f t="shared" si="19"/>
        <v>2586</v>
      </c>
      <c r="L218" s="466">
        <v>0</v>
      </c>
    </row>
    <row r="219" spans="1:14" x14ac:dyDescent="0.2">
      <c r="A219" s="1524" t="s">
        <v>297</v>
      </c>
      <c r="B219" s="613">
        <v>1250</v>
      </c>
      <c r="C219" s="615"/>
      <c r="D219" s="466">
        <v>9816</v>
      </c>
      <c r="E219" s="615"/>
      <c r="F219" s="615"/>
      <c r="G219" s="615"/>
      <c r="H219" s="615"/>
      <c r="I219" s="615"/>
      <c r="J219" s="615"/>
      <c r="K219" s="1691">
        <f t="shared" si="19"/>
        <v>9816</v>
      </c>
      <c r="L219" s="466">
        <v>6000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3546</v>
      </c>
      <c r="E222" s="615"/>
      <c r="F222" s="615"/>
      <c r="G222" s="615"/>
      <c r="H222" s="615"/>
      <c r="I222" s="615"/>
      <c r="J222" s="615"/>
      <c r="K222" s="1691">
        <f t="shared" si="19"/>
        <v>3546</v>
      </c>
      <c r="L222" s="466">
        <v>4100</v>
      </c>
    </row>
    <row r="223" spans="1:14" x14ac:dyDescent="0.2">
      <c r="A223" s="1524" t="s">
        <v>1020</v>
      </c>
      <c r="B223" s="613">
        <v>1500</v>
      </c>
      <c r="C223" s="615"/>
      <c r="D223" s="466">
        <v>3889</v>
      </c>
      <c r="E223" s="615"/>
      <c r="F223" s="615"/>
      <c r="G223" s="615"/>
      <c r="H223" s="615"/>
      <c r="I223" s="615"/>
      <c r="J223" s="615"/>
      <c r="K223" s="1691">
        <f t="shared" si="19"/>
        <v>3889</v>
      </c>
      <c r="L223" s="466">
        <v>3900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405</v>
      </c>
      <c r="E226" s="615"/>
      <c r="F226" s="615"/>
      <c r="G226" s="615"/>
      <c r="H226" s="615"/>
      <c r="I226" s="615"/>
      <c r="J226" s="615"/>
      <c r="K226" s="1691">
        <f t="shared" si="19"/>
        <v>405</v>
      </c>
      <c r="L226" s="466">
        <v>600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95163</v>
      </c>
      <c r="E229" s="615"/>
      <c r="F229" s="615"/>
      <c r="G229" s="615"/>
      <c r="H229" s="615"/>
      <c r="I229" s="615"/>
      <c r="J229" s="615"/>
      <c r="K229" s="1690">
        <f>SUM(K215:K228)</f>
        <v>95163</v>
      </c>
      <c r="L229" s="1690">
        <f>SUM(L215:L228)</f>
        <v>106700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870</v>
      </c>
      <c r="E233" s="615"/>
      <c r="F233" s="615"/>
      <c r="G233" s="615"/>
      <c r="H233" s="615"/>
      <c r="I233" s="615"/>
      <c r="J233" s="615"/>
      <c r="K233" s="1691">
        <f t="shared" si="20"/>
        <v>870</v>
      </c>
      <c r="L233" s="466">
        <v>700</v>
      </c>
    </row>
    <row r="234" spans="1:12" x14ac:dyDescent="0.2">
      <c r="A234" s="1524" t="s">
        <v>207</v>
      </c>
      <c r="B234" s="613">
        <v>2130</v>
      </c>
      <c r="C234" s="615"/>
      <c r="D234" s="466">
        <v>11019</v>
      </c>
      <c r="E234" s="615"/>
      <c r="F234" s="615"/>
      <c r="G234" s="615"/>
      <c r="H234" s="615"/>
      <c r="I234" s="615"/>
      <c r="J234" s="615"/>
      <c r="K234" s="1691">
        <f t="shared" si="20"/>
        <v>11019</v>
      </c>
      <c r="L234" s="466">
        <v>12100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11889</v>
      </c>
      <c r="E238" s="615"/>
      <c r="F238" s="615"/>
      <c r="G238" s="615"/>
      <c r="H238" s="615"/>
      <c r="I238" s="615"/>
      <c r="J238" s="615"/>
      <c r="K238" s="1690">
        <f>SUM(K232:K237)</f>
        <v>11889</v>
      </c>
      <c r="L238" s="1690">
        <f>SUM(L232:L237)</f>
        <v>12800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145</v>
      </c>
      <c r="E240" s="615"/>
      <c r="F240" s="615"/>
      <c r="G240" s="615"/>
      <c r="H240" s="615"/>
      <c r="I240" s="615"/>
      <c r="J240" s="615"/>
      <c r="K240" s="1692">
        <f>D240</f>
        <v>145</v>
      </c>
      <c r="L240" s="480">
        <v>0</v>
      </c>
    </row>
    <row r="241" spans="1:12" x14ac:dyDescent="0.2">
      <c r="A241" s="1524" t="s">
        <v>869</v>
      </c>
      <c r="B241" s="613">
        <v>2220</v>
      </c>
      <c r="C241" s="615"/>
      <c r="D241" s="466">
        <v>9277</v>
      </c>
      <c r="E241" s="615"/>
      <c r="F241" s="615"/>
      <c r="G241" s="615"/>
      <c r="H241" s="615"/>
      <c r="I241" s="615"/>
      <c r="J241" s="615"/>
      <c r="K241" s="1692">
        <f>D241</f>
        <v>9277</v>
      </c>
      <c r="L241" s="466">
        <v>9400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9422</v>
      </c>
      <c r="E243" s="615"/>
      <c r="F243" s="615"/>
      <c r="G243" s="615"/>
      <c r="H243" s="615"/>
      <c r="I243" s="615"/>
      <c r="J243" s="615"/>
      <c r="K243" s="1690">
        <f>SUM(K240:K242)</f>
        <v>9422</v>
      </c>
      <c r="L243" s="1690">
        <f>SUM(L240:L242)</f>
        <v>9400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588</v>
      </c>
      <c r="E245" s="615"/>
      <c r="F245" s="615"/>
      <c r="G245" s="615"/>
      <c r="H245" s="615"/>
      <c r="I245" s="615"/>
      <c r="J245" s="615"/>
      <c r="K245" s="1692">
        <f>D245</f>
        <v>588</v>
      </c>
      <c r="L245" s="480">
        <v>950</v>
      </c>
    </row>
    <row r="246" spans="1:12" x14ac:dyDescent="0.2">
      <c r="A246" s="1524" t="s">
        <v>872</v>
      </c>
      <c r="B246" s="613">
        <v>2320</v>
      </c>
      <c r="C246" s="615"/>
      <c r="D246" s="466">
        <v>7524</v>
      </c>
      <c r="E246" s="615"/>
      <c r="F246" s="615"/>
      <c r="G246" s="615"/>
      <c r="H246" s="615"/>
      <c r="I246" s="615"/>
      <c r="J246" s="615"/>
      <c r="K246" s="1692">
        <f t="shared" ref="K246:K256" si="21">D246</f>
        <v>7524</v>
      </c>
      <c r="L246" s="466">
        <v>8600</v>
      </c>
    </row>
    <row r="247" spans="1:12" x14ac:dyDescent="0.2">
      <c r="A247" s="1524" t="s">
        <v>873</v>
      </c>
      <c r="B247" s="613">
        <v>2330</v>
      </c>
      <c r="C247" s="615"/>
      <c r="D247" s="466">
        <v>0</v>
      </c>
      <c r="E247" s="615"/>
      <c r="F247" s="615"/>
      <c r="G247" s="615"/>
      <c r="H247" s="615"/>
      <c r="I247" s="615"/>
      <c r="J247" s="615"/>
      <c r="K247" s="1692">
        <f t="shared" si="21"/>
        <v>0</v>
      </c>
      <c r="L247" s="466">
        <v>1200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1903</v>
      </c>
      <c r="B249" s="682" t="s">
        <v>300</v>
      </c>
      <c r="C249" s="615"/>
      <c r="D249" s="474">
        <v>0</v>
      </c>
      <c r="E249" s="615"/>
      <c r="F249" s="615"/>
      <c r="G249" s="615"/>
      <c r="H249" s="615"/>
      <c r="I249" s="615"/>
      <c r="J249" s="615"/>
      <c r="K249" s="1692">
        <f t="shared" si="21"/>
        <v>0</v>
      </c>
      <c r="L249" s="466">
        <v>0</v>
      </c>
    </row>
    <row r="250" spans="1:12" x14ac:dyDescent="0.2">
      <c r="A250" s="1525" t="s">
        <v>1904</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8112</v>
      </c>
      <c r="E257" s="615"/>
      <c r="F257" s="615"/>
      <c r="G257" s="615"/>
      <c r="H257" s="615"/>
      <c r="I257" s="615"/>
      <c r="J257" s="615"/>
      <c r="K257" s="1690">
        <f>SUM(K245:K256)</f>
        <v>8112</v>
      </c>
      <c r="L257" s="1690">
        <f>SUM(L245:L256)</f>
        <v>10750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32889</v>
      </c>
      <c r="E259" s="615"/>
      <c r="F259" s="615"/>
      <c r="G259" s="615"/>
      <c r="H259" s="615"/>
      <c r="I259" s="615"/>
      <c r="J259" s="615"/>
      <c r="K259" s="1692">
        <f>D259</f>
        <v>32889</v>
      </c>
      <c r="L259" s="480">
        <v>34600</v>
      </c>
    </row>
    <row r="260" spans="1:14" s="596" customFormat="1" x14ac:dyDescent="0.2">
      <c r="A260" s="1542" t="s">
        <v>1902</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32889</v>
      </c>
      <c r="E261" s="615"/>
      <c r="F261" s="615"/>
      <c r="G261" s="615"/>
      <c r="H261" s="615"/>
      <c r="I261" s="615"/>
      <c r="J261" s="615"/>
      <c r="K261" s="1690">
        <f>SUM(K259:K260)</f>
        <v>32889</v>
      </c>
      <c r="L261" s="1690">
        <f>SUM(L259:L260)</f>
        <v>34600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8694</v>
      </c>
      <c r="E264" s="615"/>
      <c r="F264" s="615"/>
      <c r="G264" s="615"/>
      <c r="H264" s="615"/>
      <c r="I264" s="615"/>
      <c r="J264" s="615"/>
      <c r="K264" s="1692">
        <f t="shared" ref="K264:K269" si="22">D264</f>
        <v>8694</v>
      </c>
      <c r="L264" s="466">
        <v>7760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48538</v>
      </c>
      <c r="E266" s="615"/>
      <c r="F266" s="615"/>
      <c r="G266" s="615"/>
      <c r="H266" s="615"/>
      <c r="I266" s="615"/>
      <c r="J266" s="615"/>
      <c r="K266" s="1692">
        <f t="shared" si="22"/>
        <v>48538</v>
      </c>
      <c r="L266" s="466">
        <v>53200</v>
      </c>
    </row>
    <row r="267" spans="1:14" x14ac:dyDescent="0.2">
      <c r="A267" s="1524" t="s">
        <v>1010</v>
      </c>
      <c r="B267" s="613">
        <v>2550</v>
      </c>
      <c r="C267" s="615"/>
      <c r="D267" s="466">
        <v>49765</v>
      </c>
      <c r="E267" s="615"/>
      <c r="F267" s="615"/>
      <c r="G267" s="615"/>
      <c r="H267" s="615"/>
      <c r="I267" s="615"/>
      <c r="J267" s="615"/>
      <c r="K267" s="1692">
        <f t="shared" si="22"/>
        <v>49765</v>
      </c>
      <c r="L267" s="466">
        <v>0</v>
      </c>
    </row>
    <row r="268" spans="1:14" x14ac:dyDescent="0.2">
      <c r="A268" s="1524" t="s">
        <v>102</v>
      </c>
      <c r="B268" s="613">
        <v>2560</v>
      </c>
      <c r="C268" s="615"/>
      <c r="D268" s="466">
        <v>0</v>
      </c>
      <c r="E268" s="615"/>
      <c r="F268" s="615"/>
      <c r="G268" s="615"/>
      <c r="H268" s="615"/>
      <c r="I268" s="615"/>
      <c r="J268" s="615"/>
      <c r="K268" s="1692">
        <f t="shared" si="22"/>
        <v>0</v>
      </c>
      <c r="L268" s="466">
        <v>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106997</v>
      </c>
      <c r="E270" s="615"/>
      <c r="F270" s="615"/>
      <c r="G270" s="615"/>
      <c r="H270" s="615"/>
      <c r="I270" s="615"/>
      <c r="J270" s="615"/>
      <c r="K270" s="1690">
        <f>SUM(K263:K269)</f>
        <v>106997</v>
      </c>
      <c r="L270" s="1690">
        <f>SUM(L263:L269)</f>
        <v>60960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10</v>
      </c>
      <c r="E275" s="615"/>
      <c r="F275" s="615"/>
      <c r="G275" s="615"/>
      <c r="H275" s="615"/>
      <c r="I275" s="615"/>
      <c r="J275" s="615"/>
      <c r="K275" s="1692">
        <f>D275</f>
        <v>10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10</v>
      </c>
      <c r="E277" s="615"/>
      <c r="F277" s="615"/>
      <c r="G277" s="615"/>
      <c r="H277" s="615"/>
      <c r="I277" s="615"/>
      <c r="J277" s="615"/>
      <c r="K277" s="1690">
        <f>SUM(K272:K276)</f>
        <v>10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169319</v>
      </c>
      <c r="E279" s="615"/>
      <c r="F279" s="615"/>
      <c r="G279" s="615"/>
      <c r="H279" s="615"/>
      <c r="I279" s="615"/>
      <c r="J279" s="615"/>
      <c r="K279" s="1697">
        <f>SUM(K238,K243,K257,K261,K270,K277,K278)</f>
        <v>169319</v>
      </c>
      <c r="L279" s="1697">
        <f>SUM(L238,L243,L257,L261,L270,L277,L278)</f>
        <v>128510</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1952</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324" t="s">
        <v>526</v>
      </c>
      <c r="B295" s="2325"/>
      <c r="C295" s="615"/>
      <c r="D295" s="1690">
        <f>SUM(D229,D279,D280,D285)</f>
        <v>264482</v>
      </c>
      <c r="E295" s="615"/>
      <c r="F295" s="615"/>
      <c r="G295" s="615"/>
      <c r="H295" s="1690">
        <f>H293</f>
        <v>0</v>
      </c>
      <c r="I295" s="615"/>
      <c r="J295" s="615"/>
      <c r="K295" s="1690">
        <f>SUM(K229,K279,K280,K285,K293,K294)</f>
        <v>264482</v>
      </c>
      <c r="L295" s="1690">
        <f>SUM(L229,L279,L280,L285,L293,L294)</f>
        <v>235210</v>
      </c>
    </row>
    <row r="296" spans="1:14" ht="13.5" thickTop="1" x14ac:dyDescent="0.2">
      <c r="A296" s="2306" t="s">
        <v>1053</v>
      </c>
      <c r="B296" s="2307"/>
      <c r="C296" s="615"/>
      <c r="D296" s="617"/>
      <c r="E296" s="615"/>
      <c r="F296" s="615"/>
      <c r="G296" s="615"/>
      <c r="H296" s="686"/>
      <c r="I296" s="615"/>
      <c r="J296" s="615"/>
      <c r="K296" s="1704">
        <f>'Revenues 9-14'!G275-'Expenditures 15-22'!K295</f>
        <v>200007</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316" t="s">
        <v>145</v>
      </c>
      <c r="B298" s="2310"/>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1957</v>
      </c>
      <c r="B306" s="689" t="s">
        <v>1952</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321" t="s">
        <v>295</v>
      </c>
      <c r="B312" s="2322"/>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317" t="s">
        <v>1053</v>
      </c>
      <c r="B313" s="2318"/>
      <c r="C313" s="625"/>
      <c r="D313" s="625"/>
      <c r="E313" s="625"/>
      <c r="F313" s="625"/>
      <c r="G313" s="625"/>
      <c r="H313" s="625"/>
      <c r="I313" s="625"/>
      <c r="J313" s="625"/>
      <c r="K313" s="1705">
        <f>'Revenues 9-14'!H275-'Expenditures 15-22'!K312</f>
        <v>117543</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330" t="s">
        <v>151</v>
      </c>
      <c r="B315" s="2331"/>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332" t="s">
        <v>954</v>
      </c>
      <c r="B317" s="2331"/>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1903</v>
      </c>
      <c r="B320" s="697" t="s">
        <v>300</v>
      </c>
      <c r="C320" s="467">
        <v>0</v>
      </c>
      <c r="D320" s="467">
        <v>0</v>
      </c>
      <c r="E320" s="467">
        <v>50938</v>
      </c>
      <c r="F320" s="467">
        <v>0</v>
      </c>
      <c r="G320" s="467">
        <v>0</v>
      </c>
      <c r="H320" s="467">
        <v>0</v>
      </c>
      <c r="I320" s="467">
        <v>0</v>
      </c>
      <c r="J320" s="467">
        <v>0</v>
      </c>
      <c r="K320" s="1691">
        <f t="shared" ref="K320:K327" si="24">SUM(C320:J320)</f>
        <v>50938</v>
      </c>
      <c r="L320" s="467">
        <v>50938</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54743</v>
      </c>
      <c r="F322" s="467">
        <v>0</v>
      </c>
      <c r="G322" s="467">
        <v>0</v>
      </c>
      <c r="H322" s="467">
        <v>0</v>
      </c>
      <c r="I322" s="467">
        <v>0</v>
      </c>
      <c r="J322" s="467">
        <v>0</v>
      </c>
      <c r="K322" s="1691">
        <f t="shared" si="24"/>
        <v>54743</v>
      </c>
      <c r="L322" s="467">
        <v>76500</v>
      </c>
      <c r="M322" s="664"/>
      <c r="N322" s="664"/>
    </row>
    <row r="323" spans="1:14" s="673" customFormat="1" x14ac:dyDescent="0.2">
      <c r="A323" s="1539" t="s">
        <v>726</v>
      </c>
      <c r="B323" s="696" t="s">
        <v>303</v>
      </c>
      <c r="C323" s="467">
        <v>0</v>
      </c>
      <c r="D323" s="467">
        <v>0</v>
      </c>
      <c r="E323" s="467">
        <v>374</v>
      </c>
      <c r="F323" s="467">
        <v>0</v>
      </c>
      <c r="G323" s="467">
        <v>0</v>
      </c>
      <c r="H323" s="467">
        <v>0</v>
      </c>
      <c r="I323" s="467">
        <v>0</v>
      </c>
      <c r="J323" s="467">
        <v>0</v>
      </c>
      <c r="K323" s="1691">
        <f t="shared" si="24"/>
        <v>374</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480000</v>
      </c>
      <c r="D325" s="467">
        <v>0</v>
      </c>
      <c r="E325" s="467">
        <v>12503</v>
      </c>
      <c r="F325" s="467">
        <v>0</v>
      </c>
      <c r="G325" s="467">
        <v>0</v>
      </c>
      <c r="H325" s="467">
        <v>0</v>
      </c>
      <c r="I325" s="467">
        <v>0</v>
      </c>
      <c r="J325" s="467">
        <v>0</v>
      </c>
      <c r="K325" s="1691">
        <f t="shared" si="24"/>
        <v>492503</v>
      </c>
      <c r="L325" s="467">
        <v>493000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9921</v>
      </c>
      <c r="F327" s="467">
        <v>0</v>
      </c>
      <c r="G327" s="467">
        <v>0</v>
      </c>
      <c r="H327" s="467">
        <v>0</v>
      </c>
      <c r="I327" s="467">
        <v>0</v>
      </c>
      <c r="J327" s="467">
        <v>0</v>
      </c>
      <c r="K327" s="1691">
        <f t="shared" si="24"/>
        <v>9921</v>
      </c>
      <c r="L327" s="467">
        <v>10000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480000</v>
      </c>
      <c r="D330" s="1690">
        <f t="shared" ref="D330:J330" si="25">SUM(D319:D329)</f>
        <v>0</v>
      </c>
      <c r="E330" s="1690">
        <f t="shared" si="25"/>
        <v>128479</v>
      </c>
      <c r="F330" s="1690">
        <f t="shared" si="25"/>
        <v>0</v>
      </c>
      <c r="G330" s="1690">
        <f t="shared" si="25"/>
        <v>0</v>
      </c>
      <c r="H330" s="1690">
        <f t="shared" si="25"/>
        <v>0</v>
      </c>
      <c r="I330" s="1690">
        <f t="shared" si="25"/>
        <v>0</v>
      </c>
      <c r="J330" s="1690">
        <f t="shared" si="25"/>
        <v>0</v>
      </c>
      <c r="K330" s="1690">
        <f>SUM(K319:K329)</f>
        <v>608479</v>
      </c>
      <c r="L330" s="1690">
        <f>SUM(L319:L329)</f>
        <v>630438</v>
      </c>
      <c r="M330" s="664"/>
      <c r="N330" s="664"/>
    </row>
    <row r="331" spans="1:14" s="673" customFormat="1" ht="12.75" customHeight="1" thickTop="1" x14ac:dyDescent="0.2">
      <c r="A331" s="1852" t="s">
        <v>1958</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1952</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1954</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1959</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480000</v>
      </c>
      <c r="D342" s="1690">
        <f>SUM(D330)</f>
        <v>0</v>
      </c>
      <c r="E342" s="1690">
        <f>SUM(E330)</f>
        <v>128479</v>
      </c>
      <c r="F342" s="1690">
        <f>SUM(F330)</f>
        <v>0</v>
      </c>
      <c r="G342" s="1690">
        <f>SUM(G330)</f>
        <v>0</v>
      </c>
      <c r="H342" s="1690">
        <f>SUM(H330,H334,H340)</f>
        <v>0</v>
      </c>
      <c r="I342" s="1690">
        <f>SUM(I330)</f>
        <v>0</v>
      </c>
      <c r="J342" s="1690">
        <f>SUM(J330)</f>
        <v>0</v>
      </c>
      <c r="K342" s="1690">
        <f>SUM(K330,K334,K340)</f>
        <v>608479</v>
      </c>
      <c r="L342" s="1697">
        <f>SUM(L330,L340,L341)</f>
        <v>630438</v>
      </c>
    </row>
    <row r="343" spans="1:14" ht="12.75" customHeight="1" thickTop="1" x14ac:dyDescent="0.2">
      <c r="A343" s="2319" t="s">
        <v>1053</v>
      </c>
      <c r="B343" s="2320"/>
      <c r="C343" s="615"/>
      <c r="D343" s="615"/>
      <c r="E343" s="615"/>
      <c r="F343" s="615"/>
      <c r="G343" s="615"/>
      <c r="H343" s="615"/>
      <c r="I343" s="615"/>
      <c r="J343" s="615"/>
      <c r="K343" s="1704">
        <f>'Revenues 9-14'!J275-'Expenditures 15-22'!K342</f>
        <v>775</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309" t="s">
        <v>1023</v>
      </c>
      <c r="B345" s="2310"/>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1960</v>
      </c>
      <c r="B354" s="682" t="s">
        <v>1952</v>
      </c>
      <c r="C354" s="615"/>
      <c r="D354" s="615"/>
      <c r="E354" s="615"/>
      <c r="F354" s="615"/>
      <c r="G354" s="615"/>
      <c r="H354" s="474">
        <v>0</v>
      </c>
      <c r="I354" s="700"/>
      <c r="J354" s="615"/>
      <c r="K354" s="1719">
        <f>H354</f>
        <v>0</v>
      </c>
      <c r="L354" s="471">
        <v>0</v>
      </c>
    </row>
    <row r="355" spans="1:14" ht="12.75" customHeight="1" x14ac:dyDescent="0.2">
      <c r="A355" s="1533" t="s">
        <v>1961</v>
      </c>
      <c r="B355" s="689" t="s">
        <v>1954</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1770</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306" t="s">
        <v>1053</v>
      </c>
      <c r="B368" s="2307"/>
      <c r="C368" s="653"/>
      <c r="D368" s="653"/>
      <c r="E368" s="625"/>
      <c r="F368" s="625"/>
      <c r="G368" s="625"/>
      <c r="H368" s="625"/>
      <c r="I368" s="625"/>
      <c r="J368" s="622"/>
      <c r="K368" s="1691">
        <f>'Revenues 9-14'!K275-'Expenditures 15-22'!K367</f>
        <v>45596</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sharepoint/v3"/>
    <ds:schemaRef ds:uri="http://schemas.microsoft.com/office/2006/documentManagement/types"/>
    <ds:schemaRef ds:uri="d21dc803-237d-4c68-8692-8d731fd29118"/>
    <ds:schemaRef ds:uri="http://purl.org/dc/terms/"/>
    <ds:schemaRef ds:uri="http://purl.org/dc/dcmitype/"/>
    <ds:schemaRef ds:uri="http://schemas.microsoft.com/office/infopath/2007/PartnerControls"/>
    <ds:schemaRef ds:uri="6ce3111e-7420-4802-b50a-75d4e9a0b980"/>
    <ds:schemaRef ds:uri="http://purl.org/dc/elements/1.1/"/>
    <ds:schemaRef ds:uri="http://schemas.microsoft.com/office/2006/metadata/properties"/>
    <ds:schemaRef ds:uri="http://schemas.openxmlformats.org/package/2006/metadata/core-properties"/>
    <ds:schemaRef ds:uri="4d435f69-8686-490b-bd6d-b153bf22ab50"/>
    <ds:schemaRef ds:uri="http://www.w3.org/XML/1998/namespac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SEFA18</vt:lpstr>
      <vt:lpstr>SF&amp;QC Sec-1</vt:lpstr>
      <vt:lpstr>Finding 2018-001</vt:lpstr>
      <vt:lpstr>SF&amp;QC Sec-2</vt:lpstr>
      <vt:lpstr>SF&amp;QC Sec-3</vt:lpstr>
      <vt:lpstr>SSPAF</vt:lpstr>
      <vt:lpstr>' SEFA'!Print_Area</vt:lpstr>
      <vt:lpstr>'SEFA NOTES'!Print_Area</vt:lpstr>
      <vt:lpstr>'SEFA Reconcile'!Print_Area</vt:lpstr>
      <vt:lpstr>SEFA18!Print_Area</vt:lpstr>
      <vt:lpstr>'SF&amp;QC Sec-1'!Print_Area</vt:lpstr>
      <vt:lpstr>'SF&amp;QC Sec-3'!Print_Area</vt:lpstr>
      <vt:lpstr>'Single Audit Checklist'!Print_Area</vt:lpstr>
      <vt:lpstr>'Single Audit Cover'!Print_Area</vt:lpstr>
      <vt:lpstr>SEFA18!Print_Area_MI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2018-10-08T21:20:44Z</cp:lastPrinted>
  <dcterms:created xsi:type="dcterms:W3CDTF">2003-10-29T19:06:34Z</dcterms:created>
  <dcterms:modified xsi:type="dcterms:W3CDTF">2018-10-30T13:36:02Z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