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G25" i="179" l="1"/>
  <c r="G27" i="183" s="1"/>
  <c r="D35" i="171"/>
  <c r="I18" i="183"/>
  <c r="F19" i="183"/>
  <c r="F17" i="183"/>
  <c r="F13" i="183"/>
  <c r="F14" i="183"/>
  <c r="F24" i="179"/>
  <c r="F17" i="179"/>
  <c r="F13" i="179"/>
  <c r="F27" i="183" s="1"/>
  <c r="M27" i="183"/>
  <c r="K27" i="183"/>
  <c r="J27" i="183"/>
  <c r="I27" i="183"/>
  <c r="H27" i="183"/>
  <c r="E27" i="183"/>
  <c r="L26" i="183"/>
  <c r="L25" i="183"/>
  <c r="L24" i="183"/>
  <c r="L23" i="183"/>
  <c r="L22" i="183"/>
  <c r="L21" i="183"/>
  <c r="L20" i="183"/>
  <c r="L19" i="183"/>
  <c r="L18" i="183"/>
  <c r="L17" i="183"/>
  <c r="L16" i="183"/>
  <c r="L15" i="183"/>
  <c r="L14" i="183"/>
  <c r="L13" i="183"/>
  <c r="L12" i="183"/>
  <c r="L11" i="183"/>
  <c r="B4" i="183"/>
  <c r="B1" i="183"/>
  <c r="E11" i="108"/>
  <c r="D26" i="181"/>
  <c r="J33" i="8"/>
  <c r="J31" i="8"/>
  <c r="L27" i="183" l="1"/>
  <c r="C5"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E26" i="181"/>
  <c r="F26" i="181" s="1"/>
  <c r="G26" i="181" s="1"/>
  <c r="E25" i="181"/>
  <c r="F25" i="181" s="1"/>
  <c r="G25" i="181" s="1"/>
  <c r="F24" i="181"/>
  <c r="G24" i="181" s="1"/>
  <c r="E24" i="181"/>
  <c r="E23" i="181"/>
  <c r="F23" i="181" s="1"/>
  <c r="G23" i="181" s="1"/>
  <c r="F22" i="181"/>
  <c r="G22" i="181" s="1"/>
  <c r="E22" i="18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9" l="1"/>
  <c r="B2" i="183"/>
  <c r="A2" i="173"/>
  <c r="B2" i="177"/>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c r="B5122" i="106"/>
  <c r="D5122" i="106" s="1"/>
  <c r="B5123" i="106"/>
  <c r="D5123" i="106"/>
  <c r="B5124" i="106"/>
  <c r="D5124" i="106" s="1"/>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c r="B6302" i="106"/>
  <c r="D6302" i="106" s="1"/>
  <c r="B6303" i="106"/>
  <c r="D6303" i="106"/>
  <c r="B6304" i="106"/>
  <c r="D6304" i="106" s="1"/>
  <c r="B6305" i="106"/>
  <c r="D6305" i="106" s="1"/>
  <c r="B6307" i="106"/>
  <c r="D6307" i="106" s="1"/>
  <c r="B6308" i="106"/>
  <c r="D6308" i="106"/>
  <c r="B6309" i="106"/>
  <c r="D6309" i="106" s="1"/>
  <c r="B6310" i="106"/>
  <c r="D6310" i="106"/>
  <c r="B6311" i="106"/>
  <c r="D6311" i="106" s="1"/>
  <c r="B6312" i="106"/>
  <c r="D6312" i="106"/>
  <c r="B6313" i="106"/>
  <c r="D6313" i="106" s="1"/>
  <c r="B6314" i="106"/>
  <c r="D6314" i="106" s="1"/>
  <c r="B6315" i="106"/>
  <c r="D6315" i="106" s="1"/>
  <c r="B6316" i="106"/>
  <c r="D6316" i="106"/>
  <c r="B6317" i="106"/>
  <c r="D6317" i="106" s="1"/>
  <c r="B6319" i="106"/>
  <c r="D6319" i="106"/>
  <c r="B6320" i="106"/>
  <c r="D6320" i="106" s="1"/>
  <c r="B6321" i="106"/>
  <c r="D6321" i="106"/>
  <c r="B6322" i="106"/>
  <c r="D6322" i="106" s="1"/>
  <c r="B6323" i="106"/>
  <c r="D6323" i="106" s="1"/>
  <c r="B6324" i="106"/>
  <c r="D6324" i="106" s="1"/>
  <c r="B6325" i="106"/>
  <c r="D6325" i="106"/>
  <c r="B6326" i="106"/>
  <c r="D6326" i="106" s="1"/>
  <c r="B6327" i="106"/>
  <c r="D6327" i="106"/>
  <c r="B6328" i="106"/>
  <c r="D6328" i="106" s="1"/>
  <c r="B6329" i="106"/>
  <c r="D6329" i="106"/>
  <c r="B6330" i="106"/>
  <c r="D6330" i="106" s="1"/>
  <c r="B6331" i="106"/>
  <c r="D6331" i="106" s="1"/>
  <c r="B6332" i="106"/>
  <c r="D6332" i="106" s="1"/>
  <c r="B6333" i="106"/>
  <c r="D6333" i="106"/>
  <c r="B6334" i="106"/>
  <c r="D6334" i="106" s="1"/>
  <c r="B6335" i="106"/>
  <c r="D6335" i="106"/>
  <c r="B6336" i="106"/>
  <c r="D6336" i="106" s="1"/>
  <c r="B6337" i="106"/>
  <c r="D6337" i="106"/>
  <c r="B6338" i="106"/>
  <c r="D6338" i="106" s="1"/>
  <c r="B6339" i="106"/>
  <c r="D6339" i="106" s="1"/>
  <c r="B6340" i="106"/>
  <c r="D6340" i="106" s="1"/>
  <c r="B6341" i="106"/>
  <c r="D6341" i="106"/>
  <c r="B6342" i="106"/>
  <c r="D6342" i="106" s="1"/>
  <c r="B6343" i="106"/>
  <c r="D6343" i="106"/>
  <c r="B6344" i="106"/>
  <c r="D6344" i="106" s="1"/>
  <c r="B6345" i="106"/>
  <c r="D6345" i="106"/>
  <c r="B6346" i="106"/>
  <c r="D6346" i="106" s="1"/>
  <c r="B6347" i="106"/>
  <c r="D6347" i="106" s="1"/>
  <c r="B6348" i="106"/>
  <c r="D6348" i="106" s="1"/>
  <c r="B6349" i="106"/>
  <c r="D6349" i="106"/>
  <c r="B6350" i="106"/>
  <c r="D6350" i="106" s="1"/>
  <c r="B6353" i="106"/>
  <c r="D6353" i="106"/>
  <c r="B6354" i="106"/>
  <c r="D6354" i="106" s="1"/>
  <c r="B6355" i="106"/>
  <c r="D6355" i="106"/>
  <c r="B6356" i="106"/>
  <c r="D6356" i="106" s="1"/>
  <c r="B6358" i="106"/>
  <c r="D6358" i="106" s="1"/>
  <c r="B6359" i="106"/>
  <c r="D6359" i="106" s="1"/>
  <c r="B6360" i="106"/>
  <c r="D6360" i="106"/>
  <c r="B6361" i="106"/>
  <c r="D6361" i="106" s="1"/>
  <c r="B6362" i="106"/>
  <c r="D6362" i="106"/>
  <c r="B6363" i="106"/>
  <c r="D6363" i="106" s="1"/>
  <c r="B6364" i="106"/>
  <c r="D6364" i="106"/>
  <c r="B6365" i="106"/>
  <c r="D6365" i="106" s="1"/>
  <c r="B6366" i="106"/>
  <c r="D6366" i="106" s="1"/>
  <c r="B6367" i="106"/>
  <c r="D6367" i="106" s="1"/>
  <c r="B6368" i="106"/>
  <c r="D6368" i="106"/>
  <c r="B6369" i="106"/>
  <c r="D6369" i="106" s="1"/>
  <c r="B6370" i="106"/>
  <c r="D6370" i="106"/>
  <c r="B6371" i="106"/>
  <c r="D6371" i="106" s="1"/>
  <c r="B6372" i="106"/>
  <c r="D6372" i="106"/>
  <c r="B6373" i="106"/>
  <c r="D6373" i="106" s="1"/>
  <c r="B6374" i="106"/>
  <c r="D6374" i="106" s="1"/>
  <c r="B6375" i="106"/>
  <c r="D6375" i="106" s="1"/>
  <c r="B6376" i="106"/>
  <c r="D6376" i="106"/>
  <c r="B6377" i="106"/>
  <c r="D6377" i="106" s="1"/>
  <c r="B6378" i="106"/>
  <c r="D6378" i="106"/>
  <c r="B6379" i="106"/>
  <c r="D6379" i="106" s="1"/>
  <c r="B6380" i="106"/>
  <c r="D6380" i="106"/>
  <c r="B6381" i="106"/>
  <c r="D6381" i="106" s="1"/>
  <c r="B6382" i="106"/>
  <c r="D6382" i="106" s="1"/>
  <c r="B6383" i="106"/>
  <c r="D6383" i="106" s="1"/>
  <c r="B6384" i="106"/>
  <c r="D6384" i="106"/>
  <c r="B6385" i="106"/>
  <c r="D6385" i="106" s="1"/>
  <c r="B6386" i="106"/>
  <c r="D6386" i="106"/>
  <c r="B6387" i="106"/>
  <c r="D6387" i="106" s="1"/>
  <c r="B6388" i="106"/>
  <c r="D6388" i="106"/>
  <c r="B6389" i="106"/>
  <c r="D6389" i="106" s="1"/>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71" i="36"/>
  <c r="D72" i="36"/>
  <c r="D79" i="36"/>
  <c r="B64" i="127"/>
  <c r="B65" i="127"/>
  <c r="D26" i="108"/>
  <c r="E26" i="108"/>
  <c r="F26" i="108"/>
  <c r="G26" i="108"/>
  <c r="E27" i="108"/>
  <c r="G27" i="108"/>
  <c r="F31" i="108"/>
  <c r="F37" i="108"/>
  <c r="G28" i="108"/>
  <c r="E30" i="108"/>
  <c r="G30"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c r="D5120" i="106" s="1"/>
  <c r="D108" i="5"/>
  <c r="B5355" i="106" s="1"/>
  <c r="D5355" i="106" s="1"/>
  <c r="E108" i="5"/>
  <c r="B5526" i="106"/>
  <c r="D5526" i="106" s="1"/>
  <c r="F108" i="5"/>
  <c r="B5587" i="106" s="1"/>
  <c r="D5587" i="106" s="1"/>
  <c r="G108" i="5"/>
  <c r="B5737" i="106"/>
  <c r="D5737" i="106" s="1"/>
  <c r="H108" i="5"/>
  <c r="H109" i="5" s="1"/>
  <c r="B6025" i="106" s="1"/>
  <c r="D6025"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72" i="5" s="1"/>
  <c r="B5770" i="106" s="1"/>
  <c r="D5770"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F131" i="34" s="1"/>
  <c r="B4412" i="106"/>
  <c r="D4412" i="106" s="1"/>
  <c r="F216" i="5"/>
  <c r="B4413" i="106"/>
  <c r="D4413" i="106" s="1"/>
  <c r="G216" i="5"/>
  <c r="B4414" i="106"/>
  <c r="D4414"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C14" i="4"/>
  <c r="B2558" i="106" s="1"/>
  <c r="D2558" i="106" s="1"/>
  <c r="D14" i="4"/>
  <c r="B2570" i="106" s="1"/>
  <c r="D2570" i="106" s="1"/>
  <c r="F14" i="4"/>
  <c r="B2597" i="106" s="1"/>
  <c r="D2597" i="106" s="1"/>
  <c r="B2633" i="106"/>
  <c r="D2633" i="106" s="1"/>
  <c r="D7" i="118"/>
  <c r="D8" i="118"/>
  <c r="D9" i="118"/>
  <c r="H14" i="118"/>
  <c r="H19" i="118"/>
  <c r="H24" i="118"/>
  <c r="H28" i="118"/>
  <c r="H33" i="118"/>
  <c r="D11" i="37"/>
  <c r="D22" i="37"/>
  <c r="H22" i="37"/>
  <c r="J22" i="37"/>
  <c r="L22" i="37"/>
  <c r="D24" i="37"/>
  <c r="B4270" i="106" s="1"/>
  <c r="D4270" i="106" s="1"/>
  <c r="L5" i="11"/>
  <c r="B2056" i="106" s="1"/>
  <c r="D2056" i="106" s="1"/>
  <c r="D4" i="7"/>
  <c r="B1760" i="106" s="1"/>
  <c r="D1760" i="106" s="1"/>
  <c r="D13" i="7"/>
  <c r="B3726" i="106" s="1"/>
  <c r="D3726" i="106" s="1"/>
  <c r="D9" i="7"/>
  <c r="B1767" i="106" s="1"/>
  <c r="D1767" i="106" s="1"/>
  <c r="F128" i="34"/>
  <c r="B5847" i="106"/>
  <c r="D5847" i="106" s="1"/>
  <c r="H173" i="5"/>
  <c r="B5906" i="106" s="1"/>
  <c r="D5906" i="106" s="1"/>
  <c r="F106" i="34"/>
  <c r="D17" i="7"/>
  <c r="B4104" i="106" s="1"/>
  <c r="D4104" i="106" s="1"/>
  <c r="D12" i="7"/>
  <c r="B1769" i="106" s="1"/>
  <c r="D1769" i="106" s="1"/>
  <c r="D11" i="7"/>
  <c r="B1768" i="106" s="1"/>
  <c r="D1768" i="106" s="1"/>
  <c r="N22" i="3" l="1"/>
  <c r="B283" i="106" s="1"/>
  <c r="D283" i="106" s="1"/>
  <c r="F130" i="34"/>
  <c r="I173" i="5"/>
  <c r="B4216" i="106" s="1"/>
  <c r="D4216" i="106" s="1"/>
  <c r="F42" i="34"/>
  <c r="C342" i="29"/>
  <c r="B7216" i="106" s="1"/>
  <c r="D7216" i="106" s="1"/>
  <c r="B5752" i="106"/>
  <c r="D5752" i="106" s="1"/>
  <c r="K173" i="5"/>
  <c r="K6" i="4" s="1"/>
  <c r="B3570" i="106" s="1"/>
  <c r="D3570" i="106" s="1"/>
  <c r="L367" i="29"/>
  <c r="D15" i="7"/>
  <c r="B1772" i="106" s="1"/>
  <c r="D1772" i="106" s="1"/>
  <c r="H6" i="4"/>
  <c r="B2656" i="106" s="1"/>
  <c r="D2656" i="106" s="1"/>
  <c r="K274" i="5"/>
  <c r="F127" i="34"/>
  <c r="D5" i="4"/>
  <c r="B3406" i="106" s="1"/>
  <c r="D3406" i="106" s="1"/>
  <c r="J274" i="5"/>
  <c r="B7054" i="106" s="1"/>
  <c r="D7054" i="106" s="1"/>
  <c r="G109" i="5"/>
  <c r="B5886" i="106"/>
  <c r="D5886" i="106" s="1"/>
  <c r="F46" i="34"/>
  <c r="B6191" i="106"/>
  <c r="D6191" i="106" s="1"/>
  <c r="J41" i="3"/>
  <c r="B3649" i="106"/>
  <c r="D3649" i="106" s="1"/>
  <c r="G367" i="29"/>
  <c r="E109" i="5"/>
  <c r="E4" i="4" s="1"/>
  <c r="B2630" i="106" s="1"/>
  <c r="D2630" i="106" s="1"/>
  <c r="K350" i="29"/>
  <c r="F77" i="4"/>
  <c r="B3255" i="106" s="1"/>
  <c r="D3255" i="106" s="1"/>
  <c r="K24" i="12"/>
  <c r="B7733" i="106" s="1"/>
  <c r="D7733" i="106" s="1"/>
  <c r="B3647" i="106"/>
  <c r="D3647" i="106" s="1"/>
  <c r="B3621" i="106"/>
  <c r="D3621" i="106" s="1"/>
  <c r="C367" i="29"/>
  <c r="L15" i="11"/>
  <c r="B3459" i="106" s="1"/>
  <c r="D3459" i="106" s="1"/>
  <c r="B1223" i="106"/>
  <c r="D1223" i="106" s="1"/>
  <c r="B4268" i="106"/>
  <c r="D4268" i="106" s="1"/>
  <c r="K285" i="29"/>
  <c r="G210" i="29"/>
  <c r="K26" i="12"/>
  <c r="B7743" i="106" s="1"/>
  <c r="D7743" i="106" s="1"/>
  <c r="D69" i="36"/>
  <c r="F19" i="7"/>
  <c r="B1807" i="106" s="1"/>
  <c r="D1807" i="106" s="1"/>
  <c r="F72" i="34"/>
  <c r="G14" i="4"/>
  <c r="B2609" i="106" s="1"/>
  <c r="D2609" i="106" s="1"/>
  <c r="B1410" i="106"/>
  <c r="D1410" i="106" s="1"/>
  <c r="E29" i="108"/>
  <c r="G29" i="108"/>
  <c r="K184" i="29"/>
  <c r="F13" i="4" s="1"/>
  <c r="B2596" i="106" s="1"/>
  <c r="D2596" i="106" s="1"/>
  <c r="B1329" i="106"/>
  <c r="D1329" i="106" s="1"/>
  <c r="F61" i="34"/>
  <c r="F28" i="108"/>
  <c r="D36" i="108"/>
  <c r="F36" i="108"/>
  <c r="E28" i="108"/>
  <c r="F27" i="108"/>
  <c r="F34" i="34"/>
  <c r="F111" i="34"/>
  <c r="C172" i="5"/>
  <c r="G173" i="5"/>
  <c r="B5778" i="106" s="1"/>
  <c r="D5778" i="106" s="1"/>
  <c r="H4" i="4"/>
  <c r="B2655" i="106" s="1"/>
  <c r="D2655" i="106" s="1"/>
  <c r="C109" i="5"/>
  <c r="B5121" i="106" s="1"/>
  <c r="D5121" i="106" s="1"/>
  <c r="B5066" i="106"/>
  <c r="D5066" i="106" s="1"/>
  <c r="D7" i="7"/>
  <c r="B1763" i="106" s="1"/>
  <c r="D1763" i="106" s="1"/>
  <c r="B1746" i="106"/>
  <c r="D1746" i="106" s="1"/>
  <c r="D109" i="5"/>
  <c r="D5" i="7"/>
  <c r="B1761" i="106" s="1"/>
  <c r="D1761" i="106" s="1"/>
  <c r="D54" i="36"/>
  <c r="H29" i="118"/>
  <c r="K28" i="118" s="1"/>
  <c r="O27" i="118" s="1"/>
  <c r="O29" i="118"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F73" i="34" l="1"/>
  <c r="G15" i="4"/>
  <c r="B6032" i="106" s="1"/>
  <c r="D6032" i="106" s="1"/>
  <c r="H367" i="29"/>
  <c r="B3660" i="106" s="1"/>
  <c r="D3660" i="106" s="1"/>
  <c r="B3670" i="106"/>
  <c r="D3670" i="106" s="1"/>
  <c r="K352" i="29"/>
  <c r="K367" i="29" s="1"/>
  <c r="B6024" i="106"/>
  <c r="D6024" i="106" s="1"/>
  <c r="G4" i="4"/>
  <c r="B2603" i="106" s="1"/>
  <c r="D2603" i="106" s="1"/>
  <c r="B1365" i="106"/>
  <c r="D1365" i="106" s="1"/>
  <c r="F65" i="34"/>
  <c r="F41" i="108"/>
  <c r="G43" i="108" s="1"/>
  <c r="B1317" i="106"/>
  <c r="D1317" i="106" s="1"/>
  <c r="C114" i="29"/>
  <c r="B757" i="106" s="1"/>
  <c r="D757" i="106" s="1"/>
  <c r="F275" i="5"/>
  <c r="B5720" i="106" s="1"/>
  <c r="D5720" i="106" s="1"/>
  <c r="B5214" i="106"/>
  <c r="D5214" i="106" s="1"/>
  <c r="C173" i="5"/>
  <c r="C4" i="4"/>
  <c r="B2551" i="106" s="1"/>
  <c r="D2551" i="106" s="1"/>
  <c r="D19" i="7"/>
  <c r="B1775" i="106" s="1"/>
  <c r="D1775" i="106" s="1"/>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E41" i="108"/>
  <c r="E44" i="108" s="1"/>
  <c r="E45" i="108" s="1"/>
  <c r="G41" i="108"/>
  <c r="G44" i="108" s="1"/>
  <c r="G45" i="108" s="1"/>
  <c r="B5223" i="106"/>
  <c r="D5223" i="106" s="1"/>
  <c r="C6" i="4"/>
  <c r="B2553" i="106" s="1"/>
  <c r="D2553" i="106"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D10" i="171"/>
  <c r="D19" i="171" s="1"/>
  <c r="D32" i="171" s="1"/>
  <c r="D49" i="171" s="1"/>
  <c r="B2595" i="106"/>
  <c r="D2595" i="106" s="1"/>
  <c r="F10" i="4"/>
  <c r="B4125" i="106" s="1"/>
  <c r="D4125" i="106" s="1"/>
  <c r="D8" i="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<sst xmlns="http://schemas.openxmlformats.org/spreadsheetml/2006/main" count="5197" uniqueCount="2182">
  <si>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</si>
  <si>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</si>
  <si>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</si>
  <si>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</si>
  <si>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</si>
  <si>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</si>
  <si>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</si>
  <si>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</si>
  <si>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</si>
  <si>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</si>
  <si>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</si>
  <si>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</si>
  <si>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</si>
  <si>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</si>
  <si>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</si>
  <si>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</si>
  <si>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</si>
  <si>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</si>
  <si>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</si>
  <si>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</si>
  <si>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</si>
  <si>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</si>
  <si>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</si>
  <si>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</si>
  <si>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</si>
  <si>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</si>
  <si>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</si>
  <si>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</si>
  <si>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</si>
  <si>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</si>
  <si>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</si>
  <si>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</si>
  <si>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</si>
  <si>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</si>
  <si>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</si>
  <si>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</si>
  <si>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</si>
  <si>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</si>
  <si>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</si>
  <si>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</si>
  <si>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</si>
  <si>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</si>
  <si>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</si>
  <si>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</si>
  <si>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</si>
  <si>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</si>
  <si>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</si>
  <si>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</si>
  <si>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</si>
  <si>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</si>
  <si>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</si>
  <si>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</si>
  <si>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</si>
  <si>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</si>
  <si>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</si>
  <si>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</si>
  <si>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</si>
  <si>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</si>
  <si>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</si>
  <si>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</si>
  <si>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</si>
  <si>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</si>
  <si>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</si>
  <si>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</si>
  <si>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</si>
  <si>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</si>
  <si>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</si>
  <si>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</si>
  <si>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</si>
  <si>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</si>
  <si>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</si>
  <si>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</si>
  <si>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</si>
  <si>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</si>
  <si>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</si>
  <si>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</si>
  <si>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</si>
  <si>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</si>
  <si>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</si>
  <si>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</si>
  <si>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</si>
  <si>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</si>
  <si>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</si>
  <si>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</si>
  <si>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</si>
  <si>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</si>
  <si>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</si>
  <si>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</si>
  <si>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</si>
  <si>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</si>
  <si>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</si>
  <si>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</si>
  <si>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</si>
  <si>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</si>
  <si>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</si>
  <si>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</si>
  <si>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</si>
  <si>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</si>
  <si>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</si>
  <si>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</si>
  <si>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</si>
  <si>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</si>
  <si>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</si>
  <si>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</si>
  <si>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</si>
  <si>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</si>
  <si>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</si>
  <si>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</si>
  <si>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</si>
  <si>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</si>
  <si>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</si>
  <si>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</si>
  <si>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</si>
  <si>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</si>
  <si>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</si>
  <si>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</si>
  <si>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</si>
  <si>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</si>
  <si>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</si>
  <si>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</si>
  <si>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</si>
  <si>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</si>
  <si>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</si>
  <si>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</si>
  <si>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</si>
  <si>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</si>
  <si>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</si>
  <si>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</si>
  <si>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</si>
  <si>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</si>
  <si>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</si>
  <si>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</si>
  <si>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</si>
  <si>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</si>
  <si>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</si>
  <si>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</si>
  <si>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</si>
  <si>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</si>
  <si>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</si>
  <si>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</si>
  <si>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</si>
  <si>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</si>
  <si>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</si>
  <si>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</si>
  <si>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</si>
  <si>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</si>
  <si>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</si>
  <si>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</si>
  <si>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</si>
  <si>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</si>
  <si>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</si>
  <si>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</si>
  <si>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</si>
  <si>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</si>
  <si>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</si>
  <si>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</si>
  <si>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</si>
  <si>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</si>
  <si>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</si>
  <si>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</si>
  <si>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</si>
  <si>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</si>
  <si>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</si>
  <si>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</si>
  <si>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</si>
  <si>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</si>
  <si>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</si>
  <si>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</si>
  <si>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</si>
  <si>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</si>
  <si>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</si>
  <si>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</si>
  <si>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</si>
  <si>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</si>
  <si>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</si>
  <si>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</si>
  <si>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</si>
  <si>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</si>
  <si>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</si>
  <si>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</si>
  <si>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</si>
  <si>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</si>
  <si>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</si>
  <si>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</si>
  <si>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</si>
  <si>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</si>
  <si>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</si>
  <si>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</si>
  <si>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</si>
  <si>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</si>
  <si>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</si>
  <si>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</si>
  <si>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</si>
  <si>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</si>
  <si>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</si>
  <si>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</si>
  <si>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</si>
  <si>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</si>
  <si>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</si>
  <si>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</si>
  <si>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</si>
  <si>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</si>
  <si>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</si>
  <si>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</si>
  <si>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</si>
  <si>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</si>
  <si>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</si>
  <si>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</si>
  <si>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</si>
  <si>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</si>
  <si>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</si>
  <si>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</si>
  <si>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</si>
  <si>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</si>
  <si>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</si>
  <si>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</si>
  <si>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</si>
  <si>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</si>
  <si>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</si>
  <si>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</si>
  <si>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</si>
  <si>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</si>
  <si>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</si>
  <si>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</si>
  <si>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</si>
  <si>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</si>
  <si>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</si>
  <si>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</si>
  <si>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</si>
  <si>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</si>
  <si>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</si>
  <si>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</si>
  <si>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</si>
  <si>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</si>
  <si>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</si>
  <si>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</si>
  <si>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</si>
  <si>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</si>
  <si>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</si>
  <si>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</si>
  <si>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</si>
  <si>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</si>
  <si>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</si>
  <si>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</si>
  <si>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</si>
  <si>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</si>
  <si>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</si>
  <si>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</si>
  <si>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</si>
  <si>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</si>
  <si>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</si>
  <si>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</si>
  <si>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</si>
  <si>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</si>
  <si>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</si>
  <si>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</si>
  <si>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</si>
  <si>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</si>
  <si>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</si>
  <si>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</si>
  <si>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</si>
  <si>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</si>
  <si>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</si>
  <si>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</si>
  <si>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</si>
  <si>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</si>
  <si>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</si>
  <si>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</si>
  <si>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</si>
  <si>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</si>
  <si>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</si>
  <si>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</si>
  <si>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</si>
  <si>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</si>
  <si>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</si>
  <si>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</si>
  <si>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</si>
  <si>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</si>
  <si>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</si>
  <si>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</si>
  <si>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</si>
  <si>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</si>
  <si>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</si>
  <si>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</si>
  <si>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</si>
  <si>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</si>
  <si>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</si>
  <si>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</si>
  <si>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</si>
  <si>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</si>
  <si>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</si>
  <si>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</si>
  <si>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</si>
  <si>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</si>
  <si>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</si>
  <si>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</si>
  <si>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</si>
  <si>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</si>
  <si>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</si>
  <si>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</si>
  <si>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</si>
  <si>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</si>
  <si>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</si>
  <si>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</si>
  <si>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</si>
  <si>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</si>
  <si>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</si>
  <si>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</si>
  <si>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</si>
  <si>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</si>
  <si>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</si>
  <si>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</si>
  <si>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</si>
  <si>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</si>
  <si>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</si>
  <si>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</si>
  <si>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</si>
  <si>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</si>
  <si>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</si>
  <si>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</si>
  <si>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</si>
  <si>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</si>
  <si>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</si>
  <si>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</si>
  <si>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</si>
  <si>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</si>
  <si>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</si>
  <si>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</si>
  <si>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</si>
  <si>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</si>
  <si>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</si>
  <si>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</si>
  <si>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</si>
  <si>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</si>
  <si>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</si>
  <si>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</si>
  <si>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</si>
  <si>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</si>
  <si>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</si>
  <si>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</si>
  <si>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</si>
  <si>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</si>
  <si>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</si>
  <si>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</si>
  <si>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</si>
  <si>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</si>
  <si>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</si>
  <si>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</si>
  <si>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</si>
  <si>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</si>
  <si>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</si>
  <si>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</si>
  <si>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</si>
  <si>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</si>
  <si>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</si>
  <si>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</si>
  <si>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</si>
  <si>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</si>
  <si>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</si>
  <si>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</si>
  <si>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</si>
  <si>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</si>
  <si>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</si>
  <si>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</si>
  <si>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</si>
  <si>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</si>
  <si>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</si>
  <si>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</si>
  <si>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</si>
  <si>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</si>
  <si>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</si>
  <si>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</si>
  <si>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</si>
  <si>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</si>
  <si>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</si>
  <si>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</si>
  <si>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</si>
  <si>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</si>
  <si>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</si>
  <si>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</si>
  <si>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</si>
  <si>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</si>
  <si>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</si>
  <si>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</si>
  <si>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</si>
  <si>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</si>
  <si>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</si>
  <si>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</si>
  <si>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</si>
  <si>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</si>
  <si>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</si>
  <si>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</si>
  <si>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</si>
  <si>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</si>
  <si>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</si>
  <si>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</si>
  <si>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</si>
  <si>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</si>
  <si>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</si>
  <si>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</si>
  <si>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</si>
  <si>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</si>
  <si>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</si>
  <si>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</si>
  <si>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</si>
  <si>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</si>
  <si>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</si>
  <si>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</si>
  <si>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</si>
  <si>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</si>
  <si>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</si>
  <si>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</si>
  <si>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</si>
  <si>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</si>
  <si>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</si>
  <si>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</si>
  <si>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</si>
  <si>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</si>
  <si>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</si>
  <si>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</si>
  <si>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</si>
  <si>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</si>
  <si>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</si>
  <si>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</si>
  <si>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</si>
  <si>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</si>
  <si>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</si>
  <si>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</si>
  <si>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</si>
  <si>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</si>
  <si>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</si>
  <si>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</si>
  <si>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</si>
  <si>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</si>
  <si>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</si>
  <si>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</si>
  <si>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</si>
  <si>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</si>
  <si>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</si>
  <si>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</si>
  <si>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</si>
  <si>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</si>
  <si>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</si>
  <si>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</si>
  <si>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</si>
  <si>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</si>
  <si>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</si>
  <si>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</si>
  <si>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</si>
  <si>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</si>
  <si>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</si>
  <si>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</si>
  <si>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</si>
  <si>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</si>
  <si>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</si>
  <si>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</si>
  <si>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</si>
  <si>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</si>
  <si>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</si>
  <si>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</si>
  <si>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</si>
  <si>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</si>
  <si>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</si>
  <si>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</si>
  <si>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</si>
  <si>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</si>
  <si>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</si>
  <si>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</si>
  <si>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</si>
  <si>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</si>
  <si>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</si>
  <si>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</si>
  <si>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</si>
  <si>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</si>
  <si>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</si>
  <si>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</si>
  <si>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</si>
  <si>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</si>
  <si>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</si>
  <si>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</si>
  <si>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</si>
  <si>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</si>
  <si>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</si>
  <si>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</si>
  <si>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</si>
  <si>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</si>
  <si>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</si>
  <si>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</si>
  <si>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</si>
  <si>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</si>
  <si>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</si>
  <si>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</si>
  <si>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</si>
  <si>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</si>
  <si>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</si>
  <si>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</si>
  <si>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</si>
  <si>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</si>
  <si>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</si>
  <si>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</si>
  <si>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</si>
  <si>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</si>
  <si>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</si>
  <si>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</si>
  <si>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</si>
  <si>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</si>
  <si>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</si>
  <si>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</si>
  <si>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</si>
  <si>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</si>
  <si>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</si>
  <si>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</si>
  <si>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</si>
  <si>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</si>
  <si>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</si>
  <si>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</si>
  <si>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</si>
  <si>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</si>
  <si>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</si>
  <si>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</si>
  <si>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</si>
  <si>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</si>
  <si>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</si>
  <si>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</si>
  <si>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</si>
  <si>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</si>
  <si>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</si>
  <si>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</si>
  <si>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</si>
  <si>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</si>
  <si>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</si>
  <si>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</si>
  <si>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</si>
  <si>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</si>
  <si>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</si>
  <si>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</si>
  <si>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</si>
  <si>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</si>
  <si>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</si>
  <si>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</si>
  <si>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</si>
  <si>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</si>
  <si>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</si>
  <si>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</si>
  <si>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</si>
  <si>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</si>
  <si>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</si>
  <si>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</si>
  <si>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</si>
  <si>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</si>
  <si>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</si>
  <si>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</si>
  <si>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</si>
  <si>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</si>
  <si>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</si>
  <si>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</si>
  <si>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</si>
  <si>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</si>
  <si>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</si>
  <si>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</si>
  <si>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</si>
  <si>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</si>
  <si>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</si>
  <si>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</si>
  <si>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</si>
  <si>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</si>
  <si>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</si>
  <si>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</si>
  <si>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</si>
  <si>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</si>
  <si>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</si>
  <si>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</si>
  <si>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</si>
  <si>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</si>
  <si>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</si>
  <si>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</si>
  <si>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</si>
  <si>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</si>
  <si>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</si>
  <si>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</si>
  <si>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</si>
  <si>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</si>
  <si>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</si>
  <si>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</si>
  <si>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</si>
  <si>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</si>
  <si>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</si>
  <si>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</si>
  <si>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</si>
  <si>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</si>
  <si>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</si>
  <si>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</si>
  <si>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</si>
  <si>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</si>
  <si>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</si>
  <si>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</si>
  <si>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</si>
  <si>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</si>
  <si>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</si>
  <si>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</si>
  <si>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</si>
  <si>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</si>
  <si>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</si>
  <si>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</si>
  <si>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</si>
  <si>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</si>
  <si>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</si>
  <si>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</si>
  <si>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</si>
  <si>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</si>
  <si>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</si>
  <si>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</si>
  <si>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</si>
  <si>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</si>
  <si>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</si>
  <si>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</si>
  <si>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</si>
  <si>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</si>
  <si>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</si>
  <si>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</si>
  <si>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</si>
  <si>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</si>
  <si>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</si>
  <si>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</si>
  <si>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</si>
  <si>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</si>
  <si>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</si>
  <si>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</si>
  <si>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</si>
  <si>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</si>
  <si>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</si>
  <si>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</si>
  <si>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</si>
  <si>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</si>
  <si>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</si>
  <si>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</si>
  <si>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</si>
  <si>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</si>
  <si>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</si>
  <si>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</si>
  <si>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</si>
  <si>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</si>
  <si>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</si>
  <si>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</si>
  <si>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</si>
  <si>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</si>
  <si>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</si>
  <si>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</si>
  <si>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</si>
  <si>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</si>
  <si>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</si>
  <si>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</si>
  <si>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</si>
  <si>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</si>
  <si>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</si>
  <si>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</si>
  <si>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</si>
  <si>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</si>
  <si>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</si>
  <si>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</si>
  <si>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</si>
  <si>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</si>
  <si>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</si>
  <si>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</si>
  <si>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</si>
  <si>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</si>
  <si>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</si>
  <si>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</si>
  <si>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</si>
  <si>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</si>
  <si>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</si>
  <si>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</si>
  <si>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</si>
  <si>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</si>
  <si>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</si>
  <si>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</si>
  <si>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</si>
  <si>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</si>
  <si>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</si>
  <si>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</si>
  <si>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</si>
  <si>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</si>
  <si>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</si>
  <si>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</si>
  <si>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</si>
  <si>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</si>
  <si>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</si>
  <si>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</si>
  <si>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</si>
  <si>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</si>
  <si>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</si>
  <si>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</si>
  <si>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</si>
  <si>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</si>
  <si>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</si>
  <si>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</si>
  <si>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</si>
  <si>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</si>
  <si>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</si>
  <si>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</si>
  <si>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</si>
  <si>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</si>
  <si>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</si>
  <si>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</si>
  <si>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</si>
  <si>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</si>
  <si>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</si>
  <si>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</si>
  <si>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</si>
  <si>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</si>
  <si>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</si>
  <si>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</si>
  <si>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</si>
  <si>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</si>
  <si>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</si>
  <si>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</si>
  <si>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</si>
  <si>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</si>
  <si>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</si>
  <si>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</si>
  <si>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</si>
  <si>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</si>
  <si>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</si>
  <si>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</si>
  <si>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</si>
  <si>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</si>
  <si>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</si>
  <si>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</si>
  <si>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</si>
  <si>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</si>
  <si>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</si>
  <si>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</si>
  <si>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</si>
  <si>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</si>
  <si>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</si>
  <si>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</si>
  <si>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</si>
  <si>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</si>
  <si>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</si>
  <si>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</si>
  <si>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</si>
  <si>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</si>
  <si>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</si>
  <si>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</si>
  <si>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</si>
  <si>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</si>
  <si>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</si>
  <si>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</si>
  <si>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</si>
  <si>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</si>
  <si>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</si>
  <si>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</si>
  <si>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</si>
  <si>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</si>
  <si>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</si>
  <si>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</si>
  <si>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</si>
  <si>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</si>
  <si>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</si>
  <si>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</si>
  <si>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</si>
  <si>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</si>
  <si>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</si>
  <si>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</si>
  <si>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</si>
  <si>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</si>
  <si>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</si>
  <si>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</si>
  <si>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</si>
  <si>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</si>
  <si>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</si>
  <si>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</si>
  <si>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</si>
  <si>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</si>
  <si>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</si>
  <si>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</si>
  <si>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</si>
  <si>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</si>
  <si>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</si>
  <si>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</si>
  <si>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</si>
  <si>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</si>
  <si>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</si>
  <si>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</si>
  <si>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</si>
  <si>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</si>
  <si>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</si>
  <si>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</si>
  <si>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</si>
  <si>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</si>
  <si>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</si>
  <si>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</si>
  <si>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</si>
  <si>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</si>
  <si>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</si>
  <si>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</si>
  <si>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</si>
  <si>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</si>
  <si>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</si>
  <si>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</si>
  <si>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</si>
  <si>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</si>
  <si>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</si>
  <si>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</si>
  <si>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</si>
  <si>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</si>
  <si>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</si>
  <si>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</si>
  <si>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</si>
  <si>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</si>
  <si>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</si>
  <si>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</si>
  <si>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</si>
  <si>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</si>
  <si>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</si>
  <si>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</si>
  <si>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</si>
  <si>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</si>
  <si>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</si>
  <si>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</si>
  <si>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</si>
  <si>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</si>
  <si>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</si>
  <si>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</si>
  <si>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</si>
  <si>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</si>
  <si>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</si>
  <si>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</si>
  <si>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</si>
  <si>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</si>
  <si>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</si>
  <si>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</si>
  <si>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</si>
  <si>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</si>
  <si>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</si>
  <si>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</si>
  <si>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</si>
  <si>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</si>
  <si>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</si>
  <si>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</si>
  <si>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</si>
  <si>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</si>
  <si>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</si>
  <si>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</si>
  <si>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</si>
  <si>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</si>
  <si>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</si>
  <si>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</si>
  <si>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</si>
  <si>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</si>
  <si>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</si>
  <si>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</si>
  <si>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</si>
  <si>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</si>
  <si>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</si>
  <si>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</si>
  <si>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</si>
  <si>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</si>
  <si>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</si>
  <si>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</si>
  <si>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</si>
  <si>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</si>
  <si>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</si>
  <si>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</si>
  <si>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</si>
  <si>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</si>
  <si>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</si>
  <si>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</si>
  <si>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</si>
  <si>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</si>
  <si>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</si>
  <si>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</si>
  <si>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</si>
  <si>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</si>
  <si>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</si>
  <si>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</si>
  <si>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</si>
  <si>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</si>
  <si>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</si>
  <si>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</si>
  <si>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</si>
  <si>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</si>
  <si>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</si>
  <si>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</si>
  <si>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</si>
  <si>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</si>
  <si>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</si>
  <si>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</si>
  <si>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</si>
  <si>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</si>
  <si>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</si>
  <si>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</si>
  <si>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</si>
  <si>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</si>
  <si>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</si>
  <si>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</si>
  <si>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</si>
  <si>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</si>
  <si>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</si>
  <si>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</si>
  <si>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</si>
  <si>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</si>
  <si>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</si>
  <si>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</si>
  <si>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</si>
  <si>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</si>
  <si>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</si>
  <si>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</si>
  <si>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</si>
  <si>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</si>
  <si>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</si>
  <si>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</si>
  <si>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</si>
  <si>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</si>
  <si>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</si>
  <si>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</si>
  <si>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</si>
  <si>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</si>
  <si>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</si>
  <si>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</si>
  <si>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</si>
  <si>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</si>
  <si>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</si>
  <si>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</si>
  <si>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</si>
  <si>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</si>
  <si>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</si>
  <si>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</si>
  <si>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</si>
  <si>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</si>
  <si>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</si>
  <si>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</si>
  <si>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</si>
  <si>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</si>
  <si>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</si>
  <si>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</si>
  <si>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</si>
  <si>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</si>
  <si>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</si>
  <si>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</si>
  <si>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</si>
  <si>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</si>
  <si>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</si>
  <si>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</si>
  <si>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</si>
  <si>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</si>
  <si>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</si>
  <si>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</si>
  <si>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</si>
  <si>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</si>
  <si>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</si>
  <si>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</si>
  <si>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</si>
  <si>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</si>
  <si>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</si>
  <si>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</si>
  <si>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</si>
  <si>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</si>
  <si>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</si>
  <si>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</si>
  <si>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</si>
  <si>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</si>
  <si>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</si>
  <si>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</si>
  <si>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</si>
  <si>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</si>
  <si>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</si>
  <si>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</si>
  <si>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</si>
  <si>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</si>
  <si>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</si>
  <si>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</si>
  <si>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</si>
  <si>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</si>
  <si>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</si>
  <si>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</si>
  <si>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</si>
  <si>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</si>
  <si>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</si>
  <si>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</si>
  <si>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</si>
  <si>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</si>
  <si>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</si>
  <si>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</si>
  <si>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</si>
  <si>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</si>
  <si>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</si>
  <si>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</si>
  <si>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</si>
  <si>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</si>
  <si>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</si>
  <si>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</si>
  <si>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</si>
  <si>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</si>
  <si>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</si>
  <si>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</si>
  <si>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</si>
  <si>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</si>
  <si>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</si>
  <si>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</si>
  <si>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</si>
  <si>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</si>
  <si>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</si>
  <si>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</si>
  <si>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</si>
  <si>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</si>
  <si>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</si>
  <si>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</si>
  <si>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</si>
  <si>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</si>
  <si>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</si>
  <si>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</si>
  <si>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</si>
  <si>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</si>
  <si>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</si>
  <si>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</si>
  <si>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</si>
  <si>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</si>
  <si>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</si>
  <si>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</si>
  <si>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</si>
  <si>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</si>
  <si>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</si>
  <si>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</si>
  <si>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</si>
  <si>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</si>
  <si>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</si>
  <si>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</si>
  <si>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</si>
  <si>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</si>
  <si>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</si>
  <si>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</si>
  <si>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</si>
  <si>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</si>
  <si>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</si>
  <si>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</si>
  <si>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</si>
  <si>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</si>
  <si>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</si>
  <si>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</si>
  <si>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</si>
  <si>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</si>
  <si>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</si>
  <si>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</si>
  <si>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</si>
  <si>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</si>
  <si>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</si>
  <si>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</si>
  <si>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</si>
  <si>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</si>
  <si>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</si>
  <si>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</si>
  <si>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</si>
  <si>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</si>
  <si>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</si>
  <si>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</si>
  <si>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</si>
  <si>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</si>
  <si>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</si>
  <si>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</si>
  <si>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</si>
  <si>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</si>
  <si>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</si>
  <si>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</si>
  <si>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</si>
  <si>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</si>
  <si>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</si>
  <si>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</si>
  <si>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</si>
  <si>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</si>
  <si>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</si>
  <si>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</si>
  <si>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</si>
  <si>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</si>
  <si>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</si>
  <si>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</si>
  <si>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</si>
  <si>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</si>
  <si>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</si>
  <si>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</si>
  <si>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</si>
  <si>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</si>
  <si>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</si>
  <si>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</si>
  <si>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</si>
  <si>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</si>
  <si>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</si>
  <si>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</si>
  <si>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</si>
  <si>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</si>
  <si>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</si>
  <si>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</si>
  <si>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</si>
  <si>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</si>
  <si>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</si>
  <si>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</si>
  <si>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</si>
  <si>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</si>
  <si>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</si>
  <si>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</si>
  <si>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</si>
  <si>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</si>
  <si>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</si>
  <si>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</si>
  <si>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</si>
  <si>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</si>
  <si>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</si>
  <si>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</si>
  <si>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</si>
  <si>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</si>
  <si>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</si>
  <si>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</si>
  <si>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</si>
  <si>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</si>
  <si>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</si>
  <si>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</si>
  <si>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</si>
  <si>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</si>
  <si>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</si>
  <si>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</si>
  <si>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</si>
  <si>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</si>
  <si>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</si>
  <si>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</si>
  <si>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</si>
  <si>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</si>
  <si>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</si>
  <si>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</si>
  <si>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</si>
  <si>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</si>
  <si>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</si>
  <si>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</si>
  <si>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</si>
  <si>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</si>
  <si>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</si>
  <si>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</si>
  <si>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</si>
  <si>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</si>
  <si>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</si>
  <si>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</si>
  <si>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</si>
  <si>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</si>
  <si>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</si>
  <si>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</si>
  <si>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</si>
  <si>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</si>
  <si>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</si>
  <si>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</si>
  <si>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</si>
  <si>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</si>
  <si>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</si>
  <si>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</si>
  <si>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</si>
  <si>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</si>
  <si>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</si>
  <si>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</si>
  <si>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</si>
  <si>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</si>
  <si>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</si>
  <si>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</si>
  <si>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</si>
  <si>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</si>
  <si>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</si>
  <si>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</si>
  <si>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</si>
  <si>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</si>
  <si>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</si>
  <si>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</si>
  <si>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</si>
  <si>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</si>
  <si>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</si>
  <si>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</si>
  <si>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</si>
  <si>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</si>
  <si>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</si>
  <si>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</si>
  <si>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</si>
  <si>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</si>
  <si>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</si>
  <si>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</si>
  <si>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</si>
  <si>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</si>
  <si>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</si>
  <si>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</si>
  <si>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</si>
  <si>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</si>
  <si>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</si>
  <si>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</si>
  <si>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</si>
  <si>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</si>
  <si>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</si>
  <si>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</si>
  <si>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</si>
  <si>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</si>
  <si>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</si>
  <si>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</si>
  <si>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</si>
  <si>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</si>
  <si>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</si>
  <si>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</si>
  <si>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</si>
  <si>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</si>
  <si>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</si>
  <si>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</si>
  <si>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</si>
  <si>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</si>
  <si>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</si>
  <si>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</si>
  <si>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</si>
  <si>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</si>
  <si>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</si>
  <si>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</si>
  <si>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</si>
  <si>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</si>
  <si>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</si>
  <si>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</si>
  <si>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</si>
  <si>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</si>
  <si>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</si>
  <si>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</si>
  <si>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</si>
  <si>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</si>
  <si>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</si>
  <si>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</si>
  <si>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</si>
  <si>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</si>
  <si>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</si>
  <si>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</si>
  <si>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</si>
  <si>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</si>
  <si>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</si>
  <si>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</si>
  <si>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</si>
  <si>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</si>
  <si>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</si>
  <si>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</si>
  <si>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</si>
  <si>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</si>
  <si>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</si>
  <si>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</si>
  <si>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</si>
  <si>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</si>
  <si>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</si>
  <si>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</si>
  <si>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</si>
  <si>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</si>
  <si>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</si>
  <si>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</si>
  <si>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</si>
  <si>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</si>
  <si>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</si>
  <si>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</si>
  <si>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</si>
  <si>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</si>
  <si>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</si>
  <si>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</si>
  <si>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</si>
  <si>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</si>
  <si>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</si>
  <si>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</si>
  <si>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</si>
  <si>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</si>
  <si>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</si>
  <si>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</si>
  <si>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</si>
  <si>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</si>
  <si>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</si>
  <si>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</si>
  <si>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</si>
  <si>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</si>
  <si>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</si>
  <si>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</si>
  <si>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</si>
  <si>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</si>
  <si>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</si>
  <si>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</si>
  <si>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</si>
  <si>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</si>
  <si>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</si>
  <si>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</si>
  <si>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</si>
  <si>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</si>
  <si>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</si>
  <si>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</si>
  <si>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</si>
  <si>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</si>
  <si>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</si>
  <si>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</si>
  <si>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</si>
  <si>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</si>
  <si>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</si>
  <si>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</si>
  <si>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</si>
  <si>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</si>
  <si>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</si>
  <si>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</si>
  <si>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</si>
  <si>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</si>
  <si>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</si>
  <si>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</si>
  <si>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</si>
  <si>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</si>
  <si>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</si>
  <si>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</si>
  <si>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</si>
  <si>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</si>
  <si>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</si>
  <si>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</si>
  <si>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</si>
  <si>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</si>
  <si>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</si>
  <si>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</si>
  <si>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</si>
  <si>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</si>
  <si>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</si>
  <si>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</si>
  <si>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</si>
  <si>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</si>
  <si>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</si>
  <si>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</si>
  <si>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</si>
  <si>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</si>
  <si>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</si>
  <si>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</si>
  <si>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</si>
  <si>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</si>
  <si>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</si>
  <si>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</si>
  <si>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</si>
  <si>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</si>
  <si>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</si>
  <si>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</si>
  <si>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</si>
  <si>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</si>
  <si>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</si>
  <si>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</si>
  <si>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</si>
  <si>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</si>
  <si>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</si>
  <si>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</si>
  <si>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</si>
  <si>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</si>
  <si>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</si>
  <si>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</si>
  <si>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</si>
  <si>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</si>
  <si>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</si>
  <si>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</si>
  <si>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</si>
  <si>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</si>
  <si>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</si>
  <si>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</si>
  <si>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</si>
  <si>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</si>
  <si>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</si>
  <si>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</si>
  <si>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</si>
  <si>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</si>
  <si>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</si>
  <si>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</si>
  <si>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</si>
  <si>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</si>
  <si>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</si>
  <si>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</si>
  <si>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</si>
  <si>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</si>
  <si>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</si>
  <si>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</si>
  <si>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</si>
  <si>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</si>
  <si>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</si>
  <si>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</si>
  <si>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</si>
  <si>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</si>
  <si>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</si>
  <si>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</si>
  <si>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</si>
  <si>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</si>
  <si>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</si>
  <si>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</si>
  <si>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</si>
  <si>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</si>
  <si>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</si>
  <si>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</si>
  <si>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</si>
  <si>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</si>
  <si>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</si>
  <si>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</si>
  <si>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</si>
  <si>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</si>
  <si>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</si>
  <si>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</si>
  <si>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</si>
  <si>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</si>
  <si>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</si>
  <si>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</si>
  <si>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</si>
  <si>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</si>
  <si>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</si>
  <si>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</si>
  <si>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</si>
  <si>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</si>
  <si>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</si>
  <si>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</si>
  <si>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</si>
  <si>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</si>
  <si>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</si>
  <si>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</si>
  <si>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</si>
  <si>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</si>
  <si>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</si>
  <si>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</si>
  <si>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</si>
  <si>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</si>
  <si>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</si>
  <si>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</si>
  <si>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</si>
  <si>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</si>
  <si>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</si>
  <si>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</si>
  <si>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</si>
  <si>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</si>
  <si>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</si>
  <si>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</si>
  <si>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</si>
  <si>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</si>
  <si>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</si>
  <si>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</si>
  <si>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</si>
  <si>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</si>
  <si>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</si>
  <si>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</si>
  <si>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</si>
  <si>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</si>
  <si>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</si>
  <si>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</si>
  <si>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</si>
  <si>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</si>
  <si>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</si>
  <si>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</si>
  <si>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</si>
  <si>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</si>
  <si>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</si>
  <si>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</si>
  <si>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</si>
  <si>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</si>
  <si>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</si>
  <si>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</si>
  <si>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</si>
  <si>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</si>
  <si>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</si>
  <si>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</si>
  <si>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</si>
  <si>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</si>
  <si>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</si>
  <si>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</si>
  <si>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</si>
  <si>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</si>
  <si>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</si>
  <si>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</si>
  <si>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</si>
  <si>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</si>
  <si>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</si>
  <si>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</si>
  <si>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</si>
  <si>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</si>
  <si>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</si>
  <si>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</si>
  <si>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</si>
  <si>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</si>
  <si>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</si>
  <si>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</si>
  <si>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</si>
  <si>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</si>
  <si>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</si>
  <si>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</si>
  <si>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</si>
  <si>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</si>
  <si>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</si>
  <si>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</si>
  <si>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</si>
  <si>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</si>
  <si>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</si>
  <si>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</si>
  <si>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</si>
  <si>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</si>
  <si>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</si>
  <si>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</si>
  <si>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</si>
  <si>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</si>
  <si>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</si>
  <si>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</si>
  <si>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</si>
  <si>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</si>
  <si>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</si>
  <si>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</si>
  <si>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</si>
  <si>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</si>
  <si>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</si>
  <si>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</si>
  <si>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</si>
  <si>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</si>
  <si>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</si>
  <si>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</si>
  <si>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</si>
  <si>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</si>
  <si>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</si>
  <si>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</si>
  <si>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</si>
  <si>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</si>
  <si>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</si>
  <si>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</si>
  <si>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</si>
  <si>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</si>
  <si>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</si>
  <si>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</si>
  <si>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</si>
  <si>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</si>
  <si>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</si>
  <si>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</si>
  <si>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</si>
  <si>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</si>
  <si>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</si>
  <si>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</si>
  <si>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</si>
  <si>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</si>
  <si>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</si>
  <si>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</si>
  <si>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</si>
  <si>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</si>
  <si>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</si>
  <si>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</si>
  <si>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</si>
  <si>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</si>
  <si>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</si>
  <si>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</si>
  <si>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</si>
  <si>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</si>
  <si>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</si>
  <si>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</si>
  <si>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</si>
  <si>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</si>
  <si>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</si>
  <si>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</si>
  <si>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</si>
  <si>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</si>
  <si>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</si>
  <si>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</si>
  <si>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</si>
  <si>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</si>
  <si>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</si>
  <si>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</si>
  <si>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</si>
  <si>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</si>
  <si>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</si>
  <si>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</si>
  <si>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</si>
  <si>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</si>
  <si>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</si>
  <si>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</si>
  <si>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</si>
  <si>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</si>
  <si>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</si>
  <si>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</si>
  <si>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</si>
  <si>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</si>
  <si>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</si>
  <si>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</si>
  <si>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</si>
  <si>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</si>
  <si>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</si>
  <si>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</si>
  <si>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</si>
  <si>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</si>
  <si>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</si>
  <si>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</si>
  <si>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</si>
  <si>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</si>
  <si>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</si>
  <si>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</si>
  <si>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</si>
  <si>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</si>
  <si>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</si>
  <si>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</si>
  <si>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</si>
  <si>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</si>
  <si>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</si>
  <si>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</si>
  <si>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</si>
  <si>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</si>
  <si>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</si>
  <si>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</si>
  <si>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</si>
  <si>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</si>
  <si>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</si>
  <si>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</si>
  <si>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</si>
  <si>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</si>
  <si>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</si>
  <si>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</si>
  <si>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</si>
  <si>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</si>
  <si>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</si>
  <si>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</si>
  <si>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</si>
  <si>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</si>
  <si>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</si>
  <si>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</si>
  <si>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</si>
  <si>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</si>
  <si>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</si>
  <si>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</si>
  <si>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</si>
  <si>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</si>
  <si>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</si>
  <si>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</si>
  <si>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</si>
  <si>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</si>
  <si>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</si>
  <si>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</si>
  <si>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</si>
  <si>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</si>
  <si>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</si>
  <si>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</si>
  <si>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</si>
  <si>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</si>
  <si>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</si>
  <si>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</si>
  <si>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</si>
  <si>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</si>
  <si>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</si>
  <si>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</si>
  <si>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</si>
  <si>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</si>
  <si>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</si>
  <si>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</si>
  <si>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</si>
  <si>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</si>
  <si>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</si>
  <si>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</si>
  <si>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</si>
  <si>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</si>
  <si>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</si>
  <si>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</si>
  <si>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</si>
  <si>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</si>
  <si>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</si>
  <si>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</si>
  <si>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</si>
  <si>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</si>
  <si>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</si>
  <si>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</si>
  <si>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</si>
  <si>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</si>
  <si>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</si>
  <si>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</si>
  <si>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</si>
  <si>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</si>
  <si>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</si>
  <si>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</si>
  <si>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</si>
  <si>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</si>
  <si>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</si>
  <si>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</si>
  <si>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</si>
  <si>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</si>
  <si>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</si>
  <si>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</si>
  <si>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</si>
  <si>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</si>
  <si>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</si>
  <si>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</si>
  <si>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</si>
  <si>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</si>
  <si>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</si>
  <si>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</si>
  <si>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</si>
  <si>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</si>
  <si>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</si>
  <si>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</si>
  <si>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</si>
  <si>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</si>
  <si>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</si>
  <si>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</si>
  <si>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</si>
  <si>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</si>
  <si>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</si>
  <si>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</si>
  <si>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</si>
  <si>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</si>
  <si>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</si>
  <si>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</si>
  <si>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</si>
  <si>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</si>
  <si>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</si>
  <si>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</si>
  <si>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</si>
  <si>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</si>
  <si>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</si>
  <si>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</si>
  <si>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</si>
  <si>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</si>
  <si>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</si>
  <si>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</si>
  <si>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</si>
  <si>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</si>
  <si>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</si>
  <si>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</si>
  <si>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</si>
  <si>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</si>
  <si>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</si>
  <si>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</si>
  <si>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</si>
  <si>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</si>
  <si>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</si>
  <si>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</si>
  <si>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</si>
  <si>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</si>
  <si>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</si>
  <si>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</si>
  <si>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</si>
  <si>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</si>
  <si>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</si>
  <si>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</si>
  <si>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</si>
  <si>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</si>
  <si>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</si>
  <si>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</si>
  <si>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</si>
  <si>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</si>
  <si>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</si>
  <si>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</si>
  <si>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</si>
  <si>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</si>
  <si>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</si>
  <si>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</si>
  <si>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</si>
  <si>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</si>
  <si>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</si>
  <si>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</si>
  <si>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</si>
  <si>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</si>
  <si>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</si>
  <si>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</si>
  <si>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</si>
  <si>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</si>
  <si>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</si>
  <si>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</si>
  <si>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</si>
  <si>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</si>
  <si>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</si>
  <si>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</si>
  <si>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</si>
  <si>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</si>
  <si>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</si>
  <si>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</si>
  <si>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</si>
  <si>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</si>
  <si>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</si>
  <si>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</si>
  <si>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</si>
  <si>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</si>
  <si>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</si>
  <si>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</si>
  <si>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</si>
  <si>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</si>
  <si>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</si>
  <si>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</si>
  <si>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</si>
  <si>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</si>
  <si>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</si>
  <si>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</si>
  <si>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</si>
  <si>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</si>
  <si>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</si>
  <si>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</si>
  <si>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</si>
  <si>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</si>
  <si>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</si>
  <si>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</si>
  <si>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</si>
  <si>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</si>
  <si>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</si>
  <si>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</si>
  <si>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</si>
  <si>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</si>
  <si>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</si>
  <si>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</si>
  <si>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</si>
  <si>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</si>
  <si>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</si>
  <si>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</si>
  <si>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</si>
  <si>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</si>
  <si>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</si>
  <si>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</si>
  <si>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</si>
  <si>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</si>
  <si>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</si>
  <si>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</si>
  <si>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</si>
  <si>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</si>
  <si>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</si>
  <si>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</si>
  <si>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</si>
  <si>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</si>
  <si>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</si>
  <si>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</si>
  <si>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</si>
  <si>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</si>
  <si>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</si>
  <si>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</si>
  <si>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</si>
  <si>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</si>
  <si>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</si>
  <si>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</si>
  <si>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</si>
  <si>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</si>
  <si>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</si>
  <si>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</si>
  <si>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</si>
  <si>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</si>
  <si>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</si>
  <si>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</si>
  <si>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</si>
  <si>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</si>
  <si>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</si>
  <si>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</si>
  <si>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</si>
  <si>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</si>
  <si>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</si>
  <si>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</si>
  <si>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</si>
  <si>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</si>
  <si>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</si>
  <si>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</si>
  <si>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</si>
  <si>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</si>
  <si>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</si>
  <si>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</si>
  <si>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</si>
  <si>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</si>
  <si>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</si>
  <si>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</si>
  <si>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</si>
  <si>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</si>
  <si>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</si>
  <si>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</si>
  <si>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</si>
  <si>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</si>
  <si>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</si>
  <si>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</si>
  <si>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</si>
  <si>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</si>
  <si>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</si>
  <si>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</si>
  <si>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</si>
  <si>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</si>
  <si>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</si>
  <si>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</si>
  <si>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</si>
  <si>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</si>
  <si>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</si>
  <si>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</si>
  <si>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</si>
  <si>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</si>
  <si>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</si>
  <si>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</si>
  <si>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</si>
  <si>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</si>
  <si>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</si>
  <si>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</si>
  <si>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</si>
  <si>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</si>
  <si>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</si>
  <si>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</si>
  <si>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</si>
  <si>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</si>
  <si>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</si>
  <si>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</si>
  <si>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</si>
  <si>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</si>
  <si>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</si>
  <si>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</si>
  <si>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</si>
  <si>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</si>
  <si>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</si>
  <si>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</si>
  <si>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</si>
  <si>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</si>
  <si>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</si>
  <si>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</si>
  <si>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</si>
  <si>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</si>
  <si>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</si>
  <si>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</si>
  <si>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</si>
  <si>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</si>
  <si>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</si>
  <si>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</si>
  <si>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</si>
  <si>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</si>
  <si>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</si>
  <si>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</si>
  <si>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</si>
  <si>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</si>
  <si>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</si>
  <si>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</si>
  <si>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</si>
  <si>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</si>
  <si>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</si>
  <si>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</si>
  <si>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</si>
  <si>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</si>
  <si>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</si>
  <si>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</si>
  <si>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</si>
  <si>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</si>
  <si>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</si>
  <si>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</si>
  <si>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</si>
  <si>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</si>
  <si>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</si>
  <si>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</si>
  <si>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</si>
  <si>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</si>
  <si>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</si>
  <si>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</si>
  <si>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</si>
  <si>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</si>
  <si>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</si>
  <si>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</si>
  <si>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</si>
  <si>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</si>
  <si>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</si>
  <si>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</si>
  <si>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</si>
  <si>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</si>
  <si>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</si>
  <si>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</si>
  <si>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</si>
  <si>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</si>
  <si>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</si>
  <si>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</si>
  <si>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</si>
  <si>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</si>
  <si>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</si>
  <si>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</si>
  <si>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</si>
  <si>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</si>
  <si>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</si>
  <si>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</si>
  <si>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</si>
  <si>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</si>
  <si>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</si>
  <si>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</si>
  <si>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</si>
  <si>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</si>
  <si>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</si>
  <si>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</si>
  <si>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</si>
  <si>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</si>
  <si>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</si>
  <si>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</si>
  <si>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</si>
  <si>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</si>
  <si>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</si>
  <si>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</si>
  <si>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</si>
  <si>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</si>
  <si>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</si>
  <si>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</si>
  <si>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</si>
  <si>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</si>
  <si>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</si>
  <si>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</si>
  <si>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</si>
  <si>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</si>
  <si>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</si>
  <si>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</si>
  <si>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</si>
  <si>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</si>
  <si>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</si>
  <si>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</si>
  <si>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</si>
  <si>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</si>
  <si>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</si>
  <si>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</si>
  <si>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</si>
  <si>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</si>
  <si>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</si>
  <si>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</si>
  <si>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</si>
  <si>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</si>
  <si>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</si>
  <si>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</si>
  <si>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</si>
  <si>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</si>
  <si>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</si>
  <si>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</si>
  <si>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</si>
  <si>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</si>
  <si>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</si>
  <si>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</si>
  <si>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</si>
  <si>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</si>
  <si>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</si>
  <si>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</si>
  <si>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</si>
  <si>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</si>
  <si>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</si>
  <si>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</si>
  <si>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</si>
  <si>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</si>
  <si>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</si>
  <si>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</si>
  <si>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</si>
  <si>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</si>
  <si>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</si>
  <si>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</si>
  <si>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</si>
  <si>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</si>
  <si>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</si>
  <si>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</si>
  <si>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</si>
  <si>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</si>
  <si>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</si>
  <si>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</si>
  <si>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</si>
  <si>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</si>
  <si>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</si>
  <si>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</si>
  <si>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</si>
  <si>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</si>
  <si>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</si>
  <si>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</si>
  <si>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</si>
  <si>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</si>
  <si>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</si>
  <si>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</si>
  <si>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</si>
  <si>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</si>
  <si>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</si>
  <si>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</si>
  <si>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</si>
  <si>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</si>
  <si>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</si>
  <si>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</si>
  <si>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</si>
  <si>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</si>
  <si>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</si>
  <si>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</si>
  <si>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</si>
  <si>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</si>
  <si>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</si>
  <si>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</si>
  <si>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</si>
  <si>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</si>
  <si>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</si>
  <si>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</si>
  <si>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</si>
  <si>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</si>
  <si>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</si>
  <si>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</si>
  <si>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</si>
  <si>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</si>
  <si>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</si>
  <si>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</si>
  <si>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</si>
  <si>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</si>
  <si>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</si>
  <si>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</si>
  <si>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</si>
  <si>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</si>
  <si>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</si>
  <si>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Sangamon</t>
  </si>
  <si>
    <t>6425 Old Route 36</t>
  </si>
  <si>
    <t xml:space="preserve">Riverton  </t>
  </si>
  <si>
    <t>Mack &amp; Associates, P.C.</t>
  </si>
  <si>
    <t>Tawnya Mack, CPA</t>
  </si>
  <si>
    <t>116 E. Washington St., Suite One</t>
  </si>
  <si>
    <t>Morris</t>
  </si>
  <si>
    <t>IL</t>
  </si>
  <si>
    <t>815-942-3306</t>
  </si>
  <si>
    <t>815-942-9430</t>
  </si>
  <si>
    <t>tmack@mackcpas.com</t>
  </si>
  <si>
    <t>Riverton Community Unit School District #14</t>
  </si>
  <si>
    <t>mgum@rivertonschools.org</t>
  </si>
  <si>
    <t>217-629-6009</t>
  </si>
  <si>
    <t>217-629-6008</t>
  </si>
  <si>
    <t>X</t>
  </si>
  <si>
    <t>G.O. Bond, Series 2010</t>
  </si>
  <si>
    <t>G.O. Refunding Bonds 2014</t>
  </si>
  <si>
    <t>G.O. Limited Tax School Bonds, 2017A</t>
  </si>
  <si>
    <t>G.O. Refunding Bonds - 2017B</t>
  </si>
  <si>
    <t>Sangamon Area Special Education District</t>
  </si>
  <si>
    <t>Capital Area Career Center</t>
  </si>
  <si>
    <t>Sangamon County Learning Academy</t>
  </si>
  <si>
    <t>Wrestling Co-op - Williamsville CUSD       Tri-City CUSD Soccer Co-op</t>
  </si>
  <si>
    <t>Page 10, Acct. #1719 - Other Admissions - Cent Club Card; Misc. Admissions</t>
  </si>
  <si>
    <t>Page 11, Acct. #1999 - Other Local Revenues - Teacher Insurance Contributions, E-Rate Reimb., and other Miscellaneous</t>
  </si>
  <si>
    <t>Page 16, Acct. #2900 - Other Support Services - ES &amp; MS Crossing Guards</t>
  </si>
  <si>
    <t>Page 16, Acct. #4190 - Other Payments to In-State Govt Units - School Liason Salaries</t>
  </si>
  <si>
    <t>Page 20, Acct. #2900 - Other Support Services - IMRF/FICA/Medicare for Crossing Guards</t>
  </si>
  <si>
    <t>066-005100</t>
  </si>
  <si>
    <t>Brad Polanin</t>
  </si>
  <si>
    <t>bpolanin@rivertonschools.org</t>
  </si>
  <si>
    <t>See PDF in opinion page with signature</t>
  </si>
  <si>
    <t>P. 24, Schedule of Long-term Debt - The $2,715,000 is related to principal on long-term debt refunded.</t>
  </si>
  <si>
    <t>Page 5, Line 12 - Other Current Assets - Investment in Bonds</t>
  </si>
  <si>
    <t>Educational - Food Services - Purchased Services</t>
  </si>
  <si>
    <t>10-2560-300</t>
  </si>
  <si>
    <t>Aramark Education</t>
  </si>
  <si>
    <t>O&amp;M - O&amp;M - Purchased Services</t>
  </si>
  <si>
    <t>Aramark Uniform (Cleaning)</t>
  </si>
  <si>
    <t>Educational - Exec. Admin. - Purchased Services</t>
  </si>
  <si>
    <t>CDS Office Tech (Copier Lease)</t>
  </si>
  <si>
    <t>20-2540-300</t>
  </si>
  <si>
    <t>10-1000-300</t>
  </si>
  <si>
    <t>Educational - Instruction - Purchased Services</t>
  </si>
  <si>
    <t>Communication Revolving</t>
  </si>
  <si>
    <t>Frontier Communications</t>
  </si>
  <si>
    <t>Eudcational - Instruction - Purchased Services</t>
  </si>
  <si>
    <t>Frontline Technologies</t>
  </si>
  <si>
    <t>George Alarm Co. Inc.</t>
  </si>
  <si>
    <t>Transportation - Transportation - Purchased Services</t>
  </si>
  <si>
    <t>40-2550-300</t>
  </si>
  <si>
    <t>Midwest Occupational</t>
  </si>
  <si>
    <t>10-2300-300</t>
  </si>
  <si>
    <t>Northwest</t>
  </si>
  <si>
    <t>Educational - Principal - Purchased Services</t>
  </si>
  <si>
    <t>10-2400-300</t>
  </si>
  <si>
    <t>Pitney Bowes</t>
  </si>
  <si>
    <t>Quality Network Solutions</t>
  </si>
  <si>
    <t>Skyward Accounting</t>
  </si>
  <si>
    <r>
      <t xml:space="preserve">The accompanying Schedule of Expenditures of Federal Awards includes the federal grant activity of Riverton CUSD #14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</si>
  <si>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Riverton CUSD #14 provided federal awards to subrecipients as follows:</t>
  </si>
  <si>
    <t>N/A</t>
  </si>
  <si>
    <t>GAAP - Adverse; Regulatory - Unmodified</t>
  </si>
  <si>
    <t>Unmodified</t>
  </si>
  <si>
    <t>None</t>
  </si>
  <si>
    <t>NONE</t>
  </si>
  <si>
    <t>United States Department of Agriculture:</t>
  </si>
  <si>
    <t xml:space="preserve"> Passed Through IL State Board of Education:</t>
  </si>
  <si>
    <t xml:space="preserve">  National School Lunch Program - 2018 (M)</t>
  </si>
  <si>
    <t xml:space="preserve">  National School Lunch Program - 2017 (M)</t>
  </si>
  <si>
    <t xml:space="preserve">  ISBE Lanter Commodities - 2018 (M)</t>
  </si>
  <si>
    <t xml:space="preserve">  DoD Fresh Fruits &amp; Vegetables - 2018 (M)</t>
  </si>
  <si>
    <t xml:space="preserve">  School Breakfast Program - 2018 (M)</t>
  </si>
  <si>
    <t xml:space="preserve">  School Breakfast Program - 2017 (M)</t>
  </si>
  <si>
    <t>2018-4210</t>
  </si>
  <si>
    <t>2017-4210</t>
  </si>
  <si>
    <t>2018-4299</t>
  </si>
  <si>
    <t>2018-4220</t>
  </si>
  <si>
    <t>2017-4220</t>
  </si>
  <si>
    <t>U.S. Department of Education:</t>
  </si>
  <si>
    <t xml:space="preserve"> Passed Through Sangamon Area Spec. Ed.:</t>
  </si>
  <si>
    <t xml:space="preserve">  Special Ed - Preschool Grants - 2018</t>
  </si>
  <si>
    <t xml:space="preserve">  Special Ed - IDEA Flow-Through - 2018</t>
  </si>
  <si>
    <t>2018-4600</t>
  </si>
  <si>
    <t>2018-4620</t>
  </si>
  <si>
    <t xml:space="preserve">  Special Ed. - IDEA Room &amp; Board - 2018</t>
  </si>
  <si>
    <t xml:space="preserve">  Special Ed. - IDEA Room &amp; Board - 2017</t>
  </si>
  <si>
    <t>2018-4625</t>
  </si>
  <si>
    <t>2017-4625</t>
  </si>
  <si>
    <t>U.S. Department of Health &amp; Human Services:</t>
  </si>
  <si>
    <t xml:space="preserve"> Passed through IL Dept. of Healthcare &amp; Family Services:</t>
  </si>
  <si>
    <t xml:space="preserve">  Medical Assistance Program - 2018</t>
  </si>
  <si>
    <t xml:space="preserve">  Medical Assistance Program - 2017</t>
  </si>
  <si>
    <t>2018-4991</t>
  </si>
  <si>
    <t>2017-4991</t>
  </si>
  <si>
    <t xml:space="preserve"> Passed through IL State Board of Education:</t>
  </si>
  <si>
    <t xml:space="preserve">  Title I Grants to Local Educational Agencies - 2018</t>
  </si>
  <si>
    <t xml:space="preserve">  Title I Grants to Local Educational Agencies - 2017</t>
  </si>
  <si>
    <t xml:space="preserve">  Improving Teacher Quality State Grants - 2018</t>
  </si>
  <si>
    <t xml:space="preserve">  Improving Teacher Quality State Grants - 2017</t>
  </si>
  <si>
    <t>2018-4932</t>
  </si>
  <si>
    <t>2017-4932</t>
  </si>
  <si>
    <t>2018-4300</t>
  </si>
  <si>
    <t>2017-4300</t>
  </si>
  <si>
    <t>Rounding</t>
  </si>
  <si>
    <r>
      <t xml:space="preserve">The following amounts were expended in the form of non-cash assistance by Riverton CUSD #14 and </t>
    </r>
    <r>
      <rPr>
        <b/>
        <sz val="9"/>
        <rFont val="Calibri"/>
        <family val="2"/>
        <scheme val="minor"/>
      </rPr>
      <t>should be</t>
    </r>
    <r>
      <rPr>
        <sz val="9"/>
        <rFont val="Calibri"/>
        <family val="2"/>
        <scheme val="minor"/>
      </rPr>
      <t xml:space="preserve"> included in the Schedule of Expenditures of Federal Awards: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</si>
</sst>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98" fillId="0" borderId="105" xfId="18" applyFont="1" applyBorder="1" applyAlignment="1" applyProtection="1">
      <alignment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C0E20057-18EE-48D6-9D5A-16D57794D3B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125D6407-0A7B-40FA-8028-AFB8C40B04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1</xdr:col>
          <xdr:colOff>914400</xdr:colOff>
          <xdr:row>15</xdr:row>
          <xdr:rowOff>200025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51FADC6A-0912-40AE-AE39-D86A8DE1A6B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2074</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2090</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51084014026</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2075</v>
      </c>
      <c r="B15" s="2007"/>
      <c r="C15" s="2007"/>
      <c r="D15" s="2007"/>
      <c r="E15" s="2007"/>
      <c r="F15" s="2007"/>
      <c r="G15" s="2007"/>
      <c r="H15" s="2008"/>
      <c r="T15" s="1970" t="s">
        <v>2079</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2086</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2076</v>
      </c>
      <c r="B19" s="2003"/>
      <c r="C19" s="2003"/>
      <c r="D19" s="2003"/>
      <c r="E19" s="2003"/>
      <c r="F19" s="2003"/>
      <c r="G19" s="2003"/>
      <c r="H19" s="2001"/>
      <c r="I19" s="30"/>
      <c r="J19" s="99"/>
      <c r="K19" s="40"/>
      <c r="L19" s="38"/>
      <c r="M19" s="112" t="s">
        <v>333</v>
      </c>
      <c r="P19" s="27"/>
      <c r="Q19" s="27"/>
      <c r="R19" s="27"/>
      <c r="S19" s="31"/>
      <c r="T19" s="2002" t="s">
        <v>2081</v>
      </c>
      <c r="U19" s="2000"/>
      <c r="V19" s="2000"/>
      <c r="W19" s="2001"/>
      <c r="X19" s="2017" t="s">
        <v>2082</v>
      </c>
      <c r="Y19" s="2018"/>
      <c r="Z19" s="2015">
        <v>60450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2077</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2087</v>
      </c>
      <c r="B23" s="2023"/>
      <c r="C23" s="2023"/>
      <c r="D23" s="2023"/>
      <c r="E23" s="2023"/>
      <c r="F23" s="2023"/>
      <c r="G23" s="2023"/>
      <c r="H23" s="2024"/>
      <c r="T23" s="1962" t="s">
        <v>2104</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62561</v>
      </c>
      <c r="B25" s="2000"/>
      <c r="C25" s="2000"/>
      <c r="D25" s="2000"/>
      <c r="E25" s="2000"/>
      <c r="F25" s="2000"/>
      <c r="G25" s="2000"/>
      <c r="H25" s="2001"/>
      <c r="I25" s="113"/>
      <c r="J25" s="2066"/>
      <c r="K25" s="2066"/>
      <c r="L25" s="2066"/>
      <c r="M25" s="2066"/>
      <c r="N25" s="2066"/>
      <c r="O25" s="2066"/>
      <c r="P25" s="2066"/>
      <c r="Q25" s="2066"/>
      <c r="R25" s="2066"/>
      <c r="S25" s="2067"/>
      <c r="T25" s="1959" t="s">
        <v>2085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2090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2090</v>
      </c>
      <c r="C30" s="124" t="s">
        <v>1226</v>
      </c>
      <c r="D30" s="28"/>
      <c r="E30" s="28"/>
      <c r="F30" s="140"/>
      <c r="G30" s="114"/>
      <c r="H30" s="114"/>
      <c r="I30" s="54"/>
      <c r="J30" s="148" t="s">
        <v>2090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2090</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2105</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2106</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2088</v>
      </c>
      <c r="B42" s="2049"/>
      <c r="C42" s="2050"/>
      <c r="D42" s="2063" t="s">
        <v>2089</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1902</v>
      </c>
      <c r="B2" s="1550" t="s">
        <v>2032</v>
      </c>
      <c r="C2" s="715" t="s">
        <v>1907</v>
      </c>
      <c r="D2" s="715" t="s">
        <v>1908</v>
      </c>
      <c r="E2" s="715" t="s">
        <v>1909</v>
      </c>
      <c r="F2" s="715" t="s">
        <v>1910</v>
      </c>
    </row>
    <row r="3" spans="1:6" ht="12" customHeight="1" x14ac:dyDescent="0.2">
      <c r="A3" s="2202"/>
      <c r="B3" s="1547"/>
      <c r="C3" s="1548"/>
      <c r="D3" s="1549" t="s">
        <v>274</v>
      </c>
      <c r="E3" s="1548"/>
      <c r="F3" s="1549" t="s">
        <v>275</v>
      </c>
    </row>
    <row r="4" spans="1:6" ht="13.7" customHeight="1" x14ac:dyDescent="0.2">
      <c r="A4" s="716" t="s">
        <v>1217</v>
      </c>
      <c r="B4" s="1771">
        <f>'Revenues 9-14'!C5</f>
        <v>3202539</v>
      </c>
      <c r="C4" s="1546"/>
      <c r="D4" s="1774">
        <f>B4-C4</f>
        <v>3202539</v>
      </c>
      <c r="E4" s="1546">
        <v>3092144</v>
      </c>
      <c r="F4" s="1774">
        <f>E4-C4</f>
        <v>3092144</v>
      </c>
    </row>
    <row r="5" spans="1:6" ht="13.7" customHeight="1" x14ac:dyDescent="0.2">
      <c r="A5" s="716" t="s">
        <v>925</v>
      </c>
      <c r="B5" s="1772">
        <f>'Revenues 9-14'!D5</f>
        <v>630826</v>
      </c>
      <c r="C5" s="585"/>
      <c r="D5" s="1775">
        <f t="shared" ref="D5:D18" si="0">B5-C5</f>
        <v>630826</v>
      </c>
      <c r="E5" s="585">
        <v>618429</v>
      </c>
      <c r="F5" s="1775">
        <f>E5-C5</f>
        <v>618429</v>
      </c>
    </row>
    <row r="6" spans="1:6" ht="13.7" customHeight="1" x14ac:dyDescent="0.2">
      <c r="A6" s="716" t="s">
        <v>431</v>
      </c>
      <c r="B6" s="1772">
        <f>'Revenues 9-14'!E5</f>
        <v>965459</v>
      </c>
      <c r="C6" s="585"/>
      <c r="D6" s="1775">
        <f t="shared" si="0"/>
        <v>965459</v>
      </c>
      <c r="E6" s="585">
        <v>949841</v>
      </c>
      <c r="F6" s="1775">
        <f t="shared" ref="F6:F18" si="1">E6-C6</f>
        <v>949841</v>
      </c>
    </row>
    <row r="7" spans="1:6" ht="13.7" customHeight="1" x14ac:dyDescent="0.2">
      <c r="A7" s="716" t="s">
        <v>157</v>
      </c>
      <c r="B7" s="1772">
        <f>'Revenues 9-14'!F5</f>
        <v>262331</v>
      </c>
      <c r="C7" s="585"/>
      <c r="D7" s="1775">
        <f t="shared" si="0"/>
        <v>262331</v>
      </c>
      <c r="E7" s="585">
        <v>265005</v>
      </c>
      <c r="F7" s="1775">
        <f t="shared" si="1"/>
        <v>265005</v>
      </c>
    </row>
    <row r="8" spans="1:6" ht="13.7" customHeight="1" x14ac:dyDescent="0.2">
      <c r="A8" s="716" t="s">
        <v>1241</v>
      </c>
      <c r="B8" s="1772">
        <f>'Revenues 9-14'!G5</f>
        <v>424500</v>
      </c>
      <c r="C8" s="585"/>
      <c r="D8" s="1775">
        <f t="shared" si="0"/>
        <v>424500</v>
      </c>
      <c r="E8" s="585">
        <v>265005</v>
      </c>
      <c r="F8" s="1775">
        <f t="shared" si="1"/>
        <v>265005</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62119</v>
      </c>
      <c r="C14" s="585"/>
      <c r="D14" s="1775">
        <f t="shared" si="0"/>
        <v>62119</v>
      </c>
      <c r="E14" s="585">
        <v>70759</v>
      </c>
      <c r="F14" s="1775">
        <f t="shared" si="1"/>
        <v>70759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v>265005</v>
      </c>
      <c r="F16" s="1775">
        <f t="shared" si="1"/>
        <v>265005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5547774</v>
      </c>
      <c r="C19" s="1773">
        <f>SUM(C4:C18)</f>
        <v>0</v>
      </c>
      <c r="D19" s="1773">
        <f>SUM(D4:D18)</f>
        <v>5547774</v>
      </c>
      <c r="E19" s="1773">
        <f>SUM(E4:E18)</f>
        <v>5526188</v>
      </c>
      <c r="F19" s="1773">
        <f>SUM(F4:F18)</f>
        <v>5526188</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H32" sqref="H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1902</v>
      </c>
      <c r="B2" s="2217"/>
      <c r="C2" s="1908" t="s">
        <v>2033</v>
      </c>
      <c r="D2" s="724" t="s">
        <v>2040</v>
      </c>
      <c r="E2" s="724" t="s">
        <v>2041</v>
      </c>
      <c r="F2" s="1908" t="s">
        <v>2034</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9" t="s">
        <v>604</v>
      </c>
      <c r="D30" s="1909" t="s">
        <v>1772</v>
      </c>
      <c r="E30" s="1909" t="s">
        <v>2035</v>
      </c>
      <c r="F30" s="1909" t="s">
        <v>2036</v>
      </c>
      <c r="G30" s="1909" t="s">
        <v>2039</v>
      </c>
      <c r="H30" s="1909" t="s">
        <v>2037</v>
      </c>
      <c r="I30" s="1909" t="s">
        <v>2038</v>
      </c>
      <c r="J30" s="1910" t="s">
        <v>2</v>
      </c>
      <c r="K30" s="732"/>
    </row>
    <row r="31" spans="1:11" ht="12" customHeight="1" x14ac:dyDescent="0.2">
      <c r="A31" s="733" t="s">
        <v>2091</v>
      </c>
      <c r="B31" s="734">
        <v>40226</v>
      </c>
      <c r="C31" s="735">
        <v>2100000</v>
      </c>
      <c r="D31" s="736">
        <v>6</v>
      </c>
      <c r="E31" s="735">
        <v>1250533</v>
      </c>
      <c r="F31" s="735"/>
      <c r="G31" s="735"/>
      <c r="H31" s="735">
        <v>129503</v>
      </c>
      <c r="I31" s="1778">
        <f>((E31+F31)-H31)+G31</f>
        <v>1121030</v>
      </c>
      <c r="J31" s="735">
        <f>1121030</f>
        <v>1121030</v>
      </c>
      <c r="K31" s="737"/>
    </row>
    <row r="32" spans="1:11" ht="12" customHeight="1" x14ac:dyDescent="0.2">
      <c r="A32" s="733" t="s">
        <v>2092</v>
      </c>
      <c r="B32" s="734">
        <v>41821</v>
      </c>
      <c r="C32" s="735">
        <v>5225000</v>
      </c>
      <c r="D32" s="736">
        <v>3</v>
      </c>
      <c r="E32" s="735">
        <v>3575000</v>
      </c>
      <c r="F32" s="735"/>
      <c r="G32" s="735">
        <v>-2715000</v>
      </c>
      <c r="H32" s="735">
        <v>860000</v>
      </c>
      <c r="I32" s="1778">
        <f>((E32+F32)-H32)+G32</f>
        <v>0</v>
      </c>
      <c r="J32" s="735"/>
      <c r="K32" s="737"/>
    </row>
    <row r="33" spans="1:11" ht="12" customHeight="1" x14ac:dyDescent="0.2">
      <c r="A33" s="733" t="s">
        <v>2093</v>
      </c>
      <c r="B33" s="734">
        <v>43033</v>
      </c>
      <c r="C33" s="735">
        <v>2227900</v>
      </c>
      <c r="D33" s="736"/>
      <c r="E33" s="735"/>
      <c r="F33" s="735">
        <v>2227900</v>
      </c>
      <c r="G33" s="735"/>
      <c r="H33" s="735"/>
      <c r="I33" s="1778">
        <f t="shared" ref="I33:I48" si="1">((E33+F33)-H33)+G33</f>
        <v>2227900</v>
      </c>
      <c r="J33" s="735">
        <f>2227900-766550</f>
        <v>1461350</v>
      </c>
      <c r="K33" s="737"/>
    </row>
    <row r="34" spans="1:11" ht="12" customHeight="1" x14ac:dyDescent="0.2">
      <c r="A34" s="733" t="s">
        <v>2094</v>
      </c>
      <c r="B34" s="734">
        <v>43033</v>
      </c>
      <c r="C34" s="735">
        <v>2821000</v>
      </c>
      <c r="D34" s="736">
        <v>3</v>
      </c>
      <c r="E34" s="735"/>
      <c r="F34" s="735">
        <v>2821000</v>
      </c>
      <c r="G34" s="735"/>
      <c r="H34" s="735"/>
      <c r="I34" s="1778">
        <f t="shared" si="1"/>
        <v>2821000</v>
      </c>
      <c r="J34" s="735">
        <v>2821000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12373900</v>
      </c>
      <c r="D49" s="746"/>
      <c r="E49" s="1778">
        <f t="shared" ref="E49:J49" si="2">SUM(E31:E48)</f>
        <v>4825533</v>
      </c>
      <c r="F49" s="1778">
        <f t="shared" si="2"/>
        <v>5048900</v>
      </c>
      <c r="G49" s="1778">
        <f t="shared" si="2"/>
        <v>-2715000</v>
      </c>
      <c r="H49" s="1778">
        <f t="shared" si="2"/>
        <v>989503</v>
      </c>
      <c r="I49" s="1778">
        <f t="shared" si="2"/>
        <v>6169930</v>
      </c>
      <c r="J49" s="1778">
        <f t="shared" si="2"/>
        <v>5403380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B1" colorId="8" zoomScale="110" zoomScaleNormal="110" workbookViewId="0">
      <selection activeCell="H14" sqref="H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1916</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62119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11345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15056</v>
      </c>
    </row>
    <row r="10" spans="1:11" x14ac:dyDescent="0.2">
      <c r="A10" s="2259" t="s">
        <v>1917</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62119</v>
      </c>
      <c r="I12" s="1780">
        <f>SUM(I5:I11)</f>
        <v>0</v>
      </c>
      <c r="J12" s="1780">
        <f>SUM(J5:J11)</f>
        <v>0</v>
      </c>
      <c r="K12" s="1780">
        <f>SUM(K5:K11)</f>
        <v>26401</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1913</v>
      </c>
      <c r="B19" s="2267"/>
      <c r="C19" s="2267"/>
      <c r="D19" s="2267"/>
      <c r="E19" s="2268"/>
      <c r="F19" s="790" t="s">
        <v>990</v>
      </c>
      <c r="G19" s="783"/>
      <c r="H19" s="783"/>
      <c r="I19" s="783"/>
      <c r="J19" s="766"/>
      <c r="K19" s="796"/>
    </row>
    <row r="20" spans="1:11" x14ac:dyDescent="0.2">
      <c r="A20" s="2246" t="s">
        <v>1918</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1919</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0</v>
      </c>
      <c r="I23" s="1780">
        <f>SUM(I14:I16,I21,I22)</f>
        <v>0</v>
      </c>
      <c r="J23" s="1780">
        <f>SUM(J14:J16,J21,J22)</f>
        <v>0</v>
      </c>
      <c r="K23" s="1780">
        <f>SUM(K14:K16,K21,K22)</f>
        <v>0</v>
      </c>
    </row>
    <row r="24" spans="1:11" ht="14.25" thickTop="1" thickBot="1" x14ac:dyDescent="0.25">
      <c r="A24" s="2253" t="s">
        <v>2021</v>
      </c>
      <c r="B24" s="2252"/>
      <c r="C24" s="2252"/>
      <c r="D24" s="2252"/>
      <c r="E24" s="2252"/>
      <c r="F24" s="1784"/>
      <c r="G24" s="1785">
        <f>SUM(G3,G12)-G23</f>
        <v>0</v>
      </c>
      <c r="H24" s="1785">
        <f>SUM(H3,H12)-H23</f>
        <v>62119</v>
      </c>
      <c r="I24" s="1785">
        <f>SUM(I3,I12)-I23</f>
        <v>0</v>
      </c>
      <c r="J24" s="1785">
        <f>SUM(J3,J12)-J23</f>
        <v>0</v>
      </c>
      <c r="K24" s="1785">
        <f>SUM(K3,K12)-K23</f>
        <v>26401</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62119</v>
      </c>
      <c r="I26" s="1780">
        <f>I24-I25</f>
        <v>0</v>
      </c>
      <c r="J26" s="1780">
        <f>J24-J25</f>
        <v>0</v>
      </c>
      <c r="K26" s="1780">
        <f>K24-K25</f>
        <v>26401</v>
      </c>
    </row>
    <row r="27" spans="1:11" ht="5.25" customHeight="1" thickTop="1" x14ac:dyDescent="0.2">
      <c r="I27" s="202"/>
      <c r="J27" s="202"/>
    </row>
    <row r="28" spans="1:11" ht="29.25" customHeight="1" x14ac:dyDescent="0.2">
      <c r="A28" s="1904" t="s">
        <v>2031</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9" sqref="A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2030</v>
      </c>
      <c r="B1" s="2272"/>
      <c r="C1" s="2273"/>
      <c r="D1" s="827"/>
      <c r="E1" s="828"/>
      <c r="F1" s="828"/>
      <c r="G1" s="829"/>
      <c r="H1" s="830"/>
      <c r="I1" s="831"/>
      <c r="J1" s="2269"/>
      <c r="K1" s="2270"/>
      <c r="L1" s="2270"/>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1553417</v>
      </c>
      <c r="D5" s="842"/>
      <c r="E5" s="842"/>
      <c r="F5" s="1782">
        <f>(C5+D5)-E5</f>
        <v>1553417</v>
      </c>
      <c r="G5" s="838"/>
      <c r="H5" s="843"/>
      <c r="I5" s="843"/>
      <c r="J5" s="843"/>
      <c r="K5" s="794"/>
      <c r="L5" s="1791">
        <f>F5-K5</f>
        <v>1553417</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26799646</v>
      </c>
      <c r="D8" s="845"/>
      <c r="E8" s="845"/>
      <c r="F8" s="1782">
        <f>(C8+D8)-E8</f>
        <v>26799646</v>
      </c>
      <c r="G8" s="844">
        <v>50</v>
      </c>
      <c r="H8" s="766">
        <v>10160245</v>
      </c>
      <c r="I8" s="766">
        <v>564555</v>
      </c>
      <c r="J8" s="766"/>
      <c r="K8" s="1791">
        <f>(H8+I8)-J8</f>
        <v>10724800</v>
      </c>
      <c r="L8" s="1791">
        <f>F8-K8</f>
        <v>16074846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823201</v>
      </c>
      <c r="D10" s="847"/>
      <c r="E10" s="847"/>
      <c r="F10" s="1786">
        <f>(C10+D10)-E10</f>
        <v>823201</v>
      </c>
      <c r="G10" s="844">
        <v>20</v>
      </c>
      <c r="H10" s="848">
        <v>605532</v>
      </c>
      <c r="I10" s="848">
        <v>27492</v>
      </c>
      <c r="J10" s="848"/>
      <c r="K10" s="1791">
        <f>(H10+I10)-J10</f>
        <v>633024</v>
      </c>
      <c r="L10" s="1791">
        <f>F10-K10</f>
        <v>190177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2333665</v>
      </c>
      <c r="D12" s="845">
        <v>167955</v>
      </c>
      <c r="E12" s="845"/>
      <c r="F12" s="1782">
        <f>(C12+D12)-E12</f>
        <v>2501620</v>
      </c>
      <c r="G12" s="844">
        <v>10</v>
      </c>
      <c r="H12" s="766">
        <v>1989539</v>
      </c>
      <c r="I12" s="766">
        <v>131205</v>
      </c>
      <c r="J12" s="766"/>
      <c r="K12" s="1791">
        <f>(H12+I12)-J12</f>
        <v>2120744</v>
      </c>
      <c r="L12" s="1791">
        <f>F12-K12</f>
        <v>380876</v>
      </c>
    </row>
    <row r="13" spans="1:14" ht="14.25" thickTop="1" thickBot="1" x14ac:dyDescent="0.25">
      <c r="A13" s="849" t="s">
        <v>1184</v>
      </c>
      <c r="B13" s="841">
        <v>252</v>
      </c>
      <c r="C13" s="845">
        <v>168514</v>
      </c>
      <c r="D13" s="845">
        <v>34499</v>
      </c>
      <c r="E13" s="845"/>
      <c r="F13" s="1782">
        <f>(C13+D13)-E13</f>
        <v>203013</v>
      </c>
      <c r="G13" s="844">
        <v>5</v>
      </c>
      <c r="H13" s="766">
        <v>140075</v>
      </c>
      <c r="I13" s="766">
        <v>16380</v>
      </c>
      <c r="J13" s="766"/>
      <c r="K13" s="1791">
        <f>(H13+I13)-J13</f>
        <v>156455</v>
      </c>
      <c r="L13" s="1791">
        <f>F13-K13</f>
        <v>46558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31678443</v>
      </c>
      <c r="D16" s="1782">
        <f>SUM(D3,D5:D6,D8:D10,D12:D15)</f>
        <v>202454</v>
      </c>
      <c r="E16" s="1782">
        <f>SUM(E3,E5:E6,E8:E10,E12:E15)</f>
        <v>0</v>
      </c>
      <c r="F16" s="1782">
        <f>SUM(F3,F5:F6,F8:F10,F12:F15)</f>
        <v>31880897</v>
      </c>
      <c r="G16" s="844"/>
      <c r="H16" s="1782">
        <f>SUM(H3,H6,H8:H10,H12:H14,)</f>
        <v>12895391</v>
      </c>
      <c r="I16" s="1782">
        <f>SUM(I3,I6,I8:I10,I12:I14,)</f>
        <v>739632</v>
      </c>
      <c r="J16" s="1782">
        <f>SUM(J3,J6,J8:J10,J12:J14,)</f>
        <v>0</v>
      </c>
      <c r="K16" s="1782">
        <f>(H16+I16)-J16</f>
        <v>13635023</v>
      </c>
      <c r="L16" s="1782">
        <f>F16-K16</f>
        <v>18245874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739632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10089386</v>
      </c>
      <c r="G8" s="866"/>
    </row>
    <row r="9" spans="1:7" x14ac:dyDescent="0.2">
      <c r="A9" s="870" t="s">
        <v>480</v>
      </c>
      <c r="B9" s="871" t="s">
        <v>1985</v>
      </c>
      <c r="C9" s="872"/>
      <c r="D9" s="870" t="s">
        <v>522</v>
      </c>
      <c r="E9" s="869"/>
      <c r="F9" s="1934">
        <f>'Expenditures 15-22'!K151</f>
        <v>1300296</v>
      </c>
      <c r="G9" s="873"/>
    </row>
    <row r="10" spans="1:7" x14ac:dyDescent="0.2">
      <c r="A10" s="870" t="s">
        <v>520</v>
      </c>
      <c r="B10" s="871" t="s">
        <v>1986</v>
      </c>
      <c r="C10" s="872"/>
      <c r="D10" s="870" t="s">
        <v>522</v>
      </c>
      <c r="E10" s="869"/>
      <c r="F10" s="1934">
        <f>'Expenditures 15-22'!K174</f>
        <v>1207437</v>
      </c>
      <c r="G10" s="873"/>
    </row>
    <row r="11" spans="1:7" x14ac:dyDescent="0.2">
      <c r="A11" s="870" t="s">
        <v>481</v>
      </c>
      <c r="B11" s="871" t="s">
        <v>1987</v>
      </c>
      <c r="C11" s="872"/>
      <c r="D11" s="870" t="s">
        <v>522</v>
      </c>
      <c r="E11" s="869"/>
      <c r="F11" s="1934">
        <f>'Expenditures 15-22'!K210</f>
        <v>649466</v>
      </c>
      <c r="G11" s="873"/>
    </row>
    <row r="12" spans="1:7" x14ac:dyDescent="0.2">
      <c r="A12" s="870" t="s">
        <v>482</v>
      </c>
      <c r="B12" s="871" t="s">
        <v>1988</v>
      </c>
      <c r="C12" s="872"/>
      <c r="D12" s="870" t="s">
        <v>522</v>
      </c>
      <c r="E12" s="869"/>
      <c r="F12" s="1934">
        <f>'Expenditures 15-22'!K295</f>
        <v>388405</v>
      </c>
      <c r="G12" s="873"/>
    </row>
    <row r="13" spans="1:7" x14ac:dyDescent="0.2">
      <c r="A13" s="870" t="s">
        <v>108</v>
      </c>
      <c r="B13" s="871" t="s">
        <v>1989</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13634990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249360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39554</v>
      </c>
      <c r="G52" s="866"/>
    </row>
    <row r="53" spans="1:7" x14ac:dyDescent="0.2">
      <c r="A53" s="870" t="s">
        <v>479</v>
      </c>
      <c r="B53" s="870" t="s">
        <v>1551</v>
      </c>
      <c r="C53" s="890">
        <f>'Expenditures 15-22'!B102</f>
        <v>4000</v>
      </c>
      <c r="D53" s="889" t="str">
        <f>'Expenditures 15-22'!A102</f>
        <v>Total Payments to Other Govt Units</v>
      </c>
      <c r="E53" s="869"/>
      <c r="F53" s="1938">
        <f>'Expenditures 15-22'!K102</f>
        <v>1286291</v>
      </c>
      <c r="G53" s="866"/>
    </row>
    <row r="54" spans="1:7" x14ac:dyDescent="0.2">
      <c r="A54" s="870" t="s">
        <v>479</v>
      </c>
      <c r="B54" s="870" t="s">
        <v>1552</v>
      </c>
      <c r="C54" s="890" t="s">
        <v>1039</v>
      </c>
      <c r="D54" s="886" t="s">
        <v>1157</v>
      </c>
      <c r="E54" s="869"/>
      <c r="F54" s="1938">
        <f>'Expenditures 15-22'!G114</f>
        <v>129222</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8">
        <f>'Expenditures 15-22'!K139</f>
        <v>0</v>
      </c>
      <c r="G57" s="866"/>
    </row>
    <row r="58" spans="1:7" x14ac:dyDescent="0.2">
      <c r="A58" s="870" t="s">
        <v>480</v>
      </c>
      <c r="B58" s="870" t="s">
        <v>1991</v>
      </c>
      <c r="C58" s="887" t="s">
        <v>1039</v>
      </c>
      <c r="D58" s="886" t="s">
        <v>1157</v>
      </c>
      <c r="E58" s="869"/>
      <c r="F58" s="1940">
        <f>'Expenditures 15-22'!G151</f>
        <v>90871</v>
      </c>
      <c r="G58" s="866"/>
    </row>
    <row r="59" spans="1:7" x14ac:dyDescent="0.2">
      <c r="A59" s="894" t="s">
        <v>480</v>
      </c>
      <c r="B59" s="857" t="s">
        <v>1992</v>
      </c>
      <c r="C59" s="895" t="s">
        <v>1039</v>
      </c>
      <c r="D59" s="857" t="s">
        <v>309</v>
      </c>
      <c r="F59" s="1941">
        <f>'Expenditures 15-22'!I151</f>
        <v>0</v>
      </c>
      <c r="G59" s="866"/>
    </row>
    <row r="60" spans="1:7" x14ac:dyDescent="0.2">
      <c r="A60" s="894" t="s">
        <v>520</v>
      </c>
      <c r="B60" s="857" t="s">
        <v>1993</v>
      </c>
      <c r="C60" s="895">
        <v>4000</v>
      </c>
      <c r="D60" s="857" t="s">
        <v>330</v>
      </c>
      <c r="F60" s="1939">
        <f>'Expenditures 15-22'!K160</f>
        <v>0</v>
      </c>
      <c r="G60" s="866"/>
    </row>
    <row r="61" spans="1:7" x14ac:dyDescent="0.2">
      <c r="A61" s="896" t="s">
        <v>520</v>
      </c>
      <c r="B61" s="896" t="s">
        <v>1994</v>
      </c>
      <c r="C61" s="897" t="str">
        <f>'Expenditures 15-22'!B170</f>
        <v>5300</v>
      </c>
      <c r="D61" s="898" t="s">
        <v>329</v>
      </c>
      <c r="E61" s="880"/>
      <c r="F61" s="1938">
        <f>'Expenditures 15-22'!K170</f>
        <v>989503</v>
      </c>
      <c r="G61" s="866"/>
    </row>
    <row r="62" spans="1:7" x14ac:dyDescent="0.2">
      <c r="A62" s="870" t="s">
        <v>481</v>
      </c>
      <c r="B62" s="870" t="s">
        <v>1995</v>
      </c>
      <c r="C62" s="887">
        <f>'Expenditures 15-22'!B185</f>
        <v>3000</v>
      </c>
      <c r="D62" s="877" t="s">
        <v>469</v>
      </c>
      <c r="E62" s="869"/>
      <c r="F62" s="1938">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1997</v>
      </c>
      <c r="C64" s="897" t="str">
        <f>'Expenditures 15-22'!B206</f>
        <v>5300</v>
      </c>
      <c r="D64" s="893" t="s">
        <v>329</v>
      </c>
      <c r="E64" s="869"/>
      <c r="F64" s="1938">
        <f>'Expenditures 15-22'!K206</f>
        <v>0</v>
      </c>
      <c r="G64" s="866"/>
    </row>
    <row r="65" spans="1:8" x14ac:dyDescent="0.2">
      <c r="A65" s="870" t="s">
        <v>481</v>
      </c>
      <c r="B65" s="870" t="s">
        <v>1998</v>
      </c>
      <c r="C65" s="887" t="s">
        <v>1039</v>
      </c>
      <c r="D65" s="886" t="s">
        <v>1157</v>
      </c>
      <c r="E65" s="869"/>
      <c r="F65" s="1938">
        <f>'Expenditures 15-22'!G210</f>
        <v>0</v>
      </c>
      <c r="G65" s="866"/>
    </row>
    <row r="66" spans="1:8" x14ac:dyDescent="0.2">
      <c r="A66" s="870" t="s">
        <v>481</v>
      </c>
      <c r="B66" s="870" t="s">
        <v>1999</v>
      </c>
      <c r="C66" s="887" t="s">
        <v>1039</v>
      </c>
      <c r="D66" s="886" t="s">
        <v>309</v>
      </c>
      <c r="E66" s="869"/>
      <c r="F66" s="1938">
        <f>'Expenditures 15-22'!I210</f>
        <v>0</v>
      </c>
      <c r="G66" s="866"/>
    </row>
    <row r="67" spans="1:8" x14ac:dyDescent="0.2">
      <c r="A67" s="870" t="s">
        <v>482</v>
      </c>
      <c r="B67" s="870" t="s">
        <v>2000</v>
      </c>
      <c r="C67" s="887" t="str">
        <f>'Expenditures 15-22'!B216</f>
        <v>1125</v>
      </c>
      <c r="D67" s="893" t="str">
        <f>'Expenditures 15-22'!A216</f>
        <v>Pre-K Programs</v>
      </c>
      <c r="E67" s="869"/>
      <c r="F67" s="1938">
        <f>'Expenditures 15-22'!K216</f>
        <v>11149</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2002</v>
      </c>
      <c r="C70" s="887">
        <f>'Expenditures 15-22'!B221</f>
        <v>1300</v>
      </c>
      <c r="D70" s="888" t="str">
        <f>'Expenditures 15-22'!A221</f>
        <v>Adult/Continuing Education Programs</v>
      </c>
      <c r="E70" s="869"/>
      <c r="F70" s="1938">
        <f>'Expenditures 15-22'!K221</f>
        <v>0</v>
      </c>
      <c r="G70" s="866"/>
    </row>
    <row r="71" spans="1:8" x14ac:dyDescent="0.2">
      <c r="A71" s="870" t="s">
        <v>482</v>
      </c>
      <c r="B71" s="870" t="s">
        <v>2003</v>
      </c>
      <c r="C71" s="887">
        <f>'Expenditures 15-22'!B224</f>
        <v>1600</v>
      </c>
      <c r="D71" s="888" t="str">
        <f>'Expenditures 15-22'!A224</f>
        <v>Summer School Programs</v>
      </c>
      <c r="E71" s="869"/>
      <c r="F71" s="1938">
        <f>'Expenditures 15-22'!K224</f>
        <v>0</v>
      </c>
      <c r="G71" s="866"/>
    </row>
    <row r="72" spans="1:8" x14ac:dyDescent="0.2">
      <c r="A72" s="870" t="s">
        <v>482</v>
      </c>
      <c r="B72" s="870" t="s">
        <v>2004</v>
      </c>
      <c r="C72" s="887">
        <f>'Expenditures 15-22'!B280</f>
        <v>3000</v>
      </c>
      <c r="D72" s="877" t="s">
        <v>469</v>
      </c>
      <c r="E72" s="869"/>
      <c r="F72" s="1938">
        <f>'Expenditures 15-22'!K280</f>
        <v>7284</v>
      </c>
      <c r="G72" s="866"/>
    </row>
    <row r="73" spans="1:8" x14ac:dyDescent="0.2">
      <c r="A73" s="870" t="s">
        <v>482</v>
      </c>
      <c r="B73" s="870" t="s">
        <v>2005</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2006</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2803234</v>
      </c>
      <c r="G76" s="866"/>
    </row>
    <row r="77" spans="1:8" s="894" customFormat="1" ht="12" customHeight="1" thickTop="1" thickBot="1" x14ac:dyDescent="0.25">
      <c r="A77" s="1801"/>
      <c r="B77" s="1798"/>
      <c r="C77" s="1794"/>
      <c r="D77" s="1799" t="s">
        <v>2008</v>
      </c>
      <c r="E77" s="1796"/>
      <c r="F77" s="1802">
        <f>(F14-F76)</f>
        <v>10831756</v>
      </c>
      <c r="G77" s="870"/>
    </row>
    <row r="78" spans="1:8" s="894" customFormat="1" ht="12" customHeight="1" thickTop="1" x14ac:dyDescent="0.2">
      <c r="A78" s="1803"/>
      <c r="B78" s="1798"/>
      <c r="C78" s="1794"/>
      <c r="D78" s="1799" t="s">
        <v>2054</v>
      </c>
      <c r="E78" s="1796"/>
      <c r="F78" s="899">
        <v>1270.76</v>
      </c>
      <c r="G78" s="900"/>
      <c r="H78" s="870"/>
    </row>
    <row r="79" spans="1:8" s="894" customFormat="1" ht="12" customHeight="1" thickBot="1" x14ac:dyDescent="0.25">
      <c r="A79" s="1804"/>
      <c r="B79" s="1798"/>
      <c r="C79" s="1794"/>
      <c r="D79" s="1799" t="s">
        <v>2009</v>
      </c>
      <c r="E79" s="1796" t="s">
        <v>1015</v>
      </c>
      <c r="F79" s="1805">
        <f>IF(F78&gt;0,F77/F78," Complete Line 78")</f>
        <v>8523.8408511441976</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18217</v>
      </c>
      <c r="G94" s="913"/>
    </row>
    <row r="95" spans="1:7" x14ac:dyDescent="0.2">
      <c r="A95" s="909" t="s">
        <v>142</v>
      </c>
      <c r="B95" s="909" t="s">
        <v>177</v>
      </c>
      <c r="C95" s="911">
        <v>1700</v>
      </c>
      <c r="D95" s="919" t="str">
        <f>'Revenues 9-14'!A82</f>
        <v>Total District/School Activity Income</v>
      </c>
      <c r="E95" s="907"/>
      <c r="F95" s="1811">
        <f>SUM('Revenues 9-14'!C82,'Revenues 9-14'!D82)</f>
        <v>106483</v>
      </c>
      <c r="G95" s="913"/>
    </row>
    <row r="96" spans="1:7" x14ac:dyDescent="0.2">
      <c r="A96" s="909" t="s">
        <v>479</v>
      </c>
      <c r="B96" s="909" t="s">
        <v>178</v>
      </c>
      <c r="C96" s="911">
        <f>'Revenues 9-14'!B84</f>
        <v>1811</v>
      </c>
      <c r="D96" s="912" t="str">
        <f>'Revenues 9-14'!A84</f>
        <v>Rentals - Regular Textbooks</v>
      </c>
      <c r="E96" s="907"/>
      <c r="F96" s="1811">
        <f>'Revenues 9-14'!C84</f>
        <v>86082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604185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9036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15056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289831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6877</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648901</v>
      </c>
      <c r="G129" s="931"/>
    </row>
    <row r="130" spans="1:7" x14ac:dyDescent="0.2">
      <c r="A130" s="928" t="s">
        <v>689</v>
      </c>
      <c r="B130" s="928" t="s">
        <v>804</v>
      </c>
      <c r="C130" s="933">
        <v>4300</v>
      </c>
      <c r="D130" s="934" t="str">
        <f>'Revenues 9-14'!A211</f>
        <v>Total Title I</v>
      </c>
      <c r="E130" s="907"/>
      <c r="F130" s="1811">
        <f>SUM('Revenues 9-14'!C211,'Revenues 9-14'!D211,'Revenues 9-14'!F211,'Revenues 9-14'!G211)</f>
        <v>297603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216194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229453</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46372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12838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290410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2053</v>
      </c>
      <c r="C175" s="1945">
        <v>3100</v>
      </c>
      <c r="D175" s="1946" t="s">
        <v>2056</v>
      </c>
      <c r="E175" s="907"/>
      <c r="F175" s="1930"/>
      <c r="G175" s="928"/>
    </row>
    <row r="176" spans="1:7" x14ac:dyDescent="0.2">
      <c r="A176" s="1943" t="s">
        <v>685</v>
      </c>
      <c r="B176" s="1944" t="s">
        <v>2053</v>
      </c>
      <c r="C176" s="1945">
        <v>3300</v>
      </c>
      <c r="D176" s="1946" t="s">
        <v>2057</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2877538</v>
      </c>
    </row>
    <row r="179" spans="1:7" ht="12" customHeight="1" x14ac:dyDescent="0.2">
      <c r="A179" s="1792"/>
      <c r="B179" s="1806"/>
      <c r="C179" s="1807"/>
      <c r="D179" s="1808" t="s">
        <v>2011</v>
      </c>
      <c r="E179" s="1809"/>
      <c r="F179" s="1811">
        <f>'PCTC-OEPP 27-28'!F77-F178</f>
        <v>7954218</v>
      </c>
    </row>
    <row r="180" spans="1:7" ht="12" customHeight="1" x14ac:dyDescent="0.2">
      <c r="A180" s="1792"/>
      <c r="B180" s="1806"/>
      <c r="C180" s="1807"/>
      <c r="D180" s="1808" t="s">
        <v>1921</v>
      </c>
      <c r="E180" s="1809"/>
      <c r="F180" s="1811">
        <f>'Cap Outlay Deprec 26'!I18</f>
        <v>739632</v>
      </c>
    </row>
    <row r="181" spans="1:7" ht="12" customHeight="1" x14ac:dyDescent="0.2">
      <c r="A181" s="1792"/>
      <c r="B181" s="1806"/>
      <c r="C181" s="1807"/>
      <c r="D181" s="1808" t="s">
        <v>2012</v>
      </c>
      <c r="E181" s="1809"/>
      <c r="F181" s="1811">
        <f>F179+F180</f>
        <v>8693850</v>
      </c>
    </row>
    <row r="182" spans="1:7" ht="12" customHeight="1" x14ac:dyDescent="0.2">
      <c r="A182" s="1792"/>
      <c r="B182" s="1812"/>
      <c r="C182" s="1807"/>
      <c r="D182" s="1808" t="str">
        <f>D78</f>
        <v>9 Month ADA from District Average Daily Attendance/Prior General State Aid Inquiry 2017-2018</v>
      </c>
      <c r="E182" s="1809"/>
      <c r="F182" s="1813">
        <f>'PCTC-OEPP 27-28'!F78</f>
        <v>1270.76</v>
      </c>
      <c r="G182" s="931"/>
    </row>
    <row r="183" spans="1:7" ht="12" customHeight="1" thickBot="1" x14ac:dyDescent="0.25">
      <c r="A183" s="1792"/>
      <c r="B183" s="1812"/>
      <c r="C183" s="1807"/>
      <c r="D183" s="1808" t="s">
        <v>2013</v>
      </c>
      <c r="E183" s="1809" t="s">
        <v>1626</v>
      </c>
      <c r="F183" s="1814">
        <f>F181/F182</f>
        <v>6841.4570808020399</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7" customFormat="1" ht="12.2" customHeight="1" x14ac:dyDescent="0.2">
      <c r="A186" s="1947" t="s">
        <v>2060</v>
      </c>
      <c r="B186" s="1948"/>
      <c r="C186" s="1949"/>
      <c r="D186" s="1948"/>
      <c r="E186" s="1949"/>
      <c r="F186" s="1948"/>
      <c r="G186" s="1948"/>
    </row>
    <row r="187" spans="1:7" s="1947" customFormat="1" ht="12.2" customHeight="1" x14ac:dyDescent="0.2">
      <c r="A187" s="1950" t="s">
        <v>2061</v>
      </c>
      <c r="C187" s="1949"/>
      <c r="D187" s="1948"/>
      <c r="E187" s="1949"/>
      <c r="F187" s="1948"/>
      <c r="G187" s="1948"/>
    </row>
    <row r="188" spans="1:7" ht="12" customHeight="1" x14ac:dyDescent="0.2">
      <c r="C188" s="950"/>
      <c r="D188" s="931"/>
      <c r="E188" s="950"/>
      <c r="F188" s="931"/>
      <c r="G188" s="931"/>
    </row>
    <row r="189" spans="1:7" x14ac:dyDescent="0.2">
      <c r="A189" s="1951" t="s">
        <v>2059</v>
      </c>
      <c r="B189" s="1952"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29" sqref="A2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1922</v>
      </c>
      <c r="B4" s="2289"/>
      <c r="C4" s="2289"/>
      <c r="D4" s="2289"/>
      <c r="E4" s="2289"/>
      <c r="F4" s="2289"/>
      <c r="G4" s="2290"/>
    </row>
    <row r="5" spans="1:7" x14ac:dyDescent="0.25">
      <c r="A5" s="2291"/>
      <c r="B5" s="2292"/>
      <c r="C5" s="2292"/>
      <c r="D5" s="2292"/>
      <c r="E5" s="2292"/>
      <c r="F5" s="2292"/>
      <c r="G5" s="2293"/>
    </row>
    <row r="6" spans="1:7" ht="18.75" x14ac:dyDescent="0.25">
      <c r="A6" s="1556" t="s">
        <v>1923</v>
      </c>
      <c r="B6" s="1557"/>
      <c r="C6" s="1557"/>
      <c r="D6" s="1557"/>
      <c r="E6" s="1557"/>
      <c r="F6" s="1557"/>
      <c r="G6" s="1558"/>
    </row>
    <row r="7" spans="1:7" ht="30.75" customHeight="1" x14ac:dyDescent="0.25">
      <c r="A7" s="2294" t="s">
        <v>2070</v>
      </c>
      <c r="B7" s="2295"/>
      <c r="C7" s="2295"/>
      <c r="D7" s="2295"/>
      <c r="E7" s="2295"/>
      <c r="F7" s="2295"/>
      <c r="G7" s="2296"/>
    </row>
    <row r="8" spans="1:7" ht="15.75" customHeight="1" x14ac:dyDescent="0.25">
      <c r="A8" s="2297" t="s">
        <v>2019</v>
      </c>
      <c r="B8" s="2298"/>
      <c r="C8" s="2298"/>
      <c r="D8" s="2298"/>
      <c r="E8" s="2298"/>
      <c r="F8" s="2298"/>
      <c r="G8" s="2299"/>
    </row>
    <row r="9" spans="1:7" ht="35.25" customHeight="1" x14ac:dyDescent="0.25">
      <c r="A9" s="2294" t="s">
        <v>2073</v>
      </c>
      <c r="B9" s="2295"/>
      <c r="C9" s="2295"/>
      <c r="D9" s="2295"/>
      <c r="E9" s="2295"/>
      <c r="F9" s="2295"/>
      <c r="G9" s="2296"/>
    </row>
    <row r="10" spans="1:7" ht="15" customHeight="1" x14ac:dyDescent="0.25">
      <c r="A10" s="1559" t="s">
        <v>1924</v>
      </c>
      <c r="B10" s="1560"/>
      <c r="C10" s="1560"/>
      <c r="D10" s="1560"/>
      <c r="E10" s="1560"/>
      <c r="F10" s="1560"/>
      <c r="G10" s="1561"/>
    </row>
    <row r="11" spans="1:7" ht="17.25" customHeight="1" x14ac:dyDescent="0.25">
      <c r="A11" s="2294" t="s">
        <v>2072</v>
      </c>
      <c r="B11" s="2295"/>
      <c r="C11" s="2295"/>
      <c r="D11" s="2295"/>
      <c r="E11" s="2295"/>
      <c r="F11" s="2295"/>
      <c r="G11" s="2296"/>
    </row>
    <row r="12" spans="1:7" ht="15" customHeight="1" x14ac:dyDescent="0.25">
      <c r="A12" s="1559" t="s">
        <v>1929</v>
      </c>
      <c r="B12" s="1560"/>
      <c r="C12" s="1560"/>
      <c r="D12" s="1560"/>
      <c r="E12" s="1560"/>
      <c r="F12" s="1560"/>
      <c r="G12" s="1561"/>
    </row>
    <row r="13" spans="1:7" ht="32.25" customHeight="1" x14ac:dyDescent="0.25">
      <c r="A13" s="2285" t="s">
        <v>1930</v>
      </c>
      <c r="B13" s="2286"/>
      <c r="C13" s="2286"/>
      <c r="D13" s="2286"/>
      <c r="E13" s="2286"/>
      <c r="F13" s="2286"/>
      <c r="G13" s="2287"/>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2119</v>
      </c>
      <c r="B17" s="1957" t="s">
        <v>2118</v>
      </c>
      <c r="C17" s="1958" t="s">
        <v>2120</v>
      </c>
      <c r="D17" s="1867">
        <v>6540</v>
      </c>
      <c r="E17" s="1562">
        <f t="shared" ref="E17:E141" si="1">IF(D17&lt;=25000,D17,IF(D17&gt;25000,25000,0))</f>
        <v>6540</v>
      </c>
      <c r="F17" s="1815">
        <f t="shared" si="0"/>
        <v>6540</v>
      </c>
      <c r="G17" s="1816">
        <f>IF(F17=0,0,D17-F17)</f>
        <v>0</v>
      </c>
      <c r="H17" s="1669"/>
    </row>
    <row r="18" spans="1:8" x14ac:dyDescent="0.25">
      <c r="A18" s="1956" t="s">
        <v>2110</v>
      </c>
      <c r="B18" s="1957" t="s">
        <v>2111</v>
      </c>
      <c r="C18" s="1958" t="s">
        <v>2112</v>
      </c>
      <c r="D18" s="1867">
        <v>651552.68999999994</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626552.68999999994</v>
      </c>
    </row>
    <row r="19" spans="1:8" x14ac:dyDescent="0.25">
      <c r="A19" s="1956" t="s">
        <v>2113</v>
      </c>
      <c r="B19" s="1957" t="s">
        <v>2117</v>
      </c>
      <c r="C19" s="1958" t="s">
        <v>2114</v>
      </c>
      <c r="D19" s="1867">
        <v>5388</v>
      </c>
      <c r="E19" s="1562">
        <f t="shared" si="2"/>
        <v>5388</v>
      </c>
      <c r="F19" s="1815">
        <f t="shared" si="3"/>
        <v>5388</v>
      </c>
      <c r="G19" s="1816">
        <f t="shared" si="4"/>
        <v>0</v>
      </c>
    </row>
    <row r="20" spans="1:8" x14ac:dyDescent="0.25">
      <c r="A20" s="1956" t="s">
        <v>2115</v>
      </c>
      <c r="B20" s="1957" t="s">
        <v>2128</v>
      </c>
      <c r="C20" s="1958" t="s">
        <v>2116</v>
      </c>
      <c r="D20" s="1867">
        <v>11879</v>
      </c>
      <c r="E20" s="1562">
        <f t="shared" si="2"/>
        <v>11879</v>
      </c>
      <c r="F20" s="1815">
        <f t="shared" si="3"/>
        <v>11879</v>
      </c>
      <c r="G20" s="1816">
        <f t="shared" si="4"/>
        <v>0</v>
      </c>
    </row>
    <row r="21" spans="1:8" x14ac:dyDescent="0.25">
      <c r="A21" s="1956" t="s">
        <v>2119</v>
      </c>
      <c r="B21" s="1957" t="s">
        <v>2118</v>
      </c>
      <c r="C21" s="1958" t="s">
        <v>2121</v>
      </c>
      <c r="D21" s="1867">
        <v>9276</v>
      </c>
      <c r="E21" s="1562">
        <f t="shared" si="2"/>
        <v>9276</v>
      </c>
      <c r="F21" s="1815">
        <f t="shared" si="3"/>
        <v>9276</v>
      </c>
      <c r="G21" s="1816">
        <f t="shared" si="4"/>
        <v>0</v>
      </c>
    </row>
    <row r="22" spans="1:8" x14ac:dyDescent="0.25">
      <c r="A22" s="1956" t="s">
        <v>2122</v>
      </c>
      <c r="B22" s="1957" t="s">
        <v>2118</v>
      </c>
      <c r="C22" s="1958" t="s">
        <v>2123</v>
      </c>
      <c r="D22" s="1867">
        <v>5752</v>
      </c>
      <c r="E22" s="1562">
        <f t="shared" si="2"/>
        <v>5752</v>
      </c>
      <c r="F22" s="1815">
        <f t="shared" si="3"/>
        <v>5752</v>
      </c>
      <c r="G22" s="1816">
        <f t="shared" si="4"/>
        <v>0</v>
      </c>
    </row>
    <row r="23" spans="1:8" x14ac:dyDescent="0.25">
      <c r="A23" s="1956" t="s">
        <v>2113</v>
      </c>
      <c r="B23" s="1957" t="s">
        <v>2117</v>
      </c>
      <c r="C23" s="1958" t="s">
        <v>2124</v>
      </c>
      <c r="D23" s="1867">
        <v>2481</v>
      </c>
      <c r="E23" s="1562">
        <f t="shared" si="2"/>
        <v>2481</v>
      </c>
      <c r="F23" s="1815">
        <f t="shared" si="3"/>
        <v>2481</v>
      </c>
      <c r="G23" s="1816">
        <f t="shared" si="4"/>
        <v>0</v>
      </c>
    </row>
    <row r="24" spans="1:8" x14ac:dyDescent="0.25">
      <c r="A24" s="1956" t="s">
        <v>2125</v>
      </c>
      <c r="B24" s="1957" t="s">
        <v>2126</v>
      </c>
      <c r="C24" s="1958" t="s">
        <v>2127</v>
      </c>
      <c r="D24" s="1867">
        <v>4852</v>
      </c>
      <c r="E24" s="1562">
        <f t="shared" si="2"/>
        <v>4852</v>
      </c>
      <c r="F24" s="1815">
        <f t="shared" si="3"/>
        <v>4852</v>
      </c>
      <c r="G24" s="1816">
        <f t="shared" si="4"/>
        <v>0</v>
      </c>
    </row>
    <row r="25" spans="1:8" x14ac:dyDescent="0.25">
      <c r="A25" s="1956" t="s">
        <v>2119</v>
      </c>
      <c r="B25" s="1957" t="s">
        <v>2118</v>
      </c>
      <c r="C25" s="1958" t="s">
        <v>2129</v>
      </c>
      <c r="D25" s="1867">
        <v>15333</v>
      </c>
      <c r="E25" s="1562">
        <f t="shared" si="2"/>
        <v>15333</v>
      </c>
      <c r="F25" s="1815">
        <f t="shared" si="3"/>
        <v>15333</v>
      </c>
      <c r="G25" s="1816">
        <f t="shared" si="4"/>
        <v>0</v>
      </c>
    </row>
    <row r="26" spans="1:8" x14ac:dyDescent="0.25">
      <c r="A26" s="1956" t="s">
        <v>2130</v>
      </c>
      <c r="B26" s="1957" t="s">
        <v>2131</v>
      </c>
      <c r="C26" s="1958" t="s">
        <v>2132</v>
      </c>
      <c r="D26" s="1867">
        <f>2090+3050</f>
        <v>5140</v>
      </c>
      <c r="E26" s="1562">
        <f t="shared" si="2"/>
        <v>5140</v>
      </c>
      <c r="F26" s="1815">
        <f t="shared" si="3"/>
        <v>5140</v>
      </c>
      <c r="G26" s="1816">
        <f t="shared" si="4"/>
        <v>0</v>
      </c>
    </row>
    <row r="27" spans="1:8" x14ac:dyDescent="0.25">
      <c r="A27" s="1956" t="s">
        <v>2119</v>
      </c>
      <c r="B27" s="1957" t="s">
        <v>2118</v>
      </c>
      <c r="C27" s="1958" t="s">
        <v>2133</v>
      </c>
      <c r="D27" s="1867">
        <v>93308</v>
      </c>
      <c r="E27" s="1562">
        <f t="shared" si="2"/>
        <v>25000</v>
      </c>
      <c r="F27" s="1815">
        <f t="shared" si="3"/>
        <v>25000</v>
      </c>
      <c r="G27" s="1816">
        <f t="shared" si="4"/>
        <v>68308</v>
      </c>
    </row>
    <row r="28" spans="1:8" x14ac:dyDescent="0.25">
      <c r="A28" s="1956" t="s">
        <v>2119</v>
      </c>
      <c r="B28" s="1957" t="s">
        <v>2118</v>
      </c>
      <c r="C28" s="1958" t="s">
        <v>2134</v>
      </c>
      <c r="D28" s="1867">
        <v>27183</v>
      </c>
      <c r="E28" s="1562">
        <f t="shared" si="2"/>
        <v>25000</v>
      </c>
      <c r="F28" s="1815">
        <f t="shared" si="3"/>
        <v>25000</v>
      </c>
      <c r="G28" s="1816">
        <f t="shared" si="4"/>
        <v>2183</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838684.69</v>
      </c>
      <c r="E141" s="1563">
        <f t="shared" si="1"/>
        <v>25000</v>
      </c>
      <c r="F141" s="1817">
        <f>SUM(F17:F140)</f>
        <v>141641</v>
      </c>
      <c r="G141" s="1818">
        <f>SUM(G17:G140)</f>
        <v>697043.69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c r="F10" s="975"/>
      <c r="G10" s="976"/>
      <c r="H10" s="162"/>
      <c r="I10" s="162"/>
    </row>
    <row r="11" spans="1:9" s="669" customFormat="1" ht="22.5" customHeight="1" x14ac:dyDescent="0.2">
      <c r="A11" s="2305" t="s">
        <v>1941</v>
      </c>
      <c r="B11" s="2306"/>
      <c r="C11" s="2306"/>
      <c r="D11" s="2307"/>
      <c r="E11" s="978">
        <f>35739+16000</f>
        <v>51739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6318418</v>
      </c>
      <c r="F19" s="1822"/>
      <c r="G19" s="1824">
        <f>'Expenditures 15-22'!K33-SUM('Expenditures 15-22'!G33,'Expenditures 15-22'!I33)+'Expenditures 15-22'!D229</f>
        <v>6318418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397103</v>
      </c>
      <c r="F21" s="1825"/>
      <c r="G21" s="1828">
        <f>'Expenditures 15-22'!K42-SUM('Expenditures 15-22'!G42,'Expenditures 15-22'!I42)+'Expenditures 15-22'!K120-SUM('Expenditures 15-22'!G120,'Expenditures 15-22'!I120)+'Expenditures 15-22'!K180-SUM('Expenditures 15-22'!G180,'Expenditures 15-22'!I180)+'Expenditures 15-22'!D238</f>
        <v>397103</v>
      </c>
      <c r="H21" s="988"/>
      <c r="I21" s="162"/>
    </row>
    <row r="22" spans="1:9" s="669" customFormat="1" ht="12" customHeight="1" x14ac:dyDescent="0.2">
      <c r="A22" s="995" t="s">
        <v>585</v>
      </c>
      <c r="B22" s="996"/>
      <c r="C22" s="994">
        <v>2200</v>
      </c>
      <c r="D22" s="1825"/>
      <c r="E22" s="1827">
        <f>'Expenditures 15-22'!K47-SUM('Expenditures 15-22'!G47,'Expenditures 15-22'!I47)+'Expenditures 15-22'!D243</f>
        <v>104369</v>
      </c>
      <c r="F22" s="1825"/>
      <c r="G22" s="1828">
        <f>'Expenditures 15-22'!K47-SUM('Expenditures 15-22'!G47,'Expenditures 15-22'!I47)+'Expenditures 15-22'!D243</f>
        <v>104369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474547</v>
      </c>
      <c r="F23" s="1825"/>
      <c r="G23" s="1827">
        <f>'Expenditures 15-22'!K53-SUM('Expenditures 15-22'!G53,'Expenditures 15-22'!I53)+'Expenditures 15-22'!D257+'Expenditures 15-22'!K330-SUM('Expenditures 15-22'!G330,'Expenditures 15-22'!I330)</f>
        <v>474547</v>
      </c>
      <c r="H23" s="988"/>
      <c r="I23" s="162"/>
    </row>
    <row r="24" spans="1:9" s="669" customFormat="1" ht="12" customHeight="1" x14ac:dyDescent="0.2">
      <c r="A24" s="995" t="s">
        <v>587</v>
      </c>
      <c r="B24" s="996"/>
      <c r="C24" s="994">
        <v>2400</v>
      </c>
      <c r="D24" s="1825"/>
      <c r="E24" s="1827">
        <f>'Expenditures 15-22'!K57-SUM('Expenditures 15-22'!G57,'Expenditures 15-22'!I57)+'Expenditures 15-22'!D261</f>
        <v>658402</v>
      </c>
      <c r="F24" s="1825"/>
      <c r="G24" s="1828">
        <f>'Expenditures 15-22'!K57-SUM('Expenditures 15-22'!G57,'Expenditures 15-22'!I57)+'Expenditures 15-22'!D261</f>
        <v>658402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136252</v>
      </c>
      <c r="E27" s="1827">
        <f>E8</f>
        <v>0</v>
      </c>
      <c r="F27" s="1827">
        <f>'Expenditures 15-22'!K60-SUM('Expenditures 15-22'!G60,'Expenditures 15-22'!I60)+'Expenditures 15-22'!D264-E8</f>
        <v>136252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1303844</v>
      </c>
      <c r="F28" s="1829">
        <f>'Expenditures 15-22'!K61-SUM('Expenditures 15-22'!G61,'Expenditures 15-22'!I61)+'Expenditures 15-22'!K124-SUM('Expenditures 15-22'!G124,'Expenditures 15-22'!I124)+'Expenditures 15-22'!D266-E9</f>
        <v>1303844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708745</v>
      </c>
      <c r="F29" s="1825"/>
      <c r="G29" s="1828">
        <f>'Expenditures 15-22'!K62-SUM('Expenditures 15-22'!G62,'Expenditures 15-22'!I62)+'Expenditures 15-22'!K125-SUM('Expenditures 15-22'!G125,'Expenditures 15-22'!I125)+'Expenditures 15-22'!K182-SUM('Expenditures 15-22'!G182,'Expenditures 15-22'!I182)+'Expenditures 15-22'!D267</f>
        <v>708745</v>
      </c>
      <c r="H29" s="986"/>
    </row>
    <row r="30" spans="1:9" ht="12" customHeight="1" x14ac:dyDescent="0.2">
      <c r="A30" s="995" t="s">
        <v>102</v>
      </c>
      <c r="B30" s="998"/>
      <c r="C30" s="994">
        <v>2560</v>
      </c>
      <c r="D30" s="1825"/>
      <c r="E30" s="1827">
        <f>'Expenditures 15-22'!K63-SUM('Expenditures 15-22'!G63,'Expenditures 15-22'!I63)+'Expenditures 15-22'!D268-E10</f>
        <v>742088</v>
      </c>
      <c r="F30" s="1825"/>
      <c r="G30" s="1827">
        <f>'Expenditures 15-22'!K63-SUM('Expenditures 15-22'!G63,'Expenditures 15-22'!I63)+'Expenditures 15-22'!D268-E10</f>
        <v>742088</v>
      </c>
    </row>
    <row r="31" spans="1:9" ht="12" customHeight="1" x14ac:dyDescent="0.2">
      <c r="A31" s="995" t="s">
        <v>103</v>
      </c>
      <c r="B31" s="998"/>
      <c r="C31" s="994">
        <v>2570</v>
      </c>
      <c r="D31" s="1827">
        <f>'Expenditures 15-22'!K64-SUM('Expenditures 15-22'!G64,'Expenditures 15-22'!I64)+'Expenditures 15-22'!D269-E12</f>
        <v>2016</v>
      </c>
      <c r="E31" s="1827">
        <f>E12</f>
        <v>0</v>
      </c>
      <c r="F31" s="1827">
        <f>'Expenditures 15-22'!K64-SUM('Expenditures 15-22'!G64,'Expenditures 15-22'!I64)+'Expenditures 15-22'!D269-E12</f>
        <v>2016</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1273</v>
      </c>
      <c r="E36" s="1827">
        <f>E13</f>
        <v>0</v>
      </c>
      <c r="F36" s="1827">
        <f>'Expenditures 15-22'!K70-SUM('Expenditures 15-22'!G70,'Expenditures 15-22'!I70)+'Expenditures 15-22'!D275-E13</f>
        <v>1273</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27274</v>
      </c>
      <c r="F38" s="1825"/>
      <c r="G38" s="1827">
        <f>'Expenditures 15-22'!K73-SUM('Expenditures 15-22'!G73,'Expenditures 15-22'!I73)+'Expenditures 15-22'!K128-SUM('Expenditures 15-22'!G128,'Expenditures 15-22'!I128)+'Expenditures 15-22'!K183-SUM('Expenditures 15-22'!G183,'Expenditures 15-22'!I183)+'Expenditures 15-22'!D278</f>
        <v>27274</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46838</v>
      </c>
      <c r="F39" s="1825"/>
      <c r="G39" s="1827">
        <f>'Expenditures 15-22'!K75-SUM('Expenditures 15-22'!G75,'Expenditures 15-22'!I75)+'Expenditures 15-22'!K130-SUM('Expenditures 15-22'!G130,'Expenditures 15-22'!I130)+'Expenditures 15-22'!K185-SUM('Expenditures 15-22'!G185,'Expenditures 15-22'!I185)+'Expenditures 15-22'!D280</f>
        <v>46838</v>
      </c>
    </row>
    <row r="40" spans="1:7" ht="12" customHeight="1" x14ac:dyDescent="0.2">
      <c r="A40" s="991" t="s">
        <v>1927</v>
      </c>
      <c r="B40" s="992"/>
      <c r="C40" s="994"/>
      <c r="D40" s="1825"/>
      <c r="E40" s="1829">
        <f>-'Contracts Paid in CY 29'!G141</f>
        <v>-697043.69</v>
      </c>
      <c r="F40" s="1825"/>
      <c r="G40" s="1829">
        <f>-'Contracts Paid in CY 29'!G141</f>
        <v>-697043.69</v>
      </c>
    </row>
    <row r="41" spans="1:7" ht="12" customHeight="1" x14ac:dyDescent="0.2">
      <c r="A41" s="999" t="s">
        <v>158</v>
      </c>
      <c r="B41" s="1000"/>
      <c r="C41" s="1001"/>
      <c r="D41" s="1829">
        <f>SUM(D19:D39)</f>
        <v>139541</v>
      </c>
      <c r="E41" s="1829">
        <f>SUM(E19:E40)</f>
        <v>10084584.310000001</v>
      </c>
      <c r="F41" s="1829">
        <f>SUM(F19:F39)</f>
        <v>1443385</v>
      </c>
      <c r="G41" s="1829">
        <f>SUM(G19:G40)</f>
        <v>8780740.3100000005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139541</v>
      </c>
      <c r="F43" s="1830" t="s">
        <v>495</v>
      </c>
      <c r="G43" s="1831">
        <f>F41</f>
        <v>1443385</v>
      </c>
    </row>
    <row r="44" spans="1:7" ht="12" customHeight="1" x14ac:dyDescent="0.2">
      <c r="A44" s="988"/>
      <c r="B44" s="162"/>
      <c r="C44" s="1002"/>
      <c r="D44" s="1830" t="s">
        <v>494</v>
      </c>
      <c r="E44" s="1831">
        <f>E41</f>
        <v>10084584.310000001</v>
      </c>
      <c r="F44" s="1830" t="s">
        <v>494</v>
      </c>
      <c r="G44" s="1831">
        <f>G41</f>
        <v>8780740.3100000005</v>
      </c>
    </row>
    <row r="45" spans="1:7" ht="12" customHeight="1" x14ac:dyDescent="0.2">
      <c r="A45" s="988"/>
      <c r="B45" s="162"/>
      <c r="C45" s="162"/>
      <c r="D45" s="1832" t="s">
        <v>1063</v>
      </c>
      <c r="E45" s="1833">
        <f>(E43/E44)</f>
        <v>1.3837060181214351E-2</v>
      </c>
      <c r="F45" s="1832" t="s">
        <v>1063</v>
      </c>
      <c r="G45" s="1833">
        <f>(G43/G44)</f>
        <v>0.16438078670384912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8" activePane="bottomLeft" state="frozen"/>
      <selection activeCell="A47" sqref="A47"/>
      <selection pane="bottomLeft" activeCell="F34" sqref="F34"/>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1" t="s">
        <v>1446</v>
      </c>
      <c r="B1" s="2311"/>
      <c r="C1" s="2311"/>
      <c r="D1" s="2311"/>
      <c r="E1" s="2311"/>
      <c r="F1" s="2311"/>
    </row>
    <row r="2" spans="1:10" x14ac:dyDescent="0.2">
      <c r="A2" s="1911" t="s">
        <v>2043</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2" t="s">
        <v>1627</v>
      </c>
      <c r="B5" s="2313"/>
      <c r="C5" s="2314"/>
      <c r="D5" s="2314"/>
      <c r="E5" s="2314"/>
      <c r="F5" s="2314"/>
    </row>
    <row r="6" spans="1:10" ht="12" customHeight="1" x14ac:dyDescent="0.25">
      <c r="A6" s="1874"/>
      <c r="B6" s="1875"/>
      <c r="C6" s="2315" t="str">
        <f>COVER!A17</f>
        <v>Riverton Community Unit School District #14</v>
      </c>
      <c r="D6" s="2315"/>
      <c r="E6" s="2315"/>
      <c r="F6" s="1876"/>
    </row>
    <row r="7" spans="1:10" ht="11.25" customHeight="1" thickBot="1" x14ac:dyDescent="0.3">
      <c r="A7" s="1874"/>
      <c r="B7" s="1875"/>
      <c r="C7" s="2316">
        <f>COVER!A13</f>
        <v>51084014026</v>
      </c>
      <c r="D7" s="2316"/>
      <c r="E7" s="2316"/>
      <c r="F7" s="1876"/>
    </row>
    <row r="8" spans="1:10" ht="25.5" customHeight="1" thickBot="1" x14ac:dyDescent="0.25">
      <c r="A8" s="1917" t="s">
        <v>2020</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2074</v>
      </c>
      <c r="D26" s="1889" t="s">
        <v>2074</v>
      </c>
      <c r="E26" s="1892"/>
      <c r="F26" s="1891" t="s">
        <v>2095</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2074</v>
      </c>
      <c r="D31" s="1889" t="s">
        <v>2074</v>
      </c>
      <c r="E31" s="1892"/>
      <c r="F31" s="1891" t="s">
        <v>2096</v>
      </c>
      <c r="H31" s="1902">
        <f t="shared" si="0"/>
        <v>5</v>
      </c>
      <c r="I31" s="1902">
        <f t="shared" si="1"/>
        <v>5</v>
      </c>
      <c r="J31" s="1902">
        <f t="shared" si="2"/>
        <v>0</v>
      </c>
      <c r="L31" s="1893"/>
    </row>
    <row r="32" spans="1:12" ht="12" customHeight="1" x14ac:dyDescent="0.2">
      <c r="A32" s="1887" t="s">
        <v>1621</v>
      </c>
      <c r="B32" s="1888"/>
      <c r="C32" s="1889" t="s">
        <v>2074</v>
      </c>
      <c r="D32" s="1889" t="s">
        <v>2074</v>
      </c>
      <c r="E32" s="1892"/>
      <c r="F32" s="1891" t="s">
        <v>2097</v>
      </c>
      <c r="H32" s="1902">
        <f t="shared" si="0"/>
        <v>5</v>
      </c>
      <c r="I32" s="1902">
        <f t="shared" si="1"/>
        <v>5</v>
      </c>
      <c r="J32" s="1902">
        <f t="shared" si="2"/>
        <v>0</v>
      </c>
    </row>
    <row r="33" spans="1:11" ht="12" customHeight="1" x14ac:dyDescent="0.2">
      <c r="A33" s="1887" t="s">
        <v>1622</v>
      </c>
      <c r="B33" s="1888"/>
      <c r="C33" s="1889" t="s">
        <v>2074</v>
      </c>
      <c r="D33" s="1889" t="s">
        <v>2074</v>
      </c>
      <c r="E33" s="1892"/>
      <c r="F33" s="1955" t="s">
        <v>2098</v>
      </c>
      <c r="H33" s="1902">
        <f t="shared" si="0"/>
        <v>5</v>
      </c>
      <c r="I33" s="1902">
        <f t="shared" si="1"/>
        <v>5</v>
      </c>
      <c r="J33" s="1902">
        <f t="shared" si="2"/>
        <v>0</v>
      </c>
    </row>
    <row r="34" spans="1:11" ht="12" customHeight="1" x14ac:dyDescent="0.25">
      <c r="A34" s="1894"/>
      <c r="B34" s="1894"/>
      <c r="C34" s="1894"/>
      <c r="D34" s="1894"/>
      <c r="E34" s="1894"/>
      <c r="F34" s="1894"/>
      <c r="H34" s="1902">
        <f>SUM(H11:H32)</f>
        <v>15</v>
      </c>
      <c r="I34" s="1902">
        <f>SUM(I11:I32)</f>
        <v>15</v>
      </c>
      <c r="J34" s="1902">
        <f>SUM(J11:J32)</f>
        <v>0</v>
      </c>
      <c r="K34" s="1902">
        <f>SUM(H34:J34)</f>
        <v>30</v>
      </c>
    </row>
    <row r="35" spans="1:11" ht="12" customHeight="1" x14ac:dyDescent="0.2">
      <c r="A35" s="1895" t="s">
        <v>1459</v>
      </c>
      <c r="B35" s="1896"/>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7"/>
      <c r="B39" s="1897"/>
      <c r="C39" s="1897"/>
      <c r="D39" s="1897"/>
      <c r="E39" s="1897"/>
      <c r="F39" s="1897"/>
    </row>
    <row r="40" spans="1:11" s="1894" customFormat="1" ht="12" customHeight="1" x14ac:dyDescent="0.25">
      <c r="A40" s="1898" t="s">
        <v>1458</v>
      </c>
      <c r="B40" s="1899"/>
      <c r="C40" s="2325"/>
      <c r="D40" s="2325"/>
      <c r="E40" s="2325"/>
      <c r="F40" s="2326"/>
      <c r="H40" s="1903"/>
      <c r="I40" s="1903"/>
      <c r="J40" s="1903"/>
      <c r="K40" s="1903"/>
    </row>
    <row r="41" spans="1:11" s="1894" customFormat="1" ht="12" customHeight="1" x14ac:dyDescent="0.25">
      <c r="A41" s="2327"/>
      <c r="B41" s="2328"/>
      <c r="C41" s="2328"/>
      <c r="D41" s="2328"/>
      <c r="E41" s="2328"/>
      <c r="F41" s="2329"/>
      <c r="H41" s="1903"/>
      <c r="I41" s="1903"/>
      <c r="J41" s="1903"/>
      <c r="K41" s="1903"/>
    </row>
    <row r="42" spans="1:11" s="1894" customFormat="1" ht="12" customHeight="1" x14ac:dyDescent="0.25">
      <c r="A42" s="2327"/>
      <c r="B42" s="2328"/>
      <c r="C42" s="2328"/>
      <c r="D42" s="2328"/>
      <c r="E42" s="2328"/>
      <c r="F42" s="2329"/>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Riverton Community Unit School District #14</v>
      </c>
      <c r="J6" s="2336"/>
      <c r="Q6" s="1686"/>
    </row>
    <row r="7" spans="1:17" x14ac:dyDescent="0.2">
      <c r="A7" s="2337" t="s">
        <v>924</v>
      </c>
      <c r="B7" s="2338"/>
      <c r="C7" s="2338"/>
      <c r="D7" s="2338"/>
      <c r="E7" s="2339"/>
      <c r="F7" s="1018"/>
      <c r="G7" s="1010"/>
      <c r="H7" s="1017" t="s">
        <v>390</v>
      </c>
      <c r="I7" s="2340">
        <f>COVER!A13</f>
        <v>51084014026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243892</v>
      </c>
      <c r="F12" s="1040"/>
      <c r="G12" s="1834">
        <f t="shared" ref="G12:G18" si="0">SUM(E12:F12)</f>
        <v>243892</v>
      </c>
      <c r="H12" s="1041">
        <v>231697</v>
      </c>
      <c r="I12" s="1040"/>
      <c r="J12" s="1834">
        <f t="shared" ref="J12:J18" si="1">SUM(H12:I12)</f>
        <v>231697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1649</v>
      </c>
      <c r="F16" s="1040"/>
      <c r="G16" s="1834">
        <f t="shared" si="0"/>
        <v>1649</v>
      </c>
      <c r="H16" s="1041">
        <v>2000</v>
      </c>
      <c r="I16" s="1040"/>
      <c r="J16" s="1834">
        <f t="shared" si="1"/>
        <v>2000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245541</v>
      </c>
      <c r="F19" s="1836">
        <f t="shared" si="2"/>
        <v>0</v>
      </c>
      <c r="G19" s="1836">
        <f t="shared" si="2"/>
        <v>245541</v>
      </c>
      <c r="H19" s="1836">
        <f t="shared" si="2"/>
        <v>233697</v>
      </c>
      <c r="I19" s="1836">
        <f t="shared" si="2"/>
        <v>0</v>
      </c>
      <c r="J19" s="1836">
        <f t="shared" si="2"/>
        <v>233697</v>
      </c>
    </row>
    <row r="20" spans="1:10" ht="13.5" thickTop="1" x14ac:dyDescent="0.2">
      <c r="A20" s="1036">
        <v>9</v>
      </c>
      <c r="B20" s="2347" t="s">
        <v>1703</v>
      </c>
      <c r="C20" s="2347"/>
      <c r="D20" s="2348"/>
      <c r="E20" s="1047"/>
      <c r="F20" s="1047"/>
      <c r="G20" s="1047"/>
      <c r="H20" s="1047"/>
      <c r="I20" s="1047"/>
      <c r="J20" s="1837">
        <f>IF(AND(G19&gt;0,J19&gt;0),(((J19-G19)/G19)),"Enter Budget Data")</f>
        <v>-4.8236343421261624E-2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1940</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c r="B6" s="329" t="s">
        <v>2100</v>
      </c>
    </row>
    <row r="7" spans="1:2" x14ac:dyDescent="0.2">
      <c r="A7" s="1069">
        <v>3</v>
      </c>
      <c r="B7" s="329" t="s">
        <v>2101</v>
      </c>
    </row>
    <row r="8" spans="1:2" x14ac:dyDescent="0.2">
      <c r="A8" s="1069">
        <v>4</v>
      </c>
      <c r="B8" s="329" t="s">
        <v>2102</v>
      </c>
    </row>
    <row r="9" spans="1:2" x14ac:dyDescent="0.2">
      <c r="A9" s="1069">
        <v>5</v>
      </c>
      <c r="B9" s="329" t="s">
        <v>2103</v>
      </c>
    </row>
    <row r="10" spans="1:2" x14ac:dyDescent="0.2">
      <c r="A10" s="1069">
        <v>6</v>
      </c>
      <c r="B10" s="329" t="s">
        <v>2108</v>
      </c>
    </row>
    <row r="11" spans="1:2" x14ac:dyDescent="0.2">
      <c r="A11" s="1069">
        <v>7</v>
      </c>
      <c r="B11" s="329" t="s">
        <v>2109</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Riverton Community Unit School District #14</v>
      </c>
    </row>
    <row r="65" spans="2:2" x14ac:dyDescent="0.2">
      <c r="B65" s="1071">
        <f>COVER!A13</f>
        <v>51084014026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9" t="s">
        <v>1709</v>
      </c>
    </row>
    <row r="23" spans="1:5" x14ac:dyDescent="0.2">
      <c r="A23" s="168"/>
      <c r="B23" s="162" t="s">
        <v>1965</v>
      </c>
      <c r="D23" s="167" t="s">
        <v>658</v>
      </c>
      <c r="E23" s="1859"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3" sqref="B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Exch.Document.11" dvAspect="DVASPECT_ICON" shapeId="50179" r:id="rId6">
          <objectPr defaultSize="0" r:id="rId7">
            <anchor moveWithCells="1">
              <from>
                <xdr:col>1</xdr:col>
                <xdr:colOff>0</xdr:colOff>
                <xdr:row>4</xdr:row>
                <xdr:rowOff>0</xdr:rowOff>
              </from>
              <to>
                <xdr:col>1</xdr:col>
                <xdr:colOff>914400</xdr:colOff>
                <xdr:row>8</xdr:row>
                <xdr:rowOff>38100</xdr:rowOff>
              </to>
            </anchor>
          </objectPr>
        </oleObject>
      </mc:Choice>
      <mc:Fallback>
        <oleObject progId="AcroExch.Document.11" dvAspect="DVASPECT_ICON" shapeId="50179" r:id="rId6"/>
      </mc:Fallback>
    </mc:AlternateContent>
    <mc:AlternateContent xmlns:mc="http://schemas.openxmlformats.org/markup-compatibility/2006">
      <mc:Choice Requires="x14">
        <oleObject progId="AcroExch.Document.11" dvAspect="DVASPECT_ICON" shapeId="50180" r:id="rId8">
          <objectPr defaultSize="0" r:id="rId7">
            <anchor moveWithCells="1">
              <from>
                <xdr:col>1</xdr:col>
                <xdr:colOff>0</xdr:colOff>
                <xdr:row>8</xdr:row>
                <xdr:rowOff>0</xdr:rowOff>
              </from>
              <to>
                <xdr:col>1</xdr:col>
                <xdr:colOff>914400</xdr:colOff>
                <xdr:row>12</xdr:row>
                <xdr:rowOff>38100</xdr:rowOff>
              </to>
            </anchor>
          </objectPr>
        </oleObject>
      </mc:Choice>
      <mc:Fallback>
        <oleObject progId="AcroExch.Document.11" dvAspect="DVASPECT_ICON" shapeId="50180" r:id="rId8"/>
      </mc:Fallback>
    </mc:AlternateContent>
    <mc:AlternateContent xmlns:mc="http://schemas.openxmlformats.org/markup-compatibility/2006">
      <mc:Choice Requires="x14">
        <oleObject progId="AcroExch.Document.11" dvAspect="DVASPECT_ICON" shapeId="50181" r:id="rId9">
          <objectPr defaultSize="0" r:id="rId7">
            <anchor moveWithCells="1">
              <from>
                <xdr:col>1</xdr:col>
                <xdr:colOff>0</xdr:colOff>
                <xdr:row>12</xdr:row>
                <xdr:rowOff>0</xdr:rowOff>
              </from>
              <to>
                <xdr:col>1</xdr:col>
                <xdr:colOff>914400</xdr:colOff>
                <xdr:row>15</xdr:row>
                <xdr:rowOff>200025</xdr:rowOff>
              </to>
            </anchor>
          </objectPr>
        </oleObject>
      </mc:Choice>
      <mc:Fallback>
        <oleObject progId="AcroExch.Document.11" dvAspect="DVASPECT_ICON" shapeId="50181"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2051</v>
      </c>
      <c r="B4" s="2375"/>
      <c r="C4" s="2375"/>
      <c r="D4" s="2375"/>
      <c r="E4" s="2375"/>
      <c r="F4" s="2376"/>
      <c r="G4" s="1075"/>
      <c r="H4" s="1075"/>
    </row>
    <row r="5" spans="1:8" ht="14.25" customHeight="1" x14ac:dyDescent="0.2">
      <c r="A5" s="2377" t="s">
        <v>2052</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11329046</v>
      </c>
      <c r="C8" s="1838">
        <f>'Acct Summary 7-8'!D8</f>
        <v>1309519</v>
      </c>
      <c r="D8" s="1838">
        <f>'Acct Summary 7-8'!F8</f>
        <v>891590</v>
      </c>
      <c r="E8" s="1838">
        <f>'Acct Summary 7-8'!I8</f>
        <v>0</v>
      </c>
      <c r="F8" s="1838">
        <f>SUM(B8:E8)</f>
        <v>13530155</v>
      </c>
    </row>
    <row r="9" spans="1:8" s="1080" customFormat="1" ht="14.25" customHeight="1" thickBot="1" x14ac:dyDescent="0.25">
      <c r="A9" s="1079" t="s">
        <v>1436</v>
      </c>
      <c r="B9" s="1839">
        <f>'Acct Summary 7-8'!C17</f>
        <v>10089386</v>
      </c>
      <c r="C9" s="1839">
        <f>'Acct Summary 7-8'!D17</f>
        <v>1300296</v>
      </c>
      <c r="D9" s="1839">
        <f>'Acct Summary 7-8'!F17</f>
        <v>649466</v>
      </c>
      <c r="E9" s="1838"/>
      <c r="F9" s="1838">
        <f>SUM(B9:E9)</f>
        <v>12039148</v>
      </c>
    </row>
    <row r="10" spans="1:8" s="1080" customFormat="1" ht="14.25" thickTop="1" thickBot="1" x14ac:dyDescent="0.25">
      <c r="A10" s="1081" t="s">
        <v>1437</v>
      </c>
      <c r="B10" s="1840">
        <f>(B8-B9)</f>
        <v>1239660</v>
      </c>
      <c r="C10" s="1840">
        <f>(C8-C9)</f>
        <v>9223</v>
      </c>
      <c r="D10" s="1840">
        <f>(D8-D9)</f>
        <v>242124</v>
      </c>
      <c r="E10" s="1839">
        <f>(E8-E9)</f>
        <v>0</v>
      </c>
      <c r="F10" s="1841">
        <f>SUM(F8-F9)</f>
        <v>1491007</v>
      </c>
    </row>
    <row r="11" spans="1:8" s="1080" customFormat="1" ht="14.25" thickTop="1" thickBot="1" x14ac:dyDescent="0.25">
      <c r="A11" s="1082" t="s">
        <v>1785</v>
      </c>
      <c r="B11" s="1842">
        <f>'Acct Summary 7-8'!C81</f>
        <v>7624221</v>
      </c>
      <c r="C11" s="1842">
        <f>'Acct Summary 7-8'!D81</f>
        <v>947140</v>
      </c>
      <c r="D11" s="1842">
        <f>'Acct Summary 7-8'!F81</f>
        <v>712521</v>
      </c>
      <c r="E11" s="1842">
        <f>'Acct Summary 7-8'!I81</f>
        <v>2934033</v>
      </c>
      <c r="F11" s="1843">
        <f>SUM(B11:E11)</f>
        <v>12217915</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41" colorId="8" zoomScaleNormal="110" zoomScaleSheetLayoutView="100" workbookViewId="0">
      <selection activeCell="C29" sqref="C2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51084014026</v>
      </c>
    </row>
    <row r="3" spans="1:2" x14ac:dyDescent="0.2">
      <c r="A3" t="s">
        <v>1013</v>
      </c>
      <c r="B3" s="138" t="str">
        <f>COVER!A15</f>
        <v>Sangamon</v>
      </c>
    </row>
    <row r="4" spans="1:2" x14ac:dyDescent="0.2">
      <c r="A4" t="s">
        <v>1064</v>
      </c>
      <c r="B4" s="138" t="str">
        <f>COVER!A17</f>
        <v>Riverton Community Unit School District #14</v>
      </c>
    </row>
    <row r="5" spans="1:2" x14ac:dyDescent="0.2">
      <c r="A5" t="s">
        <v>728</v>
      </c>
      <c r="B5" s="138" t="str">
        <f>COVER!A38</f>
        <v>Brad Polanin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066-005100</v>
      </c>
    </row>
    <row r="16" spans="1:2" x14ac:dyDescent="0.2">
      <c r="A16" t="s">
        <v>442</v>
      </c>
      <c r="B16" s="138" t="str">
        <f>COVER!T13</f>
        <v>Mack &amp; Associates, P.C.</v>
      </c>
    </row>
    <row r="17" spans="1:2" x14ac:dyDescent="0.2">
      <c r="A17" t="s">
        <v>939</v>
      </c>
      <c r="B17" s="138" t="str">
        <f>COVER!T15</f>
        <v>Tawnya Mack, CPA</v>
      </c>
    </row>
    <row r="18" spans="1:2" x14ac:dyDescent="0.2">
      <c r="A18" t="s">
        <v>1212</v>
      </c>
      <c r="B18" s="138" t="str">
        <f>COVER!T17</f>
        <v>116 E. Washington St., Suite One</v>
      </c>
    </row>
    <row r="19" spans="1:2" x14ac:dyDescent="0.2">
      <c r="A19" t="s">
        <v>941</v>
      </c>
      <c r="B19" s="138" t="str">
        <f>COVER!T25</f>
        <v>tmack@mackcpas.com</v>
      </c>
    </row>
    <row r="20" spans="1:2" x14ac:dyDescent="0.2">
      <c r="A20" t="s">
        <v>942</v>
      </c>
      <c r="B20" s="138" t="str">
        <f>COVER!T19</f>
        <v>Morris</v>
      </c>
    </row>
    <row r="21" spans="1:2" x14ac:dyDescent="0.2">
      <c r="A21" t="s">
        <v>500</v>
      </c>
      <c r="B21" s="138" t="str">
        <f>COVER!X19</f>
        <v>IL</v>
      </c>
    </row>
    <row r="22" spans="1:2" x14ac:dyDescent="0.2">
      <c r="A22" t="s">
        <v>943</v>
      </c>
      <c r="B22" s="138">
        <f>COVER!Z19</f>
        <v>60450</v>
      </c>
    </row>
    <row r="23" spans="1:2" x14ac:dyDescent="0.2">
      <c r="A23" t="s">
        <v>1214</v>
      </c>
      <c r="B23" s="138" t="str">
        <f>COVER!T21</f>
        <v>815-942-3306</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4426145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5048900</v>
      </c>
      <c r="D76" s="2" t="str">
        <f t="shared" si="0"/>
        <v>Error?</v>
      </c>
    </row>
    <row r="77" spans="1:4" x14ac:dyDescent="0.2">
      <c r="A77" s="5">
        <v>16</v>
      </c>
      <c r="B77" s="138">
        <f>'Assets-Liab 5-6'!C13</f>
        <v>9493355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1869134</v>
      </c>
      <c r="C91" s="2" t="s">
        <v>594</v>
      </c>
      <c r="D91" s="2" t="str">
        <f t="shared" si="0"/>
        <v>Error?</v>
      </c>
    </row>
    <row r="92" spans="1:4" x14ac:dyDescent="0.2">
      <c r="A92" s="5">
        <v>31</v>
      </c>
      <c r="B92" s="138">
        <f>'Assets-Liab 5-6'!C39</f>
        <v>7216015</v>
      </c>
      <c r="D92" s="2" t="str">
        <f t="shared" si="0"/>
        <v>Error?</v>
      </c>
    </row>
    <row r="93" spans="1:4" x14ac:dyDescent="0.2">
      <c r="A93" s="5">
        <v>32</v>
      </c>
      <c r="B93" s="138">
        <f>'Assets-Liab 5-6'!C41</f>
        <v>9493355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947140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947140</v>
      </c>
      <c r="D123" s="2" t="str">
        <f t="shared" si="0"/>
        <v>Error?</v>
      </c>
    </row>
    <row r="124" spans="1:4" x14ac:dyDescent="0.2">
      <c r="A124" s="5">
        <v>63</v>
      </c>
      <c r="B124" s="138">
        <f>'Assets-Liab 5-6'!D41</f>
        <v>947140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766550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766550</v>
      </c>
      <c r="D140" s="2" t="str">
        <f t="shared" si="1"/>
        <v>Error?</v>
      </c>
    </row>
    <row r="141" spans="1:4" x14ac:dyDescent="0.2">
      <c r="A141" s="5">
        <v>80</v>
      </c>
      <c r="B141" s="138">
        <f>'Assets-Liab 5-6'!E41</f>
        <v>766550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712521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712521</v>
      </c>
      <c r="D170" s="2" t="str">
        <f t="shared" si="1"/>
        <v>Error?</v>
      </c>
    </row>
    <row r="171" spans="1:4" x14ac:dyDescent="0.2">
      <c r="A171" s="5">
        <v>110</v>
      </c>
      <c r="B171" s="138">
        <f>'Assets-Liab 5-6'!F41</f>
        <v>712521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259050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259050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8838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8838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8838</v>
      </c>
      <c r="D212" s="2" t="str">
        <f t="shared" si="2"/>
        <v>Error?</v>
      </c>
    </row>
    <row r="213" spans="1:4" x14ac:dyDescent="0.2">
      <c r="A213" s="12">
        <v>152</v>
      </c>
      <c r="B213" s="138">
        <f>'Assets-Liab 5-6'!H41</f>
        <v>8838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1553417</v>
      </c>
      <c r="D273" s="2" t="str">
        <f t="shared" si="3"/>
        <v>Error?</v>
      </c>
    </row>
    <row r="274" spans="1:4" x14ac:dyDescent="0.2">
      <c r="A274" s="5">
        <v>213</v>
      </c>
      <c r="B274" s="138">
        <f>'Assets-Liab 5-6'!M17</f>
        <v>16074846</v>
      </c>
      <c r="D274" s="2" t="str">
        <f t="shared" si="3"/>
        <v>Error?</v>
      </c>
    </row>
    <row r="275" spans="1:4" x14ac:dyDescent="0.2">
      <c r="A275" s="5">
        <v>214</v>
      </c>
      <c r="B275" s="138">
        <f>'Assets-Liab 5-6'!M18</f>
        <v>190177</v>
      </c>
      <c r="D275" s="2" t="str">
        <f t="shared" si="3"/>
        <v>Error?</v>
      </c>
    </row>
    <row r="276" spans="1:4" x14ac:dyDescent="0.2">
      <c r="A276" s="5">
        <v>215</v>
      </c>
      <c r="B276" s="138">
        <f>'Assets-Liab 5-6'!M19</f>
        <v>427434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18245874</v>
      </c>
      <c r="C279" s="2" t="s">
        <v>594</v>
      </c>
      <c r="D279" s="2" t="str">
        <f t="shared" si="3"/>
        <v>Error?</v>
      </c>
    </row>
    <row r="280" spans="1:4" x14ac:dyDescent="0.2">
      <c r="A280" s="5">
        <v>219</v>
      </c>
      <c r="B280" s="138">
        <f>'Assets-Liab 5-6'!M40</f>
        <v>18245874</v>
      </c>
      <c r="D280" s="2" t="str">
        <f t="shared" si="3"/>
        <v>Error?</v>
      </c>
    </row>
    <row r="281" spans="1:4" x14ac:dyDescent="0.2">
      <c r="A281" s="5">
        <v>220</v>
      </c>
      <c r="B281" s="138">
        <f>'Assets-Liab 5-6'!M41</f>
        <v>18245874</v>
      </c>
      <c r="C281" s="2" t="s">
        <v>594</v>
      </c>
      <c r="D281" s="2" t="str">
        <f t="shared" si="3"/>
        <v>Error?</v>
      </c>
    </row>
    <row r="282" spans="1:4" x14ac:dyDescent="0.2">
      <c r="A282" s="5">
        <v>221</v>
      </c>
      <c r="B282" s="138">
        <f>'Assets-Liab 5-6'!N21</f>
        <v>766550</v>
      </c>
      <c r="D282" s="2" t="str">
        <f t="shared" si="3"/>
        <v>Error?</v>
      </c>
    </row>
    <row r="283" spans="1:4" x14ac:dyDescent="0.2">
      <c r="A283" s="5">
        <v>222</v>
      </c>
      <c r="B283" s="138">
        <f>'Assets-Liab 5-6'!N22</f>
        <v>5403380</v>
      </c>
      <c r="D283" s="2" t="str">
        <f t="shared" si="3"/>
        <v>Error?</v>
      </c>
    </row>
    <row r="284" spans="1:4" x14ac:dyDescent="0.2">
      <c r="A284" s="5">
        <v>223</v>
      </c>
      <c r="B284" s="138">
        <f>'Assets-Liab 5-6'!N23</f>
        <v>6169930</v>
      </c>
      <c r="C284" s="2" t="s">
        <v>594</v>
      </c>
      <c r="D284" s="2" t="str">
        <f t="shared" si="3"/>
        <v>Error?</v>
      </c>
    </row>
    <row r="285" spans="1:4" x14ac:dyDescent="0.2">
      <c r="A285" s="5">
        <v>224</v>
      </c>
      <c r="B285" s="138">
        <f>'Assets-Liab 5-6'!N36</f>
        <v>6169930</v>
      </c>
      <c r="D285" s="2" t="str">
        <f t="shared" si="3"/>
        <v>Error?</v>
      </c>
    </row>
    <row r="286" spans="1:4" x14ac:dyDescent="0.2">
      <c r="A286" s="10">
        <v>225</v>
      </c>
      <c r="D286" s="2" t="str">
        <f t="shared" si="3"/>
        <v>OK</v>
      </c>
    </row>
    <row r="287" spans="1:4" x14ac:dyDescent="0.2">
      <c r="A287" s="5">
        <v>226</v>
      </c>
      <c r="B287" s="138">
        <f>'Assets-Liab 5-6'!N37</f>
        <v>6169930</v>
      </c>
      <c r="C287" s="2" t="s">
        <v>594</v>
      </c>
      <c r="D287" s="2" t="str">
        <f t="shared" si="3"/>
        <v>Error?</v>
      </c>
    </row>
    <row r="288" spans="1:4" x14ac:dyDescent="0.2">
      <c r="A288" s="5">
        <v>227</v>
      </c>
      <c r="B288" s="138">
        <f>'Assets-Liab 5-6'!N41</f>
        <v>6169930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2227900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3508083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26859</v>
      </c>
      <c r="D717" s="2" t="str">
        <f t="shared" si="10"/>
        <v>Error?</v>
      </c>
    </row>
    <row r="718" spans="1:4" x14ac:dyDescent="0.2">
      <c r="A718" s="5">
        <v>657</v>
      </c>
      <c r="B718" s="138">
        <f>'Expenditures 15-22'!C14</f>
        <v>186197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5212176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266200</v>
      </c>
      <c r="D722" s="2" t="str">
        <f t="shared" si="10"/>
        <v>Error?</v>
      </c>
    </row>
    <row r="723" spans="1:4" x14ac:dyDescent="0.2">
      <c r="A723" s="5">
        <v>662</v>
      </c>
      <c r="B723" s="138">
        <f>'Expenditures 15-22'!C38</f>
        <v>76878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343078</v>
      </c>
      <c r="C727" s="2" t="s">
        <v>594</v>
      </c>
      <c r="D727" s="2" t="str">
        <f t="shared" si="10"/>
        <v>Error?</v>
      </c>
    </row>
    <row r="728" spans="1:4" x14ac:dyDescent="0.2">
      <c r="A728" s="5">
        <v>667</v>
      </c>
      <c r="B728" s="138">
        <f>'Expenditures 15-22'!C44</f>
        <v>4875</v>
      </c>
      <c r="D728" s="2" t="str">
        <f t="shared" si="10"/>
        <v>Error?</v>
      </c>
    </row>
    <row r="729" spans="1:4" x14ac:dyDescent="0.2">
      <c r="A729" s="5">
        <v>668</v>
      </c>
      <c r="B729" s="138">
        <f>'Expenditures 15-22'!C45</f>
        <v>63362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68237</v>
      </c>
      <c r="C731" s="2" t="s">
        <v>594</v>
      </c>
      <c r="D731" s="2" t="str">
        <f t="shared" si="10"/>
        <v>Error?</v>
      </c>
    </row>
    <row r="732" spans="1:4" x14ac:dyDescent="0.2">
      <c r="A732" s="5">
        <v>671</v>
      </c>
      <c r="B732" s="138">
        <f>'Expenditures 15-22'!C49</f>
        <v>7702</v>
      </c>
      <c r="D732" s="2" t="str">
        <f t="shared" si="10"/>
        <v>Error?</v>
      </c>
    </row>
    <row r="733" spans="1:4" x14ac:dyDescent="0.2">
      <c r="A733" s="5">
        <v>672</v>
      </c>
      <c r="B733" s="138">
        <f>'Expenditures 15-22'!C50</f>
        <v>196114</v>
      </c>
      <c r="D733" s="2" t="str">
        <f t="shared" si="10"/>
        <v>Error?</v>
      </c>
    </row>
    <row r="734" spans="1:4" x14ac:dyDescent="0.2">
      <c r="A734" s="5">
        <v>673</v>
      </c>
      <c r="B734" s="138">
        <f>'Expenditures 15-22'!C53</f>
        <v>203816</v>
      </c>
      <c r="C734" s="2" t="s">
        <v>594</v>
      </c>
      <c r="D734" s="2" t="str">
        <f t="shared" si="10"/>
        <v>Error?</v>
      </c>
    </row>
    <row r="735" spans="1:4" x14ac:dyDescent="0.2">
      <c r="A735" s="5">
        <v>674</v>
      </c>
      <c r="B735" s="138">
        <f>'Expenditures 15-22'!C55</f>
        <v>574244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574244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109333</v>
      </c>
      <c r="D739" s="2" t="str">
        <f t="shared" si="10"/>
        <v>Error?</v>
      </c>
    </row>
    <row r="740" spans="1:4" x14ac:dyDescent="0.2">
      <c r="A740" s="5">
        <v>679</v>
      </c>
      <c r="B740" s="138">
        <f>'Expenditures 15-22'!C61</f>
        <v>22472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60257</v>
      </c>
      <c r="D742" s="2" t="str">
        <f t="shared" si="10"/>
        <v>Error?</v>
      </c>
    </row>
    <row r="743" spans="1:4" x14ac:dyDescent="0.2">
      <c r="A743" s="5">
        <v>682</v>
      </c>
      <c r="B743" s="138">
        <f>'Expenditures 15-22'!C64</f>
        <v>1649</v>
      </c>
      <c r="D743" s="2" t="str">
        <f t="shared" si="10"/>
        <v>Error?</v>
      </c>
    </row>
    <row r="744" spans="1:4" x14ac:dyDescent="0.2">
      <c r="A744" s="10">
        <v>683</v>
      </c>
      <c r="D744" s="2" t="str">
        <f t="shared" si="10"/>
        <v>OK</v>
      </c>
    </row>
    <row r="745" spans="1:4" x14ac:dyDescent="0.2">
      <c r="A745" s="5">
        <v>684</v>
      </c>
      <c r="B745" s="138">
        <f>'Expenditures 15-22'!C65</f>
        <v>193711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24857</v>
      </c>
      <c r="D754" s="2" t="str">
        <f t="shared" si="10"/>
        <v>Error?</v>
      </c>
    </row>
    <row r="755" spans="1:4" x14ac:dyDescent="0.2">
      <c r="A755" s="5">
        <v>694</v>
      </c>
      <c r="B755" s="138">
        <f>'Expenditures 15-22'!C74</f>
        <v>1407943</v>
      </c>
      <c r="C755" s="2" t="s">
        <v>594</v>
      </c>
      <c r="D755" s="2" t="str">
        <f t="shared" si="10"/>
        <v>Error?</v>
      </c>
    </row>
    <row r="756" spans="1:4" x14ac:dyDescent="0.2">
      <c r="A756" s="5">
        <v>695</v>
      </c>
      <c r="B756" s="138">
        <f>'Expenditures 15-22'!C75</f>
        <v>32647</v>
      </c>
      <c r="D756" s="2" t="str">
        <f t="shared" si="10"/>
        <v>Error?</v>
      </c>
    </row>
    <row r="757" spans="1:4" x14ac:dyDescent="0.2">
      <c r="A757" s="5">
        <v>696</v>
      </c>
      <c r="B757" s="138">
        <f>'Expenditures 15-22'!C114</f>
        <v>6652766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275392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711</v>
      </c>
      <c r="D775" s="2" t="str">
        <f t="shared" si="11"/>
        <v>Error?</v>
      </c>
    </row>
    <row r="776" spans="1:4" x14ac:dyDescent="0.2">
      <c r="A776" s="5">
        <v>715</v>
      </c>
      <c r="B776" s="138">
        <f>'Expenditures 15-22'!D14</f>
        <v>1263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397866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16619</v>
      </c>
      <c r="D780" s="2" t="str">
        <f t="shared" si="11"/>
        <v>Error?</v>
      </c>
    </row>
    <row r="781" spans="1:4" x14ac:dyDescent="0.2">
      <c r="A781" s="5">
        <v>720</v>
      </c>
      <c r="B781" s="138">
        <f>'Expenditures 15-22'!D38</f>
        <v>7060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23679</v>
      </c>
      <c r="C785" s="2" t="s">
        <v>594</v>
      </c>
      <c r="D785" s="2" t="str">
        <f t="shared" si="11"/>
        <v>Error?</v>
      </c>
    </row>
    <row r="786" spans="1:4" x14ac:dyDescent="0.2">
      <c r="A786" s="5">
        <v>725</v>
      </c>
      <c r="B786" s="138">
        <f>'Expenditures 15-22'!D44</f>
        <v>1133</v>
      </c>
      <c r="D786" s="2" t="str">
        <f t="shared" si="11"/>
        <v>Error?</v>
      </c>
    </row>
    <row r="787" spans="1:4" x14ac:dyDescent="0.2">
      <c r="A787" s="5">
        <v>726</v>
      </c>
      <c r="B787" s="138">
        <f>'Expenditures 15-22'!D45</f>
        <v>5167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6300</v>
      </c>
      <c r="C789" s="2" t="s">
        <v>594</v>
      </c>
      <c r="D789" s="2" t="str">
        <f t="shared" si="11"/>
        <v>Error?</v>
      </c>
    </row>
    <row r="790" spans="1:4" x14ac:dyDescent="0.2">
      <c r="A790" s="5">
        <v>729</v>
      </c>
      <c r="B790" s="138">
        <f>'Expenditures 15-22'!D49</f>
        <v>82685</v>
      </c>
      <c r="D790" s="2" t="str">
        <f t="shared" si="11"/>
        <v>Error?</v>
      </c>
    </row>
    <row r="791" spans="1:4" x14ac:dyDescent="0.2">
      <c r="A791" s="5">
        <v>730</v>
      </c>
      <c r="B791" s="138">
        <f>'Expenditures 15-22'!D50</f>
        <v>27107</v>
      </c>
      <c r="D791" s="2" t="str">
        <f t="shared" si="11"/>
        <v>Error?</v>
      </c>
    </row>
    <row r="792" spans="1:4" x14ac:dyDescent="0.2">
      <c r="A792" s="5">
        <v>731</v>
      </c>
      <c r="B792" s="138">
        <f>'Expenditures 15-22'!D53</f>
        <v>109792</v>
      </c>
      <c r="C792" s="2" t="s">
        <v>594</v>
      </c>
      <c r="D792" s="2" t="str">
        <f t="shared" si="11"/>
        <v>Error?</v>
      </c>
    </row>
    <row r="793" spans="1:4" x14ac:dyDescent="0.2">
      <c r="A793" s="5">
        <v>732</v>
      </c>
      <c r="B793" s="138">
        <f>'Expenditures 15-22'!D55</f>
        <v>43544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43544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17050</v>
      </c>
      <c r="D797" s="2" t="str">
        <f t="shared" si="11"/>
        <v>Error?</v>
      </c>
    </row>
    <row r="798" spans="1:4" x14ac:dyDescent="0.2">
      <c r="A798" s="5">
        <v>737</v>
      </c>
      <c r="B798" s="138">
        <f>'Expenditures 15-22'!D61</f>
        <v>901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7078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25029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208344</v>
      </c>
      <c r="C813" s="2" t="s">
        <v>594</v>
      </c>
      <c r="D813" s="2" t="str">
        <f t="shared" si="11"/>
        <v>Error?</v>
      </c>
    </row>
    <row r="814" spans="1:4" x14ac:dyDescent="0.2">
      <c r="A814" s="5">
        <v>753</v>
      </c>
      <c r="B814" s="138">
        <f>'Expenditures 15-22'!D75</f>
        <v>3180</v>
      </c>
      <c r="D814" s="2" t="str">
        <f t="shared" si="11"/>
        <v>Error?</v>
      </c>
    </row>
    <row r="815" spans="1:4" x14ac:dyDescent="0.2">
      <c r="A815" s="5">
        <v>754</v>
      </c>
      <c r="B815" s="138">
        <f>'Expenditures 15-22'!D114</f>
        <v>609390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218498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25295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248906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314</v>
      </c>
      <c r="D838" s="2" t="str">
        <f t="shared" si="12"/>
        <v>Error?</v>
      </c>
    </row>
    <row r="839" spans="1:4" x14ac:dyDescent="0.2">
      <c r="A839" s="5">
        <v>778</v>
      </c>
      <c r="B839" s="138">
        <f>'Expenditures 15-22'!E38</f>
        <v>7122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7436</v>
      </c>
      <c r="C843" s="2" t="s">
        <v>594</v>
      </c>
      <c r="D843" s="2" t="str">
        <f t="shared" si="12"/>
        <v>Error?</v>
      </c>
    </row>
    <row r="844" spans="1:4" x14ac:dyDescent="0.2">
      <c r="A844" s="5">
        <v>783</v>
      </c>
      <c r="B844" s="138">
        <f>'Expenditures 15-22'!E44</f>
        <v>11271</v>
      </c>
      <c r="D844" s="2" t="str">
        <f t="shared" si="12"/>
        <v>Error?</v>
      </c>
    </row>
    <row r="845" spans="1:4" x14ac:dyDescent="0.2">
      <c r="A845" s="5">
        <v>784</v>
      </c>
      <c r="B845" s="138">
        <f>'Expenditures 15-22'!E45</f>
        <v>150</v>
      </c>
      <c r="D845" s="2" t="str">
        <f t="shared" si="12"/>
        <v>Error?</v>
      </c>
    </row>
    <row r="846" spans="1:4" x14ac:dyDescent="0.2">
      <c r="A846" s="5">
        <v>785</v>
      </c>
      <c r="B846" s="138">
        <f>'Expenditures 15-22'!E46</f>
        <v>3910</v>
      </c>
      <c r="D846" s="2" t="str">
        <f t="shared" si="12"/>
        <v>Error?</v>
      </c>
    </row>
    <row r="847" spans="1:4" x14ac:dyDescent="0.2">
      <c r="A847" s="5">
        <v>786</v>
      </c>
      <c r="B847" s="138">
        <f>'Expenditures 15-22'!E47</f>
        <v>15331</v>
      </c>
      <c r="C847" s="2" t="s">
        <v>594</v>
      </c>
      <c r="D847" s="2" t="str">
        <f t="shared" si="12"/>
        <v>Error?</v>
      </c>
    </row>
    <row r="848" spans="1:4" x14ac:dyDescent="0.2">
      <c r="A848" s="5">
        <v>787</v>
      </c>
      <c r="B848" s="138">
        <f>'Expenditures 15-22'!E49</f>
        <v>121257</v>
      </c>
      <c r="D848" s="2" t="str">
        <f t="shared" si="12"/>
        <v>Error?</v>
      </c>
    </row>
    <row r="849" spans="1:4" x14ac:dyDescent="0.2">
      <c r="A849" s="5">
        <v>788</v>
      </c>
      <c r="B849" s="138">
        <f>'Expenditures 15-22'!E50</f>
        <v>16911</v>
      </c>
      <c r="D849" s="2" t="str">
        <f t="shared" si="12"/>
        <v>Error?</v>
      </c>
    </row>
    <row r="850" spans="1:4" x14ac:dyDescent="0.2">
      <c r="A850" s="5">
        <v>789</v>
      </c>
      <c r="B850" s="138">
        <f>'Expenditures 15-22'!E53</f>
        <v>138168</v>
      </c>
      <c r="C850" s="2" t="s">
        <v>594</v>
      </c>
      <c r="D850" s="2" t="str">
        <f t="shared" si="12"/>
        <v>Error?</v>
      </c>
    </row>
    <row r="851" spans="1:4" x14ac:dyDescent="0.2">
      <c r="A851" s="5">
        <v>790</v>
      </c>
      <c r="B851" s="138">
        <f>'Expenditures 15-22'!E55</f>
        <v>2382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2382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656595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656595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1273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1273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821185</v>
      </c>
      <c r="C871" s="2" t="s">
        <v>594</v>
      </c>
      <c r="D871" s="2" t="str">
        <f t="shared" si="12"/>
        <v>Error?</v>
      </c>
    </row>
    <row r="872" spans="1:4" x14ac:dyDescent="0.2">
      <c r="A872" s="5">
        <v>811</v>
      </c>
      <c r="B872" s="138">
        <f>'Expenditures 15-22'!E75</f>
        <v>778</v>
      </c>
      <c r="D872" s="2" t="str">
        <f t="shared" si="12"/>
        <v>Error?</v>
      </c>
    </row>
    <row r="873" spans="1:4" x14ac:dyDescent="0.2">
      <c r="A873" s="5">
        <v>812</v>
      </c>
      <c r="B873" s="138">
        <f>'Expenditures 15-22'!E114</f>
        <v>2357160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255378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8507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289270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2294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9591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9591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2286</v>
      </c>
      <c r="D907" s="2" t="str">
        <f t="shared" si="13"/>
        <v>Error?</v>
      </c>
    </row>
    <row r="908" spans="1:4" x14ac:dyDescent="0.2">
      <c r="A908" s="5">
        <v>847</v>
      </c>
      <c r="B908" s="138">
        <f>'Expenditures 15-22'!F53</f>
        <v>2286</v>
      </c>
      <c r="C908" s="2" t="s">
        <v>594</v>
      </c>
      <c r="D908" s="2" t="str">
        <f t="shared" si="13"/>
        <v>Error?</v>
      </c>
    </row>
    <row r="909" spans="1:4" x14ac:dyDescent="0.2">
      <c r="A909" s="5">
        <v>848</v>
      </c>
      <c r="B909" s="138">
        <f>'Expenditures 15-22'!F55</f>
        <v>3229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3229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1227</v>
      </c>
      <c r="D913" s="2" t="str">
        <f t="shared" si="13"/>
        <v>Error?</v>
      </c>
    </row>
    <row r="914" spans="1:4" x14ac:dyDescent="0.2">
      <c r="A914" s="5">
        <v>853</v>
      </c>
      <c r="B914" s="138">
        <f>'Expenditures 15-22'!F61</f>
        <v>3370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10359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27759</v>
      </c>
      <c r="C929" s="2" t="s">
        <v>594</v>
      </c>
      <c r="D929" s="2" t="str">
        <f t="shared" si="13"/>
        <v>Error?</v>
      </c>
    </row>
    <row r="930" spans="1:4" x14ac:dyDescent="0.2">
      <c r="A930" s="5">
        <v>869</v>
      </c>
      <c r="B930" s="138">
        <f>'Expenditures 15-22'!F75</f>
        <v>2949</v>
      </c>
      <c r="D930" s="2" t="str">
        <f t="shared" si="13"/>
        <v>Error?</v>
      </c>
    </row>
    <row r="931" spans="1:4" x14ac:dyDescent="0.2">
      <c r="A931" s="5">
        <v>870</v>
      </c>
      <c r="B931" s="138">
        <f>'Expenditures 15-22'!F114</f>
        <v>319978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78104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79942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994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994</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42388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5898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48286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49280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129222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545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8520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9065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3954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3954</v>
      </c>
      <c r="C1021" s="2" t="s">
        <v>594</v>
      </c>
      <c r="D1021" s="2" t="str">
        <f t="shared" si="14"/>
        <v>Error?</v>
      </c>
    </row>
    <row r="1022" spans="1:4" x14ac:dyDescent="0.2">
      <c r="A1022" s="5">
        <v>961</v>
      </c>
      <c r="B1022" s="138">
        <f>'Expenditures 15-22'!H49</f>
        <v>4004</v>
      </c>
      <c r="D1022" s="2" t="str">
        <f t="shared" si="14"/>
        <v>Error?</v>
      </c>
    </row>
    <row r="1023" spans="1:4" x14ac:dyDescent="0.2">
      <c r="A1023" s="5">
        <v>962</v>
      </c>
      <c r="B1023" s="138">
        <f>'Expenditures 15-22'!H50</f>
        <v>1474</v>
      </c>
      <c r="D1023" s="2" t="str">
        <f t="shared" ref="D1023:D1086" si="15">IF(ISBLANK(B1023),"OK",IF(A1023-B1023=0,"OK","Error?"))</f>
        <v>Error?</v>
      </c>
    </row>
    <row r="1024" spans="1:4" x14ac:dyDescent="0.2">
      <c r="A1024" s="5">
        <v>963</v>
      </c>
      <c r="B1024" s="138">
        <f>'Expenditures 15-22'!H53</f>
        <v>5478</v>
      </c>
      <c r="C1024" s="2" t="s">
        <v>594</v>
      </c>
      <c r="D1024" s="2" t="str">
        <f t="shared" si="15"/>
        <v>Error?</v>
      </c>
    </row>
    <row r="1025" spans="1:4" x14ac:dyDescent="0.2">
      <c r="A1025" s="5">
        <v>964</v>
      </c>
      <c r="B1025" s="138">
        <f>'Expenditures 15-22'!H55</f>
        <v>2033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2033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11805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20870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4336000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27570</v>
      </c>
      <c r="C1105" s="2" t="s">
        <v>594</v>
      </c>
      <c r="D1105" s="2" t="str">
        <f t="shared" si="16"/>
        <v>Error?</v>
      </c>
    </row>
    <row r="1106" spans="1:4" x14ac:dyDescent="0.2">
      <c r="A1106" s="5">
        <v>1045</v>
      </c>
      <c r="B1106" s="138">
        <f>'Expenditures 15-22'!K14</f>
        <v>229782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6237225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283133</v>
      </c>
      <c r="C1110" s="2" t="s">
        <v>594</v>
      </c>
      <c r="D1110" s="2" t="str">
        <f t="shared" si="16"/>
        <v>Error?</v>
      </c>
    </row>
    <row r="1111" spans="1:4" x14ac:dyDescent="0.2">
      <c r="A1111" s="5">
        <v>1050</v>
      </c>
      <c r="B1111" s="138">
        <f>'Expenditures 15-22'!K38</f>
        <v>94348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377481</v>
      </c>
      <c r="C1115" s="2" t="s">
        <v>594</v>
      </c>
      <c r="D1115" s="2" t="str">
        <f t="shared" si="16"/>
        <v>Error?</v>
      </c>
    </row>
    <row r="1116" spans="1:4" x14ac:dyDescent="0.2">
      <c r="A1116" s="5">
        <v>1055</v>
      </c>
      <c r="B1116" s="138">
        <f>'Expenditures 15-22'!K44</f>
        <v>17279</v>
      </c>
      <c r="C1116" s="2" t="s">
        <v>594</v>
      </c>
      <c r="D1116" s="2" t="str">
        <f t="shared" si="16"/>
        <v>Error?</v>
      </c>
    </row>
    <row r="1117" spans="1:4" x14ac:dyDescent="0.2">
      <c r="A1117" s="5">
        <v>1056</v>
      </c>
      <c r="B1117" s="138">
        <f>'Expenditures 15-22'!K45</f>
        <v>82224</v>
      </c>
      <c r="C1117" s="2" t="s">
        <v>594</v>
      </c>
      <c r="D1117" s="2" t="str">
        <f t="shared" si="16"/>
        <v>Error?</v>
      </c>
    </row>
    <row r="1118" spans="1:4" x14ac:dyDescent="0.2">
      <c r="A1118" s="5">
        <v>1057</v>
      </c>
      <c r="B1118" s="138">
        <f>'Expenditures 15-22'!K46</f>
        <v>3910</v>
      </c>
      <c r="C1118" s="2" t="s">
        <v>594</v>
      </c>
      <c r="D1118" s="2" t="str">
        <f t="shared" si="16"/>
        <v>Error?</v>
      </c>
    </row>
    <row r="1119" spans="1:4" x14ac:dyDescent="0.2">
      <c r="A1119" s="5">
        <v>1058</v>
      </c>
      <c r="B1119" s="138">
        <f>'Expenditures 15-22'!K47</f>
        <v>103413</v>
      </c>
      <c r="C1119" s="2" t="s">
        <v>594</v>
      </c>
      <c r="D1119" s="2" t="str">
        <f t="shared" si="16"/>
        <v>Error?</v>
      </c>
    </row>
    <row r="1120" spans="1:4" x14ac:dyDescent="0.2">
      <c r="A1120" s="5">
        <v>1059</v>
      </c>
      <c r="B1120" s="138">
        <f>'Expenditures 15-22'!K49</f>
        <v>215648</v>
      </c>
      <c r="C1120" s="2" t="s">
        <v>594</v>
      </c>
      <c r="D1120" s="2" t="str">
        <f t="shared" si="16"/>
        <v>Error?</v>
      </c>
    </row>
    <row r="1121" spans="1:4" x14ac:dyDescent="0.2">
      <c r="A1121" s="5">
        <v>1060</v>
      </c>
      <c r="B1121" s="138">
        <f>'Expenditures 15-22'!K50</f>
        <v>243892</v>
      </c>
      <c r="C1121" s="2" t="s">
        <v>594</v>
      </c>
      <c r="D1121" s="2" t="str">
        <f t="shared" si="16"/>
        <v>Error?</v>
      </c>
    </row>
    <row r="1122" spans="1:4" x14ac:dyDescent="0.2">
      <c r="A1122" s="5">
        <v>1061</v>
      </c>
      <c r="B1122" s="138">
        <f>'Expenditures 15-22'!K53</f>
        <v>459540</v>
      </c>
      <c r="C1122" s="2" t="s">
        <v>594</v>
      </c>
      <c r="D1122" s="2" t="str">
        <f t="shared" si="16"/>
        <v>Error?</v>
      </c>
    </row>
    <row r="1123" spans="1:4" x14ac:dyDescent="0.2">
      <c r="A1123" s="5">
        <v>1062</v>
      </c>
      <c r="B1123" s="138">
        <f>'Expenditures 15-22'!K55</f>
        <v>625432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625432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127950</v>
      </c>
      <c r="C1127" s="2" t="s">
        <v>594</v>
      </c>
      <c r="D1127" s="2" t="str">
        <f t="shared" si="16"/>
        <v>Error?</v>
      </c>
    </row>
    <row r="1128" spans="1:4" x14ac:dyDescent="0.2">
      <c r="A1128" s="5">
        <v>1067</v>
      </c>
      <c r="B1128" s="138">
        <f>'Expenditures 15-22'!K61</f>
        <v>69131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735590</v>
      </c>
      <c r="C1130" s="2" t="s">
        <v>594</v>
      </c>
      <c r="D1130" s="2" t="str">
        <f t="shared" si="16"/>
        <v>Error?</v>
      </c>
    </row>
    <row r="1131" spans="1:4" x14ac:dyDescent="0.2">
      <c r="A1131" s="5">
        <v>1070</v>
      </c>
      <c r="B1131" s="138">
        <f>'Expenditures 15-22'!K64</f>
        <v>1649</v>
      </c>
      <c r="C1131" s="2" t="s">
        <v>594</v>
      </c>
      <c r="D1131" s="2" t="str">
        <f t="shared" si="16"/>
        <v>Error?</v>
      </c>
    </row>
    <row r="1132" spans="1:4" x14ac:dyDescent="0.2">
      <c r="A1132" s="10">
        <v>1071</v>
      </c>
      <c r="D1132" s="2" t="str">
        <f t="shared" si="16"/>
        <v>OK</v>
      </c>
    </row>
    <row r="1133" spans="1:4" x14ac:dyDescent="0.2">
      <c r="A1133" s="5">
        <v>1072</v>
      </c>
      <c r="B1133" s="138">
        <f>'Expenditures 15-22'!K65</f>
        <v>934320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1273</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1273</v>
      </c>
      <c r="C1141" s="2" t="s">
        <v>594</v>
      </c>
      <c r="D1141" s="2" t="str">
        <f t="shared" si="16"/>
        <v>Error?</v>
      </c>
    </row>
    <row r="1142" spans="1:4" x14ac:dyDescent="0.2">
      <c r="A1142" s="5">
        <v>1081</v>
      </c>
      <c r="B1142" s="138">
        <f>'Expenditures 15-22'!K73</f>
        <v>24857</v>
      </c>
      <c r="C1142" s="2" t="s">
        <v>594</v>
      </c>
      <c r="D1142" s="2" t="str">
        <f t="shared" si="16"/>
        <v>Error?</v>
      </c>
    </row>
    <row r="1143" spans="1:4" x14ac:dyDescent="0.2">
      <c r="A1143" s="5">
        <v>1082</v>
      </c>
      <c r="B1143" s="138">
        <f>'Expenditures 15-22'!K74</f>
        <v>2526316</v>
      </c>
      <c r="C1143" s="2" t="s">
        <v>594</v>
      </c>
      <c r="D1143" s="2" t="str">
        <f t="shared" si="16"/>
        <v>Error?</v>
      </c>
    </row>
    <row r="1144" spans="1:4" x14ac:dyDescent="0.2">
      <c r="A1144" s="5">
        <v>1083</v>
      </c>
      <c r="B1144" s="138">
        <f>'Expenditures 15-22'!K75</f>
        <v>39554</v>
      </c>
      <c r="C1144" s="2" t="s">
        <v>594</v>
      </c>
      <c r="D1144" s="2" t="str">
        <f t="shared" si="16"/>
        <v>Error?</v>
      </c>
    </row>
    <row r="1145" spans="1:4" x14ac:dyDescent="0.2">
      <c r="A1145" s="5">
        <v>1084</v>
      </c>
      <c r="B1145" s="138">
        <f>'Expenditures 15-22'!K102</f>
        <v>1286291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10089386</v>
      </c>
      <c r="C1152" s="2" t="s">
        <v>594</v>
      </c>
      <c r="D1152" s="2" t="str">
        <f t="shared" si="17"/>
        <v>Error?</v>
      </c>
    </row>
    <row r="1153" spans="1:4" x14ac:dyDescent="0.2">
      <c r="A1153" s="5">
        <v>1092</v>
      </c>
      <c r="B1153" s="138">
        <f>'Expenditures 15-22'!K115</f>
        <v>1239660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305759</v>
      </c>
      <c r="D1221" s="2" t="str">
        <f t="shared" si="18"/>
        <v>Error?</v>
      </c>
    </row>
    <row r="1222" spans="1:4" x14ac:dyDescent="0.2">
      <c r="A1222" s="10">
        <v>1161</v>
      </c>
      <c r="D1222" s="2" t="str">
        <f t="shared" si="18"/>
        <v>OK</v>
      </c>
    </row>
    <row r="1223" spans="1:4" x14ac:dyDescent="0.2">
      <c r="A1223" s="5">
        <v>1162</v>
      </c>
      <c r="B1223" s="138">
        <f>'Expenditures 15-22'!C127</f>
        <v>305759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305759</v>
      </c>
      <c r="C1225" s="2" t="s">
        <v>594</v>
      </c>
      <c r="D1225" s="2" t="str">
        <f t="shared" si="18"/>
        <v>Error?</v>
      </c>
    </row>
    <row r="1226" spans="1:4" x14ac:dyDescent="0.2">
      <c r="A1226" s="5">
        <v>1165</v>
      </c>
      <c r="B1226" s="138">
        <f>'Expenditures 15-22'!C151</f>
        <v>305759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34514</v>
      </c>
      <c r="D1229" s="2" t="str">
        <f t="shared" si="18"/>
        <v>Error?</v>
      </c>
    </row>
    <row r="1230" spans="1:4" x14ac:dyDescent="0.2">
      <c r="A1230" s="10">
        <v>1169</v>
      </c>
      <c r="D1230" s="2" t="str">
        <f t="shared" si="18"/>
        <v>OK</v>
      </c>
    </row>
    <row r="1231" spans="1:4" x14ac:dyDescent="0.2">
      <c r="A1231" s="5">
        <v>1170</v>
      </c>
      <c r="B1231" s="138">
        <f>'Expenditures 15-22'!D127</f>
        <v>34514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34514</v>
      </c>
      <c r="C1233" s="2" t="s">
        <v>594</v>
      </c>
      <c r="D1233" s="2" t="str">
        <f t="shared" si="18"/>
        <v>Error?</v>
      </c>
    </row>
    <row r="1234" spans="1:4" x14ac:dyDescent="0.2">
      <c r="A1234" s="5">
        <v>1173</v>
      </c>
      <c r="B1234" s="138">
        <f>'Expenditures 15-22'!D151</f>
        <v>34514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313272</v>
      </c>
      <c r="D1237" s="2" t="str">
        <f t="shared" si="18"/>
        <v>Error?</v>
      </c>
    </row>
    <row r="1238" spans="1:4" x14ac:dyDescent="0.2">
      <c r="A1238" s="10">
        <v>1177</v>
      </c>
      <c r="D1238" s="2" t="str">
        <f t="shared" si="18"/>
        <v>OK</v>
      </c>
    </row>
    <row r="1239" spans="1:4" x14ac:dyDescent="0.2">
      <c r="A1239" s="5">
        <v>1178</v>
      </c>
      <c r="B1239" s="138">
        <f>'Expenditures 15-22'!E127</f>
        <v>313272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313272</v>
      </c>
      <c r="C1241" s="2" t="s">
        <v>594</v>
      </c>
      <c r="D1241" s="2" t="str">
        <f t="shared" si="18"/>
        <v>Error?</v>
      </c>
    </row>
    <row r="1242" spans="1:4" x14ac:dyDescent="0.2">
      <c r="A1242" s="5">
        <v>1181</v>
      </c>
      <c r="B1242" s="138">
        <f>'Expenditures 15-22'!E151</f>
        <v>313272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555880</v>
      </c>
      <c r="D1245" s="2" t="str">
        <f t="shared" si="18"/>
        <v>Error?</v>
      </c>
    </row>
    <row r="1246" spans="1:4" x14ac:dyDescent="0.2">
      <c r="A1246" s="10">
        <v>1185</v>
      </c>
      <c r="D1246" s="2" t="str">
        <f t="shared" si="18"/>
        <v>OK</v>
      </c>
    </row>
    <row r="1247" spans="1:4" x14ac:dyDescent="0.2">
      <c r="A1247" s="5">
        <v>1186</v>
      </c>
      <c r="B1247" s="138">
        <f>'Expenditures 15-22'!F127</f>
        <v>555880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555880</v>
      </c>
      <c r="C1249" s="2" t="s">
        <v>594</v>
      </c>
      <c r="D1249" s="2" t="str">
        <f t="shared" si="18"/>
        <v>Error?</v>
      </c>
    </row>
    <row r="1250" spans="1:4" x14ac:dyDescent="0.2">
      <c r="A1250" s="5">
        <v>1189</v>
      </c>
      <c r="B1250" s="138">
        <f>'Expenditures 15-22'!F151</f>
        <v>555880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23716</v>
      </c>
      <c r="D1252" s="2" t="str">
        <f t="shared" si="18"/>
        <v>Error?</v>
      </c>
    </row>
    <row r="1253" spans="1:4" x14ac:dyDescent="0.2">
      <c r="A1253" s="5">
        <v>1192</v>
      </c>
      <c r="B1253" s="138">
        <f>'Expenditures 15-22'!G124</f>
        <v>67155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90871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90871</v>
      </c>
      <c r="C1258" s="2" t="s">
        <v>594</v>
      </c>
      <c r="D1258" s="2" t="str">
        <f t="shared" si="18"/>
        <v>Error?</v>
      </c>
    </row>
    <row r="1259" spans="1:4" x14ac:dyDescent="0.2">
      <c r="A1259" s="5">
        <v>1198</v>
      </c>
      <c r="B1259" s="138">
        <f>'Expenditures 15-22'!G151</f>
        <v>90871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23716</v>
      </c>
      <c r="C1275" s="2" t="s">
        <v>594</v>
      </c>
      <c r="D1275" s="2" t="str">
        <f t="shared" si="18"/>
        <v>Error?</v>
      </c>
    </row>
    <row r="1276" spans="1:4" x14ac:dyDescent="0.2">
      <c r="A1276" s="5">
        <v>1215</v>
      </c>
      <c r="B1276" s="138">
        <f>'Expenditures 15-22'!K124</f>
        <v>1276580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1300296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1300296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1300296</v>
      </c>
      <c r="C1288" s="2" t="s">
        <v>594</v>
      </c>
      <c r="D1288" s="2" t="str">
        <f t="shared" si="19"/>
        <v>Error?</v>
      </c>
    </row>
    <row r="1289" spans="1:4" x14ac:dyDescent="0.2">
      <c r="A1289" s="5">
        <v>1228</v>
      </c>
      <c r="B1289" s="138">
        <f>'Expenditures 15-22'!K152</f>
        <v>9223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148218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989503</v>
      </c>
      <c r="D1315" s="2" t="str">
        <f t="shared" si="19"/>
        <v>Error?</v>
      </c>
    </row>
    <row r="1316" spans="1:4" x14ac:dyDescent="0.2">
      <c r="A1316" s="5">
        <v>1255</v>
      </c>
      <c r="B1316" s="138">
        <f>'Expenditures 15-22'!H171</f>
        <v>69716</v>
      </c>
      <c r="D1316" s="2" t="str">
        <f t="shared" si="19"/>
        <v>Error?</v>
      </c>
    </row>
    <row r="1317" spans="1:4" x14ac:dyDescent="0.2">
      <c r="A1317" s="5">
        <v>1256</v>
      </c>
      <c r="B1317" s="138">
        <f>'Expenditures 15-22'!H172</f>
        <v>1207437</v>
      </c>
      <c r="C1317" s="2" t="s">
        <v>594</v>
      </c>
      <c r="D1317" s="2" t="str">
        <f t="shared" si="19"/>
        <v>Error?</v>
      </c>
    </row>
    <row r="1318" spans="1:4" x14ac:dyDescent="0.2">
      <c r="A1318" s="5">
        <v>1257</v>
      </c>
      <c r="B1318" s="138">
        <f>'Expenditures 15-22'!H174</f>
        <v>1207437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148218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989503</v>
      </c>
      <c r="C1329" s="2" t="s">
        <v>594</v>
      </c>
      <c r="D1329" s="2" t="str">
        <f t="shared" si="19"/>
        <v>Error?</v>
      </c>
    </row>
    <row r="1330" spans="1:4" x14ac:dyDescent="0.2">
      <c r="A1330" s="5">
        <v>1269</v>
      </c>
      <c r="B1330" s="138">
        <f>'Expenditures 15-22'!K171</f>
        <v>69716</v>
      </c>
      <c r="C1330" s="2" t="s">
        <v>594</v>
      </c>
      <c r="D1330" s="2" t="str">
        <f t="shared" si="19"/>
        <v>Error?</v>
      </c>
    </row>
    <row r="1331" spans="1:4" x14ac:dyDescent="0.2">
      <c r="A1331" s="5">
        <v>1270</v>
      </c>
      <c r="B1331" s="138">
        <f>'Expenditures 15-22'!K172</f>
        <v>1207437</v>
      </c>
      <c r="C1331" s="2" t="s">
        <v>594</v>
      </c>
      <c r="D1331" s="2" t="str">
        <f t="shared" si="19"/>
        <v>Error?</v>
      </c>
    </row>
    <row r="1332" spans="1:4" x14ac:dyDescent="0.2">
      <c r="A1332" s="5">
        <v>1271</v>
      </c>
      <c r="B1332" s="138">
        <f>'Expenditures 15-22'!K174</f>
        <v>1207437</v>
      </c>
      <c r="C1332" s="2" t="s">
        <v>594</v>
      </c>
      <c r="D1332" s="2" t="str">
        <f t="shared" si="19"/>
        <v>Error?</v>
      </c>
    </row>
    <row r="1333" spans="1:4" x14ac:dyDescent="0.2">
      <c r="A1333" s="5">
        <v>1272</v>
      </c>
      <c r="B1333" s="138">
        <f>'Expenditures 15-22'!K175</f>
        <v>-90069</v>
      </c>
      <c r="C1333" s="2" t="s">
        <v>594</v>
      </c>
      <c r="D1333" s="2" t="str">
        <f t="shared" si="19"/>
        <v>Error?</v>
      </c>
    </row>
    <row r="1334" spans="1:4" x14ac:dyDescent="0.2">
      <c r="A1334" s="10">
        <v>1273</v>
      </c>
      <c r="D1334" s="2" t="str">
        <f t="shared" si="19"/>
        <v>OK</v>
      </c>
    </row>
    <row r="1335" spans="1:4" x14ac:dyDescent="0.2">
      <c r="A1335" s="5">
        <v>1274</v>
      </c>
      <c r="B1335" s="138">
        <f>'Expenditures 15-22'!C182</f>
        <v>335275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335275</v>
      </c>
      <c r="C1339" s="2" t="s">
        <v>594</v>
      </c>
      <c r="D1339" s="2" t="str">
        <f t="shared" si="19"/>
        <v>Error?</v>
      </c>
    </row>
    <row r="1340" spans="1:4" x14ac:dyDescent="0.2">
      <c r="A1340" s="5">
        <v>1279</v>
      </c>
      <c r="B1340" s="138">
        <f>'Expenditures 15-22'!C210</f>
        <v>335275</v>
      </c>
      <c r="C1340" s="2" t="s">
        <v>594</v>
      </c>
      <c r="D1340" s="2" t="str">
        <f t="shared" si="19"/>
        <v>Error?</v>
      </c>
    </row>
    <row r="1341" spans="1:4" x14ac:dyDescent="0.2">
      <c r="A1341" s="5">
        <v>1280</v>
      </c>
      <c r="B1341" s="138">
        <f>'Expenditures 15-22'!D182</f>
        <v>14809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14809</v>
      </c>
      <c r="C1345" s="2" t="s">
        <v>594</v>
      </c>
      <c r="D1345" s="2" t="str">
        <f t="shared" si="20"/>
        <v>Error?</v>
      </c>
    </row>
    <row r="1346" spans="1:4" x14ac:dyDescent="0.2">
      <c r="A1346" s="5">
        <v>1285</v>
      </c>
      <c r="B1346" s="138">
        <f>'Expenditures 15-22'!D210</f>
        <v>14809</v>
      </c>
      <c r="C1346" s="2" t="s">
        <v>594</v>
      </c>
      <c r="D1346" s="2" t="str">
        <f t="shared" si="20"/>
        <v>Error?</v>
      </c>
    </row>
    <row r="1347" spans="1:4" x14ac:dyDescent="0.2">
      <c r="A1347" s="5">
        <v>1286</v>
      </c>
      <c r="B1347" s="138">
        <f>'Expenditures 15-22'!E182</f>
        <v>216562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216562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216562</v>
      </c>
      <c r="C1353" s="2" t="s">
        <v>594</v>
      </c>
      <c r="D1353" s="2" t="str">
        <f t="shared" si="20"/>
        <v>Error?</v>
      </c>
    </row>
    <row r="1354" spans="1:4" x14ac:dyDescent="0.2">
      <c r="A1354" s="5">
        <v>1293</v>
      </c>
      <c r="B1354" s="138">
        <f>'Expenditures 15-22'!F182</f>
        <v>82820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82820</v>
      </c>
      <c r="C1358" s="2" t="s">
        <v>594</v>
      </c>
      <c r="D1358" s="2" t="str">
        <f t="shared" si="20"/>
        <v>Error?</v>
      </c>
    </row>
    <row r="1359" spans="1:4" x14ac:dyDescent="0.2">
      <c r="A1359" s="5">
        <v>1298</v>
      </c>
      <c r="B1359" s="138">
        <f>'Expenditures 15-22'!F210</f>
        <v>82820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649466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649466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649466</v>
      </c>
      <c r="C1388" s="2" t="s">
        <v>594</v>
      </c>
      <c r="D1388" s="2" t="str">
        <f t="shared" si="20"/>
        <v>Error?</v>
      </c>
    </row>
    <row r="1389" spans="1:4" x14ac:dyDescent="0.2">
      <c r="A1389" s="5">
        <v>1328</v>
      </c>
      <c r="B1389" s="138">
        <f>'Expenditures 15-22'!K211</f>
        <v>242124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388</v>
      </c>
      <c r="D1407" s="2" t="str">
        <f t="shared" ref="D1407:D1470" si="21">IF(ISBLANK(B1407),"OK",IF(A1407-B1407=0,"OK","Error?"))</f>
        <v>Error?</v>
      </c>
    </row>
    <row r="1408" spans="1:4" x14ac:dyDescent="0.2">
      <c r="A1408" s="5">
        <v>1347</v>
      </c>
      <c r="B1408" s="138">
        <f>'Expenditures 15-22'!D223</f>
        <v>13984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161135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3589</v>
      </c>
      <c r="D1412" s="2" t="str">
        <f t="shared" si="21"/>
        <v>Error?</v>
      </c>
    </row>
    <row r="1413" spans="1:4" x14ac:dyDescent="0.2">
      <c r="A1413" s="5">
        <v>1352</v>
      </c>
      <c r="B1413" s="138">
        <f>'Expenditures 15-22'!D234</f>
        <v>17027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20616</v>
      </c>
      <c r="C1417" s="2" t="s">
        <v>594</v>
      </c>
      <c r="D1417" s="2" t="str">
        <f t="shared" si="21"/>
        <v>Error?</v>
      </c>
    </row>
    <row r="1418" spans="1:4" x14ac:dyDescent="0.2">
      <c r="A1418" s="5">
        <v>1357</v>
      </c>
      <c r="B1418" s="138">
        <f>'Expenditures 15-22'!D240</f>
        <v>90</v>
      </c>
      <c r="D1418" s="2" t="str">
        <f t="shared" si="21"/>
        <v>Error?</v>
      </c>
    </row>
    <row r="1419" spans="1:4" x14ac:dyDescent="0.2">
      <c r="A1419" s="5">
        <v>1358</v>
      </c>
      <c r="B1419" s="138">
        <f>'Expenditures 15-22'!D241</f>
        <v>866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956</v>
      </c>
      <c r="C1421" s="2" t="s">
        <v>594</v>
      </c>
      <c r="D1421" s="2" t="str">
        <f t="shared" si="21"/>
        <v>Error?</v>
      </c>
    </row>
    <row r="1422" spans="1:4" x14ac:dyDescent="0.2">
      <c r="A1422" s="5">
        <v>1361</v>
      </c>
      <c r="B1422" s="138">
        <f>'Expenditures 15-22'!D245</f>
        <v>1716</v>
      </c>
      <c r="D1422" s="2" t="str">
        <f t="shared" si="21"/>
        <v>Error?</v>
      </c>
    </row>
    <row r="1423" spans="1:4" x14ac:dyDescent="0.2">
      <c r="A1423" s="5">
        <v>1362</v>
      </c>
      <c r="B1423" s="138">
        <f>'Expenditures 15-22'!D246</f>
        <v>13291</v>
      </c>
      <c r="D1423" s="2" t="str">
        <f t="shared" si="21"/>
        <v>Error?</v>
      </c>
    </row>
    <row r="1424" spans="1:4" x14ac:dyDescent="0.2">
      <c r="A1424" s="5">
        <v>1363</v>
      </c>
      <c r="B1424" s="138">
        <f>'Expenditures 15-22'!D257</f>
        <v>15007</v>
      </c>
      <c r="C1424" s="2" t="s">
        <v>594</v>
      </c>
      <c r="D1424" s="2" t="str">
        <f t="shared" si="21"/>
        <v>Error?</v>
      </c>
    </row>
    <row r="1425" spans="1:4" x14ac:dyDescent="0.2">
      <c r="A1425" s="5">
        <v>1364</v>
      </c>
      <c r="B1425" s="138">
        <f>'Expenditures 15-22'!D259</f>
        <v>32970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32970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8302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67676</v>
      </c>
      <c r="D1431" s="2" t="str">
        <f t="shared" si="21"/>
        <v>Error?</v>
      </c>
    </row>
    <row r="1432" spans="1:4" x14ac:dyDescent="0.2">
      <c r="A1432" s="5">
        <v>1371</v>
      </c>
      <c r="B1432" s="138">
        <f>'Expenditures 15-22'!D267</f>
        <v>59279</v>
      </c>
      <c r="D1432" s="2" t="str">
        <f t="shared" si="21"/>
        <v>Error?</v>
      </c>
    </row>
    <row r="1433" spans="1:4" x14ac:dyDescent="0.2">
      <c r="A1433" s="5">
        <v>1372</v>
      </c>
      <c r="B1433" s="138">
        <f>'Expenditures 15-22'!D268</f>
        <v>12396</v>
      </c>
      <c r="D1433" s="2" t="str">
        <f t="shared" si="21"/>
        <v>Error?</v>
      </c>
    </row>
    <row r="1434" spans="1:4" x14ac:dyDescent="0.2">
      <c r="A1434" s="5">
        <v>1373</v>
      </c>
      <c r="B1434" s="138">
        <f>'Expenditures 15-22'!D269</f>
        <v>367</v>
      </c>
      <c r="D1434" s="2" t="str">
        <f t="shared" si="21"/>
        <v>Error?</v>
      </c>
    </row>
    <row r="1435" spans="1:4" x14ac:dyDescent="0.2">
      <c r="A1435" s="10">
        <v>1374</v>
      </c>
      <c r="D1435" s="2" t="str">
        <f t="shared" si="21"/>
        <v>OK</v>
      </c>
    </row>
    <row r="1436" spans="1:4" x14ac:dyDescent="0.2">
      <c r="A1436" s="5">
        <v>1375</v>
      </c>
      <c r="B1436" s="138">
        <f>'Expenditures 15-22'!D270</f>
        <v>148020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2417</v>
      </c>
      <c r="D1445" s="2" t="str">
        <f t="shared" si="21"/>
        <v>Error?</v>
      </c>
    </row>
    <row r="1446" spans="1:4" x14ac:dyDescent="0.2">
      <c r="A1446" s="5">
        <v>1385</v>
      </c>
      <c r="B1446" s="138">
        <f>'Expenditures 15-22'!D279</f>
        <v>219986</v>
      </c>
      <c r="C1446" s="2" t="s">
        <v>594</v>
      </c>
      <c r="D1446" s="2" t="str">
        <f t="shared" si="21"/>
        <v>Error?</v>
      </c>
    </row>
    <row r="1447" spans="1:4" x14ac:dyDescent="0.2">
      <c r="A1447" s="5">
        <v>1386</v>
      </c>
      <c r="B1447" s="138">
        <f>'Expenditures 15-22'!D280</f>
        <v>7284</v>
      </c>
      <c r="D1447" s="2" t="str">
        <f t="shared" si="21"/>
        <v>Error?</v>
      </c>
    </row>
    <row r="1448" spans="1:4" x14ac:dyDescent="0.2">
      <c r="A1448" s="5">
        <v>1387</v>
      </c>
      <c r="B1448" s="138">
        <f>'Expenditures 15-22'!D295</f>
        <v>388405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388</v>
      </c>
      <c r="C1471" s="2" t="s">
        <v>594</v>
      </c>
      <c r="D1471" s="2" t="str">
        <f t="shared" ref="D1471:D1534" si="22">IF(ISBLANK(B1471),"OK",IF(A1471-B1471=0,"OK","Error?"))</f>
        <v>Error?</v>
      </c>
    </row>
    <row r="1472" spans="1:4" x14ac:dyDescent="0.2">
      <c r="A1472" s="5">
        <v>1411</v>
      </c>
      <c r="B1472" s="138">
        <f>'Expenditures 15-22'!K223</f>
        <v>13984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161135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3589</v>
      </c>
      <c r="C1476" s="2" t="s">
        <v>594</v>
      </c>
      <c r="D1476" s="2" t="str">
        <f t="shared" si="22"/>
        <v>Error?</v>
      </c>
    </row>
    <row r="1477" spans="1:4" x14ac:dyDescent="0.2">
      <c r="A1477" s="5">
        <v>1416</v>
      </c>
      <c r="B1477" s="138">
        <f>'Expenditures 15-22'!K234</f>
        <v>17027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20616</v>
      </c>
      <c r="C1481" s="2" t="s">
        <v>594</v>
      </c>
      <c r="D1481" s="2" t="str">
        <f t="shared" si="22"/>
        <v>Error?</v>
      </c>
    </row>
    <row r="1482" spans="1:4" x14ac:dyDescent="0.2">
      <c r="A1482" s="5">
        <v>1421</v>
      </c>
      <c r="B1482" s="138">
        <f>'Expenditures 15-22'!K240</f>
        <v>90</v>
      </c>
      <c r="C1482" s="2" t="s">
        <v>594</v>
      </c>
      <c r="D1482" s="2" t="str">
        <f t="shared" si="22"/>
        <v>Error?</v>
      </c>
    </row>
    <row r="1483" spans="1:4" x14ac:dyDescent="0.2">
      <c r="A1483" s="5">
        <v>1422</v>
      </c>
      <c r="B1483" s="138">
        <f>'Expenditures 15-22'!K241</f>
        <v>866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956</v>
      </c>
      <c r="C1485" s="2" t="s">
        <v>594</v>
      </c>
      <c r="D1485" s="2" t="str">
        <f t="shared" si="22"/>
        <v>Error?</v>
      </c>
    </row>
    <row r="1486" spans="1:4" x14ac:dyDescent="0.2">
      <c r="A1486" s="5">
        <v>1425</v>
      </c>
      <c r="B1486" s="138">
        <f>'Expenditures 15-22'!K245</f>
        <v>1716</v>
      </c>
      <c r="C1486" s="2" t="s">
        <v>594</v>
      </c>
      <c r="D1486" s="2" t="str">
        <f t="shared" si="22"/>
        <v>Error?</v>
      </c>
    </row>
    <row r="1487" spans="1:4" x14ac:dyDescent="0.2">
      <c r="A1487" s="5">
        <v>1426</v>
      </c>
      <c r="B1487" s="138">
        <f>'Expenditures 15-22'!K246</f>
        <v>13291</v>
      </c>
      <c r="C1487" s="2" t="s">
        <v>594</v>
      </c>
      <c r="D1487" s="2" t="str">
        <f t="shared" si="22"/>
        <v>Error?</v>
      </c>
    </row>
    <row r="1488" spans="1:4" x14ac:dyDescent="0.2">
      <c r="A1488" s="5">
        <v>1427</v>
      </c>
      <c r="B1488" s="138">
        <f>'Expenditures 15-22'!K257</f>
        <v>15007</v>
      </c>
      <c r="C1488" s="2" t="s">
        <v>594</v>
      </c>
      <c r="D1488" s="2" t="str">
        <f t="shared" si="22"/>
        <v>Error?</v>
      </c>
    </row>
    <row r="1489" spans="1:4" x14ac:dyDescent="0.2">
      <c r="A1489" s="5">
        <v>1428</v>
      </c>
      <c r="B1489" s="138">
        <f>'Expenditures 15-22'!K259</f>
        <v>32970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32970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8302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67676</v>
      </c>
      <c r="C1495" s="2" t="s">
        <v>594</v>
      </c>
      <c r="D1495" s="2" t="str">
        <f t="shared" si="22"/>
        <v>Error?</v>
      </c>
    </row>
    <row r="1496" spans="1:4" x14ac:dyDescent="0.2">
      <c r="A1496" s="5">
        <v>1435</v>
      </c>
      <c r="B1496" s="138">
        <f>'Expenditures 15-22'!K267</f>
        <v>59279</v>
      </c>
      <c r="C1496" s="2" t="s">
        <v>594</v>
      </c>
      <c r="D1496" s="2" t="str">
        <f t="shared" si="22"/>
        <v>Error?</v>
      </c>
    </row>
    <row r="1497" spans="1:4" x14ac:dyDescent="0.2">
      <c r="A1497" s="5">
        <v>1436</v>
      </c>
      <c r="B1497" s="138">
        <f>'Expenditures 15-22'!K268</f>
        <v>12396</v>
      </c>
      <c r="C1497" s="2" t="s">
        <v>594</v>
      </c>
      <c r="D1497" s="2" t="str">
        <f t="shared" si="22"/>
        <v>Error?</v>
      </c>
    </row>
    <row r="1498" spans="1:4" x14ac:dyDescent="0.2">
      <c r="A1498" s="5">
        <v>1437</v>
      </c>
      <c r="B1498" s="138">
        <f>'Expenditures 15-22'!K269</f>
        <v>367</v>
      </c>
      <c r="C1498" s="2" t="s">
        <v>594</v>
      </c>
      <c r="D1498" s="2" t="str">
        <f t="shared" si="22"/>
        <v>Error?</v>
      </c>
    </row>
    <row r="1499" spans="1:4" x14ac:dyDescent="0.2">
      <c r="A1499" s="10">
        <v>1438</v>
      </c>
      <c r="D1499" s="2" t="str">
        <f t="shared" si="22"/>
        <v>OK</v>
      </c>
    </row>
    <row r="1500" spans="1:4" x14ac:dyDescent="0.2">
      <c r="A1500" s="5">
        <v>1439</v>
      </c>
      <c r="B1500" s="138">
        <f>'Expenditures 15-22'!K270</f>
        <v>148020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2417</v>
      </c>
      <c r="C1509" s="2" t="s">
        <v>594</v>
      </c>
      <c r="D1509" s="2" t="str">
        <f t="shared" si="22"/>
        <v>Error?</v>
      </c>
    </row>
    <row r="1510" spans="1:4" x14ac:dyDescent="0.2">
      <c r="A1510" s="5">
        <v>1449</v>
      </c>
      <c r="B1510" s="138">
        <f>'Expenditures 15-22'!K279</f>
        <v>219986</v>
      </c>
      <c r="C1510" s="2" t="s">
        <v>594</v>
      </c>
      <c r="D1510" s="2" t="str">
        <f t="shared" si="22"/>
        <v>Error?</v>
      </c>
    </row>
    <row r="1511" spans="1:4" x14ac:dyDescent="0.2">
      <c r="A1511" s="5">
        <v>1450</v>
      </c>
      <c r="B1511" s="138">
        <f>'Expenditures 15-22'!K280</f>
        <v>7284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388405</v>
      </c>
      <c r="C1517" s="2" t="s">
        <v>594</v>
      </c>
      <c r="D1517" s="2" t="str">
        <f t="shared" si="22"/>
        <v>Error?</v>
      </c>
    </row>
    <row r="1518" spans="1:4" x14ac:dyDescent="0.2">
      <c r="A1518" s="5">
        <v>1457</v>
      </c>
      <c r="B1518" s="138">
        <f>'Expenditures 15-22'!K296</f>
        <v>156333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123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6384561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7624221</v>
      </c>
      <c r="C1630" s="2" t="s">
        <v>594</v>
      </c>
      <c r="D1630" s="2" t="str">
        <f t="shared" si="24"/>
        <v>Error?</v>
      </c>
    </row>
    <row r="1631" spans="1:4" x14ac:dyDescent="0.2">
      <c r="A1631" s="5">
        <v>1570</v>
      </c>
      <c r="B1631" s="138">
        <f>'Acct Summary 7-8'!D79</f>
        <v>937917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947140</v>
      </c>
      <c r="C1644" s="2" t="s">
        <v>594</v>
      </c>
      <c r="D1644" s="2" t="str">
        <f t="shared" si="24"/>
        <v>Error?</v>
      </c>
    </row>
    <row r="1645" spans="1:4" x14ac:dyDescent="0.2">
      <c r="A1645" s="5">
        <v>1584</v>
      </c>
      <c r="B1645" s="138">
        <f>'Acct Summary 7-8'!E79</f>
        <v>750619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766550</v>
      </c>
      <c r="C1658" s="2" t="s">
        <v>594</v>
      </c>
      <c r="D1658" s="2" t="str">
        <f t="shared" si="24"/>
        <v>Error?</v>
      </c>
    </row>
    <row r="1659" spans="1:4" x14ac:dyDescent="0.2">
      <c r="A1659" s="5">
        <v>1598</v>
      </c>
      <c r="B1659" s="138">
        <f>'Acct Summary 7-8'!F79</f>
        <v>470397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712521</v>
      </c>
      <c r="C1672" s="2" t="s">
        <v>594</v>
      </c>
      <c r="D1672" s="2" t="str">
        <f t="shared" si="25"/>
        <v>Error?</v>
      </c>
    </row>
    <row r="1673" spans="1:4" x14ac:dyDescent="0.2">
      <c r="A1673" s="5">
        <v>1612</v>
      </c>
      <c r="B1673" s="138">
        <f>'Acct Summary 7-8'!G79</f>
        <v>102717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259050</v>
      </c>
      <c r="C1686" s="2" t="s">
        <v>594</v>
      </c>
      <c r="D1686" s="2" t="str">
        <f t="shared" si="25"/>
        <v>Error?</v>
      </c>
    </row>
    <row r="1687" spans="1:4" x14ac:dyDescent="0.2">
      <c r="A1687" s="5">
        <v>1626</v>
      </c>
      <c r="B1687" s="138">
        <f>'Acct Summary 7-8'!H79</f>
        <v>8715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8838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3202539</v>
      </c>
      <c r="C1744" s="2" t="s">
        <v>594</v>
      </c>
      <c r="D1744" s="2" t="str">
        <f t="shared" si="26"/>
        <v>Error?</v>
      </c>
    </row>
    <row r="1745" spans="1:5" x14ac:dyDescent="0.2">
      <c r="A1745" s="5">
        <v>1684</v>
      </c>
      <c r="B1745" s="138">
        <f>'Tax Sched 23'!B5</f>
        <v>630826</v>
      </c>
      <c r="C1745" s="2" t="s">
        <v>594</v>
      </c>
      <c r="D1745" s="2" t="str">
        <f t="shared" si="26"/>
        <v>Error?</v>
      </c>
    </row>
    <row r="1746" spans="1:5" x14ac:dyDescent="0.2">
      <c r="A1746" s="5">
        <v>1685</v>
      </c>
      <c r="B1746" s="138">
        <f>'Tax Sched 23'!B6</f>
        <v>965459</v>
      </c>
      <c r="C1746" s="2" t="s">
        <v>594</v>
      </c>
      <c r="D1746" s="2" t="str">
        <f t="shared" si="26"/>
        <v>Error?</v>
      </c>
    </row>
    <row r="1747" spans="1:5" x14ac:dyDescent="0.2">
      <c r="A1747" s="5">
        <v>1686</v>
      </c>
      <c r="B1747" s="138">
        <f>'Tax Sched 23'!B7</f>
        <v>262331</v>
      </c>
      <c r="C1747" s="2" t="s">
        <v>594</v>
      </c>
      <c r="D1747" s="2" t="str">
        <f t="shared" si="26"/>
        <v>Error?</v>
      </c>
    </row>
    <row r="1748" spans="1:5" x14ac:dyDescent="0.2">
      <c r="A1748" s="5">
        <v>1687</v>
      </c>
      <c r="B1748" s="138">
        <f>'Tax Sched 23'!B8</f>
        <v>424500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62119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5547774</v>
      </c>
      <c r="C1759" s="2" t="s">
        <v>594</v>
      </c>
      <c r="D1759" s="2" t="str">
        <f t="shared" si="26"/>
        <v>Error?</v>
      </c>
    </row>
    <row r="1760" spans="1:5" x14ac:dyDescent="0.2">
      <c r="A1760" s="5">
        <v>1699</v>
      </c>
      <c r="B1760" s="138">
        <f>'Tax Sched 23'!D4</f>
        <v>3202539</v>
      </c>
      <c r="C1760" s="2" t="s">
        <v>594</v>
      </c>
      <c r="D1760" s="2" t="str">
        <f t="shared" si="26"/>
        <v>Error?</v>
      </c>
    </row>
    <row r="1761" spans="1:5" x14ac:dyDescent="0.2">
      <c r="A1761" s="5">
        <v>1700</v>
      </c>
      <c r="B1761" s="138">
        <f>'Tax Sched 23'!D5</f>
        <v>630826</v>
      </c>
      <c r="C1761" s="2" t="s">
        <v>594</v>
      </c>
      <c r="D1761" s="2" t="str">
        <f t="shared" si="26"/>
        <v>Error?</v>
      </c>
    </row>
    <row r="1762" spans="1:5" s="8" customFormat="1" x14ac:dyDescent="0.2">
      <c r="A1762" s="5">
        <v>1701</v>
      </c>
      <c r="B1762" s="138">
        <f>'Tax Sched 23'!D6</f>
        <v>965459</v>
      </c>
      <c r="C1762" s="2" t="s">
        <v>594</v>
      </c>
      <c r="D1762" s="2" t="str">
        <f t="shared" si="26"/>
        <v>Error?</v>
      </c>
      <c r="E1762" s="9"/>
    </row>
    <row r="1763" spans="1:5" x14ac:dyDescent="0.2">
      <c r="A1763" s="5">
        <v>1702</v>
      </c>
      <c r="B1763" s="138">
        <f>'Tax Sched 23'!D7</f>
        <v>262331</v>
      </c>
      <c r="C1763" s="2" t="s">
        <v>594</v>
      </c>
      <c r="D1763" s="2" t="str">
        <f t="shared" si="26"/>
        <v>Error?</v>
      </c>
    </row>
    <row r="1764" spans="1:5" x14ac:dyDescent="0.2">
      <c r="A1764" s="5">
        <v>1703</v>
      </c>
      <c r="B1764" s="138">
        <f>'Tax Sched 23'!D8</f>
        <v>424500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62119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5547774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3092144</v>
      </c>
      <c r="C1792" s="2" t="s">
        <v>594</v>
      </c>
      <c r="D1792" s="2" t="str">
        <f t="shared" si="27"/>
        <v>Error?</v>
      </c>
    </row>
    <row r="1793" spans="1:4" x14ac:dyDescent="0.2">
      <c r="A1793" s="5">
        <v>1732</v>
      </c>
      <c r="B1793" s="138">
        <f>'Tax Sched 23'!F5</f>
        <v>618429</v>
      </c>
      <c r="C1793" s="2" t="s">
        <v>594</v>
      </c>
      <c r="D1793" s="2" t="str">
        <f t="shared" si="27"/>
        <v>Error?</v>
      </c>
    </row>
    <row r="1794" spans="1:4" x14ac:dyDescent="0.2">
      <c r="A1794" s="5">
        <v>1733</v>
      </c>
      <c r="B1794" s="138">
        <f>'Tax Sched 23'!F6</f>
        <v>949841</v>
      </c>
      <c r="C1794" s="2" t="s">
        <v>594</v>
      </c>
      <c r="D1794" s="2" t="str">
        <f t="shared" si="27"/>
        <v>Error?</v>
      </c>
    </row>
    <row r="1795" spans="1:4" x14ac:dyDescent="0.2">
      <c r="A1795" s="5">
        <v>1734</v>
      </c>
      <c r="B1795" s="138">
        <f>'Tax Sched 23'!F7</f>
        <v>265005</v>
      </c>
      <c r="C1795" s="2" t="s">
        <v>594</v>
      </c>
      <c r="D1795" s="2" t="str">
        <f t="shared" si="27"/>
        <v>Error?</v>
      </c>
    </row>
    <row r="1796" spans="1:4" x14ac:dyDescent="0.2">
      <c r="A1796" s="5">
        <v>1735</v>
      </c>
      <c r="B1796" s="138">
        <f>'Tax Sched 23'!F8</f>
        <v>265005</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70759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5526188</v>
      </c>
      <c r="C1807" s="2" t="s">
        <v>594</v>
      </c>
      <c r="D1807" s="2" t="str">
        <f t="shared" si="27"/>
        <v>Error?</v>
      </c>
    </row>
    <row r="1808" spans="1:4" x14ac:dyDescent="0.2">
      <c r="A1808" s="5">
        <v>1747</v>
      </c>
      <c r="B1808" s="138">
        <f>'Tax Sched 23'!E4</f>
        <v>3092144</v>
      </c>
      <c r="D1808" s="2" t="str">
        <f t="shared" si="27"/>
        <v>Error?</v>
      </c>
    </row>
    <row r="1809" spans="1:4" x14ac:dyDescent="0.2">
      <c r="A1809" s="5">
        <v>1748</v>
      </c>
      <c r="B1809" s="138">
        <f>'Tax Sched 23'!E5</f>
        <v>618429</v>
      </c>
      <c r="D1809" s="2" t="str">
        <f t="shared" si="27"/>
        <v>Error?</v>
      </c>
    </row>
    <row r="1810" spans="1:4" x14ac:dyDescent="0.2">
      <c r="A1810" s="5">
        <v>1749</v>
      </c>
      <c r="B1810" s="138">
        <f>'Tax Sched 23'!E6</f>
        <v>949841</v>
      </c>
      <c r="D1810" s="2" t="str">
        <f t="shared" si="27"/>
        <v>Error?</v>
      </c>
    </row>
    <row r="1811" spans="1:4" x14ac:dyDescent="0.2">
      <c r="A1811" s="5">
        <v>1750</v>
      </c>
      <c r="B1811" s="138">
        <f>'Tax Sched 23'!E7</f>
        <v>265005</v>
      </c>
      <c r="D1811" s="2" t="str">
        <f t="shared" si="27"/>
        <v>Error?</v>
      </c>
    </row>
    <row r="1812" spans="1:4" x14ac:dyDescent="0.2">
      <c r="A1812" s="5">
        <v>1751</v>
      </c>
      <c r="B1812" s="138">
        <f>'Tax Sched 23'!E8</f>
        <v>265005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70759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5526188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4825533</v>
      </c>
      <c r="C1939" s="2" t="s">
        <v>594</v>
      </c>
      <c r="D1939" s="2" t="str">
        <f t="shared" si="29"/>
        <v>Error?</v>
      </c>
    </row>
    <row r="1940" spans="1:5" x14ac:dyDescent="0.2">
      <c r="A1940" s="5">
        <v>1879</v>
      </c>
      <c r="B1940" s="138">
        <f>'Short-Term Long-Term Debt 24'!F49</f>
        <v>5048900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62119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62119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62119</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1553417</v>
      </c>
      <c r="D2008" s="2" t="str">
        <f t="shared" si="30"/>
        <v>Error?</v>
      </c>
    </row>
    <row r="2009" spans="1:4" x14ac:dyDescent="0.2">
      <c r="A2009" s="5">
        <v>1948</v>
      </c>
      <c r="B2009" s="138">
        <f>'Cap Outlay Deprec 26'!C8</f>
        <v>26799646</v>
      </c>
      <c r="D2009" s="2" t="str">
        <f t="shared" si="30"/>
        <v>Error?</v>
      </c>
    </row>
    <row r="2010" spans="1:4" x14ac:dyDescent="0.2">
      <c r="A2010" s="5">
        <v>1949</v>
      </c>
      <c r="B2010" s="138">
        <f>'Cap Outlay Deprec 26'!C10</f>
        <v>823201</v>
      </c>
      <c r="D2010" s="2" t="str">
        <f t="shared" si="30"/>
        <v>Error?</v>
      </c>
    </row>
    <row r="2011" spans="1:4" x14ac:dyDescent="0.2">
      <c r="A2011" s="5">
        <v>1950</v>
      </c>
      <c r="B2011" s="138">
        <f>'Cap Outlay Deprec 26'!C12</f>
        <v>2333665</v>
      </c>
      <c r="D2011" s="2" t="str">
        <f t="shared" si="30"/>
        <v>Error?</v>
      </c>
    </row>
    <row r="2012" spans="1:4" x14ac:dyDescent="0.2">
      <c r="A2012" s="5">
        <v>1951</v>
      </c>
      <c r="B2012" s="138">
        <f>'Cap Outlay Deprec 26'!C13</f>
        <v>168514</v>
      </c>
      <c r="D2012" s="2" t="str">
        <f t="shared" si="30"/>
        <v>Error?</v>
      </c>
    </row>
    <row r="2013" spans="1:4" x14ac:dyDescent="0.2">
      <c r="A2013" s="5">
        <v>1952</v>
      </c>
      <c r="B2013" s="138">
        <f>'Cap Outlay Deprec 26'!C16</f>
        <v>31678443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167955</v>
      </c>
      <c r="D2017" s="2" t="str">
        <f t="shared" si="30"/>
        <v>Error?</v>
      </c>
    </row>
    <row r="2018" spans="1:4" x14ac:dyDescent="0.2">
      <c r="A2018" s="5">
        <v>1957</v>
      </c>
      <c r="B2018" s="138">
        <f>'Cap Outlay Deprec 26'!D13</f>
        <v>34499</v>
      </c>
      <c r="D2018" s="2" t="str">
        <f t="shared" si="30"/>
        <v>Error?</v>
      </c>
    </row>
    <row r="2019" spans="1:4" x14ac:dyDescent="0.2">
      <c r="A2019" s="5">
        <v>1958</v>
      </c>
      <c r="B2019" s="138">
        <f>'Cap Outlay Deprec 26'!D16</f>
        <v>202454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1553417</v>
      </c>
      <c r="C2026" s="2" t="s">
        <v>594</v>
      </c>
      <c r="D2026" s="2" t="str">
        <f t="shared" si="30"/>
        <v>Error?</v>
      </c>
    </row>
    <row r="2027" spans="1:4" x14ac:dyDescent="0.2">
      <c r="A2027" s="5">
        <v>1966</v>
      </c>
      <c r="B2027" s="138">
        <f>'Cap Outlay Deprec 26'!F8</f>
        <v>26799646</v>
      </c>
      <c r="C2027" s="2" t="s">
        <v>594</v>
      </c>
      <c r="D2027" s="2" t="str">
        <f t="shared" si="30"/>
        <v>Error?</v>
      </c>
    </row>
    <row r="2028" spans="1:4" x14ac:dyDescent="0.2">
      <c r="A2028" s="5">
        <v>1967</v>
      </c>
      <c r="B2028" s="138">
        <f>'Cap Outlay Deprec 26'!F10</f>
        <v>823201</v>
      </c>
      <c r="C2028" s="2" t="s">
        <v>594</v>
      </c>
      <c r="D2028" s="2" t="str">
        <f t="shared" si="30"/>
        <v>Error?</v>
      </c>
    </row>
    <row r="2029" spans="1:4" x14ac:dyDescent="0.2">
      <c r="A2029" s="5">
        <v>1968</v>
      </c>
      <c r="B2029" s="138">
        <f>'Cap Outlay Deprec 26'!F12</f>
        <v>2501620</v>
      </c>
      <c r="C2029" s="2" t="s">
        <v>594</v>
      </c>
      <c r="D2029" s="2" t="str">
        <f t="shared" si="30"/>
        <v>Error?</v>
      </c>
    </row>
    <row r="2030" spans="1:4" x14ac:dyDescent="0.2">
      <c r="A2030" s="5">
        <v>1969</v>
      </c>
      <c r="B2030" s="138">
        <f>'Cap Outlay Deprec 26'!F13</f>
        <v>203013</v>
      </c>
      <c r="C2030" s="2" t="s">
        <v>594</v>
      </c>
      <c r="D2030" s="2" t="str">
        <f t="shared" si="30"/>
        <v>Error?</v>
      </c>
    </row>
    <row r="2031" spans="1:4" x14ac:dyDescent="0.2">
      <c r="A2031" s="5">
        <v>1970</v>
      </c>
      <c r="B2031" s="138">
        <f>'Cap Outlay Deprec 26'!F16</f>
        <v>31880897</v>
      </c>
      <c r="C2031" s="2" t="s">
        <v>594</v>
      </c>
      <c r="D2031" s="2" t="str">
        <f t="shared" si="30"/>
        <v>Error?</v>
      </c>
    </row>
    <row r="2032" spans="1:4" x14ac:dyDescent="0.2">
      <c r="A2032" s="10">
        <v>1971</v>
      </c>
      <c r="D2032" s="2" t="str">
        <f t="shared" si="30"/>
        <v>OK</v>
      </c>
    </row>
    <row r="2033" spans="1:4" x14ac:dyDescent="0.2">
      <c r="A2033" s="5">
        <v>1972</v>
      </c>
      <c r="B2033" s="138">
        <f>'Cap Outlay Deprec 26'!H8</f>
        <v>10160245</v>
      </c>
      <c r="D2033" s="2" t="str">
        <f t="shared" si="30"/>
        <v>Error?</v>
      </c>
    </row>
    <row r="2034" spans="1:4" x14ac:dyDescent="0.2">
      <c r="A2034" s="5">
        <v>1973</v>
      </c>
      <c r="B2034" s="138">
        <f>'Cap Outlay Deprec 26'!H10</f>
        <v>605532</v>
      </c>
      <c r="D2034" s="2" t="str">
        <f t="shared" si="30"/>
        <v>Error?</v>
      </c>
    </row>
    <row r="2035" spans="1:4" x14ac:dyDescent="0.2">
      <c r="A2035" s="5">
        <v>1974</v>
      </c>
      <c r="B2035" s="138">
        <f>'Cap Outlay Deprec 26'!H12</f>
        <v>1989539</v>
      </c>
      <c r="D2035" s="2" t="str">
        <f t="shared" si="30"/>
        <v>Error?</v>
      </c>
    </row>
    <row r="2036" spans="1:4" x14ac:dyDescent="0.2">
      <c r="A2036" s="5">
        <v>1975</v>
      </c>
      <c r="B2036" s="138">
        <f>'Cap Outlay Deprec 26'!H13</f>
        <v>140075</v>
      </c>
      <c r="D2036" s="2" t="str">
        <f t="shared" si="30"/>
        <v>Error?</v>
      </c>
    </row>
    <row r="2037" spans="1:4" x14ac:dyDescent="0.2">
      <c r="A2037" s="5">
        <v>1976</v>
      </c>
      <c r="B2037" s="138">
        <f>'Cap Outlay Deprec 26'!H16</f>
        <v>12895391</v>
      </c>
      <c r="C2037" s="2" t="s">
        <v>594</v>
      </c>
      <c r="D2037" s="2" t="str">
        <f t="shared" si="30"/>
        <v>Error?</v>
      </c>
    </row>
    <row r="2038" spans="1:4" x14ac:dyDescent="0.2">
      <c r="A2038" s="10">
        <v>1977</v>
      </c>
      <c r="D2038" s="2" t="str">
        <f t="shared" si="30"/>
        <v>OK</v>
      </c>
    </row>
    <row r="2039" spans="1:4" x14ac:dyDescent="0.2">
      <c r="A2039" s="5">
        <v>1978</v>
      </c>
      <c r="B2039" s="138">
        <f>'Cap Outlay Deprec 26'!I8</f>
        <v>564555</v>
      </c>
      <c r="D2039" s="2" t="str">
        <f t="shared" si="30"/>
        <v>Error?</v>
      </c>
    </row>
    <row r="2040" spans="1:4" x14ac:dyDescent="0.2">
      <c r="A2040" s="5">
        <v>1979</v>
      </c>
      <c r="B2040" s="138">
        <f>'Cap Outlay Deprec 26'!I10</f>
        <v>27492</v>
      </c>
      <c r="D2040" s="2" t="str">
        <f t="shared" si="30"/>
        <v>Error?</v>
      </c>
    </row>
    <row r="2041" spans="1:4" x14ac:dyDescent="0.2">
      <c r="A2041" s="5">
        <v>1980</v>
      </c>
      <c r="B2041" s="138">
        <f>'Cap Outlay Deprec 26'!I12</f>
        <v>131205</v>
      </c>
      <c r="D2041" s="2" t="str">
        <f t="shared" si="30"/>
        <v>Error?</v>
      </c>
    </row>
    <row r="2042" spans="1:4" x14ac:dyDescent="0.2">
      <c r="A2042" s="5">
        <v>1981</v>
      </c>
      <c r="B2042" s="138">
        <f>'Cap Outlay Deprec 26'!I13</f>
        <v>16380</v>
      </c>
      <c r="D2042" s="2" t="str">
        <f t="shared" si="30"/>
        <v>Error?</v>
      </c>
    </row>
    <row r="2043" spans="1:4" x14ac:dyDescent="0.2">
      <c r="A2043" s="5">
        <v>1982</v>
      </c>
      <c r="B2043" s="138">
        <f>'Cap Outlay Deprec 26'!I16</f>
        <v>739632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10724800</v>
      </c>
      <c r="C2051" s="2" t="s">
        <v>594</v>
      </c>
      <c r="D2051" s="2" t="str">
        <f t="shared" si="31"/>
        <v>Error?</v>
      </c>
    </row>
    <row r="2052" spans="1:4" x14ac:dyDescent="0.2">
      <c r="A2052" s="5">
        <v>1991</v>
      </c>
      <c r="B2052" s="138">
        <f>'Cap Outlay Deprec 26'!K10</f>
        <v>633024</v>
      </c>
      <c r="C2052" s="2" t="s">
        <v>594</v>
      </c>
      <c r="D2052" s="2" t="str">
        <f t="shared" si="31"/>
        <v>Error?</v>
      </c>
    </row>
    <row r="2053" spans="1:4" x14ac:dyDescent="0.2">
      <c r="A2053" s="5">
        <v>1992</v>
      </c>
      <c r="B2053" s="138">
        <f>'Cap Outlay Deprec 26'!K12</f>
        <v>2120744</v>
      </c>
      <c r="C2053" s="2" t="s">
        <v>594</v>
      </c>
      <c r="D2053" s="2" t="str">
        <f t="shared" si="31"/>
        <v>Error?</v>
      </c>
    </row>
    <row r="2054" spans="1:4" x14ac:dyDescent="0.2">
      <c r="A2054" s="5">
        <v>1993</v>
      </c>
      <c r="B2054" s="138">
        <f>'Cap Outlay Deprec 26'!K13</f>
        <v>156455</v>
      </c>
      <c r="C2054" s="2" t="s">
        <v>594</v>
      </c>
      <c r="D2054" s="2" t="str">
        <f t="shared" si="31"/>
        <v>Error?</v>
      </c>
    </row>
    <row r="2055" spans="1:4" x14ac:dyDescent="0.2">
      <c r="A2055" s="5">
        <v>1994</v>
      </c>
      <c r="B2055" s="138">
        <f>'Cap Outlay Deprec 26'!K16</f>
        <v>13635023</v>
      </c>
      <c r="C2055" s="2" t="s">
        <v>594</v>
      </c>
      <c r="D2055" s="2" t="str">
        <f t="shared" si="31"/>
        <v>Error?</v>
      </c>
    </row>
    <row r="2056" spans="1:4" x14ac:dyDescent="0.2">
      <c r="A2056" s="5">
        <v>1995</v>
      </c>
      <c r="B2056" s="138">
        <f>'Cap Outlay Deprec 26'!L5</f>
        <v>1553417</v>
      </c>
      <c r="C2056" s="2" t="s">
        <v>594</v>
      </c>
      <c r="D2056" s="2" t="str">
        <f t="shared" si="31"/>
        <v>Error?</v>
      </c>
    </row>
    <row r="2057" spans="1:4" x14ac:dyDescent="0.2">
      <c r="A2057" s="5">
        <v>1996</v>
      </c>
      <c r="B2057" s="138">
        <f>'Cap Outlay Deprec 26'!L8</f>
        <v>16074846</v>
      </c>
      <c r="C2057" s="2" t="s">
        <v>594</v>
      </c>
      <c r="D2057" s="2" t="str">
        <f t="shared" si="31"/>
        <v>Error?</v>
      </c>
    </row>
    <row r="2058" spans="1:4" x14ac:dyDescent="0.2">
      <c r="A2058" s="5">
        <v>1997</v>
      </c>
      <c r="B2058" s="138">
        <f>'Cap Outlay Deprec 26'!L10</f>
        <v>190177</v>
      </c>
      <c r="C2058" s="2" t="s">
        <v>594</v>
      </c>
      <c r="D2058" s="2" t="str">
        <f t="shared" si="31"/>
        <v>Error?</v>
      </c>
    </row>
    <row r="2059" spans="1:4" x14ac:dyDescent="0.2">
      <c r="A2059" s="5">
        <v>1998</v>
      </c>
      <c r="B2059" s="138">
        <f>'Cap Outlay Deprec 26'!L12</f>
        <v>380876</v>
      </c>
      <c r="C2059" s="2" t="s">
        <v>594</v>
      </c>
      <c r="D2059" s="2" t="str">
        <f t="shared" si="31"/>
        <v>Error?</v>
      </c>
    </row>
    <row r="2060" spans="1:4" x14ac:dyDescent="0.2">
      <c r="A2060" s="5">
        <v>1999</v>
      </c>
      <c r="B2060" s="138">
        <f>'Cap Outlay Deprec 26'!L13</f>
        <v>46558</v>
      </c>
      <c r="C2060" s="2" t="s">
        <v>594</v>
      </c>
      <c r="D2060" s="2" t="str">
        <f t="shared" si="31"/>
        <v>Error?</v>
      </c>
    </row>
    <row r="2061" spans="1:4" x14ac:dyDescent="0.2">
      <c r="A2061" s="5">
        <v>2000</v>
      </c>
      <c r="B2061" s="138">
        <f>'Cap Outlay Deprec 26'!L16</f>
        <v>18245874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1286291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408206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259050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3646463</v>
      </c>
      <c r="C2551" s="2" t="s">
        <v>594</v>
      </c>
      <c r="D2551" s="2" t="str">
        <f t="shared" si="38"/>
        <v>Error?</v>
      </c>
    </row>
    <row r="2552" spans="1:4" x14ac:dyDescent="0.2">
      <c r="A2552" s="10">
        <v>2491</v>
      </c>
      <c r="D2552" s="2" t="str">
        <f t="shared" si="38"/>
        <v>OK</v>
      </c>
    </row>
    <row r="2553" spans="1:4" x14ac:dyDescent="0.2">
      <c r="A2553" s="5">
        <v>2492</v>
      </c>
      <c r="B2553" s="138">
        <f>'Acct Summary 7-8'!C6</f>
        <v>5920171</v>
      </c>
      <c r="C2553" s="2" t="s">
        <v>594</v>
      </c>
      <c r="D2553" s="2" t="str">
        <f t="shared" si="38"/>
        <v>Error?</v>
      </c>
    </row>
    <row r="2554" spans="1:4" x14ac:dyDescent="0.2">
      <c r="A2554" s="5">
        <v>2493</v>
      </c>
      <c r="B2554" s="138">
        <f>'Acct Summary 7-8'!C7</f>
        <v>1762412</v>
      </c>
      <c r="C2554" s="2" t="s">
        <v>594</v>
      </c>
      <c r="D2554" s="2" t="str">
        <f t="shared" si="38"/>
        <v>Error?</v>
      </c>
    </row>
    <row r="2555" spans="1:4" x14ac:dyDescent="0.2">
      <c r="A2555" s="5">
        <v>2494</v>
      </c>
      <c r="B2555" s="138">
        <f>'Acct Summary 7-8'!C8</f>
        <v>11329046</v>
      </c>
      <c r="C2555" s="2" t="s">
        <v>594</v>
      </c>
      <c r="D2555" s="2" t="str">
        <f t="shared" si="38"/>
        <v>Error?</v>
      </c>
    </row>
    <row r="2556" spans="1:4" x14ac:dyDescent="0.2">
      <c r="A2556" s="5">
        <v>2495</v>
      </c>
      <c r="B2556" s="138">
        <f>'Acct Summary 7-8'!C12</f>
        <v>6237225</v>
      </c>
      <c r="C2556" s="2" t="s">
        <v>594</v>
      </c>
      <c r="D2556" s="2" t="str">
        <f t="shared" si="38"/>
        <v>Error?</v>
      </c>
    </row>
    <row r="2557" spans="1:4" x14ac:dyDescent="0.2">
      <c r="A2557" s="5">
        <v>2496</v>
      </c>
      <c r="B2557" s="138">
        <f>'Acct Summary 7-8'!C13</f>
        <v>2526316</v>
      </c>
      <c r="C2557" s="2" t="s">
        <v>594</v>
      </c>
      <c r="D2557" s="2" t="str">
        <f t="shared" si="38"/>
        <v>Error?</v>
      </c>
    </row>
    <row r="2558" spans="1:4" x14ac:dyDescent="0.2">
      <c r="A2558" s="5">
        <v>2497</v>
      </c>
      <c r="B2558" s="138">
        <f>'Acct Summary 7-8'!C14</f>
        <v>39554</v>
      </c>
      <c r="C2558" s="2" t="s">
        <v>594</v>
      </c>
      <c r="D2558" s="2" t="str">
        <f t="shared" si="38"/>
        <v>Error?</v>
      </c>
    </row>
    <row r="2559" spans="1:4" x14ac:dyDescent="0.2">
      <c r="A2559" s="5">
        <v>2498</v>
      </c>
      <c r="B2559" s="138">
        <f>'Acct Summary 7-8'!C15</f>
        <v>1286291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10089386</v>
      </c>
      <c r="C2561" s="2" t="s">
        <v>594</v>
      </c>
      <c r="D2561" s="2" t="str">
        <f t="shared" si="39"/>
        <v>Error?</v>
      </c>
    </row>
    <row r="2562" spans="1:4" x14ac:dyDescent="0.2">
      <c r="A2562" s="5">
        <v>2501</v>
      </c>
      <c r="B2562" s="138">
        <f>'Acct Summary 7-8'!C20</f>
        <v>1239660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709519</v>
      </c>
      <c r="C2564" s="2" t="s">
        <v>594</v>
      </c>
      <c r="D2564" s="2" t="str">
        <f t="shared" si="39"/>
        <v>Error?</v>
      </c>
    </row>
    <row r="2565" spans="1:4" x14ac:dyDescent="0.2">
      <c r="A2565" s="10">
        <v>2504</v>
      </c>
      <c r="D2565" s="2" t="str">
        <f t="shared" si="39"/>
        <v>OK</v>
      </c>
    </row>
    <row r="2566" spans="1:4" x14ac:dyDescent="0.2">
      <c r="A2566" s="5">
        <v>2505</v>
      </c>
      <c r="B2566" s="138">
        <f>'Acct Summary 7-8'!D6</f>
        <v>600000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1309519</v>
      </c>
      <c r="C2568" s="2" t="s">
        <v>594</v>
      </c>
      <c r="D2568" s="2" t="str">
        <f t="shared" si="39"/>
        <v>Error?</v>
      </c>
    </row>
    <row r="2569" spans="1:4" x14ac:dyDescent="0.2">
      <c r="A2569" s="5">
        <v>2508</v>
      </c>
      <c r="B2569" s="138">
        <f>'Acct Summary 7-8'!D13</f>
        <v>1300296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1300296</v>
      </c>
      <c r="C2573" s="2" t="s">
        <v>594</v>
      </c>
      <c r="D2573" s="2" t="str">
        <f t="shared" si="39"/>
        <v>Error?</v>
      </c>
    </row>
    <row r="2574" spans="1:4" x14ac:dyDescent="0.2">
      <c r="A2574" s="5">
        <v>2513</v>
      </c>
      <c r="B2574" s="138">
        <f>'Acct Summary 7-8'!D20</f>
        <v>9223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301759</v>
      </c>
      <c r="C2591" s="2" t="s">
        <v>594</v>
      </c>
      <c r="D2591" s="2" t="str">
        <f t="shared" si="39"/>
        <v>Error?</v>
      </c>
    </row>
    <row r="2592" spans="1:4" x14ac:dyDescent="0.2">
      <c r="A2592" s="10">
        <v>2531</v>
      </c>
      <c r="D2592" s="2" t="str">
        <f t="shared" si="39"/>
        <v>OK</v>
      </c>
    </row>
    <row r="2593" spans="1:4" x14ac:dyDescent="0.2">
      <c r="A2593" s="5">
        <v>2532</v>
      </c>
      <c r="B2593" s="138">
        <f>'Acct Summary 7-8'!F6</f>
        <v>589831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891590</v>
      </c>
      <c r="C2595" s="2" t="s">
        <v>594</v>
      </c>
      <c r="D2595" s="2" t="str">
        <f t="shared" si="39"/>
        <v>Error?</v>
      </c>
    </row>
    <row r="2596" spans="1:4" x14ac:dyDescent="0.2">
      <c r="A2596" s="5">
        <v>2535</v>
      </c>
      <c r="B2596" s="138">
        <f>'Acct Summary 7-8'!F13</f>
        <v>649466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649466</v>
      </c>
      <c r="C2600" s="2" t="s">
        <v>594</v>
      </c>
      <c r="D2600" s="2" t="str">
        <f t="shared" si="39"/>
        <v>Error?</v>
      </c>
    </row>
    <row r="2601" spans="1:4" x14ac:dyDescent="0.2">
      <c r="A2601" s="5">
        <v>2540</v>
      </c>
      <c r="B2601" s="138">
        <f>'Acct Summary 7-8'!F20</f>
        <v>242124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424738</v>
      </c>
      <c r="C2603" s="2" t="s">
        <v>594</v>
      </c>
      <c r="D2603" s="2" t="str">
        <f t="shared" si="39"/>
        <v>Error?</v>
      </c>
    </row>
    <row r="2604" spans="1:4" x14ac:dyDescent="0.2">
      <c r="A2604" s="5">
        <v>2543</v>
      </c>
      <c r="B2604" s="138">
        <f>'Acct Summary 7-8'!G6</f>
        <v>120000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544738</v>
      </c>
      <c r="C2606" s="2" t="s">
        <v>594</v>
      </c>
      <c r="D2606" s="2" t="str">
        <f t="shared" si="39"/>
        <v>Error?</v>
      </c>
    </row>
    <row r="2607" spans="1:4" x14ac:dyDescent="0.2">
      <c r="A2607" s="5">
        <v>2546</v>
      </c>
      <c r="B2607" s="138">
        <f>'Acct Summary 7-8'!G12</f>
        <v>161135</v>
      </c>
      <c r="C2607" s="2" t="s">
        <v>594</v>
      </c>
      <c r="D2607" s="2" t="str">
        <f t="shared" si="39"/>
        <v>Error?</v>
      </c>
    </row>
    <row r="2608" spans="1:4" x14ac:dyDescent="0.2">
      <c r="A2608" s="5">
        <v>2547</v>
      </c>
      <c r="B2608" s="138">
        <f>'Acct Summary 7-8'!G13</f>
        <v>219986</v>
      </c>
      <c r="C2608" s="2" t="s">
        <v>594</v>
      </c>
      <c r="D2608" s="2" t="str">
        <f t="shared" si="39"/>
        <v>Error?</v>
      </c>
    </row>
    <row r="2609" spans="1:4" x14ac:dyDescent="0.2">
      <c r="A2609" s="5">
        <v>2548</v>
      </c>
      <c r="B2609" s="138">
        <f>'Acct Summary 7-8'!G14</f>
        <v>7284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388405</v>
      </c>
      <c r="C2612" s="2" t="s">
        <v>594</v>
      </c>
      <c r="D2612" s="2" t="str">
        <f t="shared" si="39"/>
        <v>Error?</v>
      </c>
    </row>
    <row r="2613" spans="1:4" x14ac:dyDescent="0.2">
      <c r="A2613" s="5">
        <v>2552</v>
      </c>
      <c r="B2613" s="138">
        <f>'Acct Summary 7-8'!G20</f>
        <v>156333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965981</v>
      </c>
      <c r="C2630" s="2" t="s">
        <v>594</v>
      </c>
      <c r="D2630" s="2" t="str">
        <f t="shared" si="40"/>
        <v>Error?</v>
      </c>
    </row>
    <row r="2631" spans="1:4" x14ac:dyDescent="0.2">
      <c r="A2631" s="5">
        <v>2570</v>
      </c>
      <c r="B2631" s="138">
        <f>'Acct Summary 7-8'!E6</f>
        <v>151387</v>
      </c>
      <c r="C2631" s="2" t="s">
        <v>594</v>
      </c>
      <c r="D2631" s="2" t="str">
        <f t="shared" si="40"/>
        <v>Error?</v>
      </c>
    </row>
    <row r="2632" spans="1:4" x14ac:dyDescent="0.2">
      <c r="A2632" s="5">
        <v>2571</v>
      </c>
      <c r="B2632" s="138">
        <f>'Acct Summary 7-8'!E8</f>
        <v>1117368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1207437</v>
      </c>
      <c r="C2634" s="2" t="s">
        <v>594</v>
      </c>
      <c r="D2634" s="2" t="str">
        <f t="shared" si="40"/>
        <v>Error?</v>
      </c>
    </row>
    <row r="2635" spans="1:4" x14ac:dyDescent="0.2">
      <c r="A2635" s="5">
        <v>2574</v>
      </c>
      <c r="B2635" s="138">
        <f>'Acct Summary 7-8'!E17</f>
        <v>1207437</v>
      </c>
      <c r="C2635" s="2" t="s">
        <v>594</v>
      </c>
      <c r="D2635" s="2" t="str">
        <f t="shared" si="40"/>
        <v>Error?</v>
      </c>
    </row>
    <row r="2636" spans="1:4" x14ac:dyDescent="0.2">
      <c r="A2636" s="5">
        <v>2575</v>
      </c>
      <c r="B2636" s="138">
        <f>'Acct Summary 7-8'!E20</f>
        <v>-90069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123</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123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1286291</v>
      </c>
      <c r="C2789" s="2" t="s">
        <v>594</v>
      </c>
      <c r="D2789" s="2" t="str">
        <f t="shared" si="42"/>
        <v>Error?</v>
      </c>
    </row>
    <row r="2790" spans="1:4" x14ac:dyDescent="0.2">
      <c r="A2790" s="5">
        <v>2729</v>
      </c>
      <c r="B2790" s="138">
        <f>'Expenditures 15-22'!E102</f>
        <v>1286291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2934033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224174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2934033</v>
      </c>
      <c r="D2912" s="2" t="str">
        <f t="shared" si="44"/>
        <v>Error?</v>
      </c>
    </row>
    <row r="2913" spans="1:4" x14ac:dyDescent="0.2">
      <c r="A2913" s="5">
        <v>2852</v>
      </c>
      <c r="B2913" s="138">
        <f>'Assets-Liab 5-6'!I41</f>
        <v>2934033</v>
      </c>
      <c r="C2913" s="2" t="s">
        <v>594</v>
      </c>
      <c r="D2913" s="2" t="str">
        <f t="shared" si="44"/>
        <v>Error?</v>
      </c>
    </row>
    <row r="2914" spans="1:4" x14ac:dyDescent="0.2">
      <c r="A2914" s="5">
        <v>2853</v>
      </c>
      <c r="B2914" s="138">
        <f>'Assets-Liab 5-6'!L33</f>
        <v>224174</v>
      </c>
      <c r="D2914" s="2" t="str">
        <f t="shared" si="44"/>
        <v>Error?</v>
      </c>
    </row>
    <row r="2915" spans="1:4" x14ac:dyDescent="0.2">
      <c r="A2915" s="10">
        <v>2854</v>
      </c>
      <c r="D2915" s="2" t="str">
        <f t="shared" si="44"/>
        <v>OK</v>
      </c>
    </row>
    <row r="2916" spans="1:4" x14ac:dyDescent="0.2">
      <c r="A2916" s="5">
        <v>2855</v>
      </c>
      <c r="B2916" s="138">
        <f>'Assets-Liab 5-6'!L34</f>
        <v>224174</v>
      </c>
      <c r="C2916" s="2" t="s">
        <v>594</v>
      </c>
      <c r="D2916" s="2" t="str">
        <f t="shared" si="44"/>
        <v>Error?</v>
      </c>
    </row>
    <row r="2917" spans="1:4" x14ac:dyDescent="0.2">
      <c r="A2917" s="5">
        <v>2856</v>
      </c>
      <c r="B2917" s="138">
        <f>'Assets-Liab 5-6'!L41</f>
        <v>224174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34603</v>
      </c>
      <c r="D2949" s="2" t="str">
        <f t="shared" si="45"/>
        <v>Error?</v>
      </c>
    </row>
    <row r="2950" spans="1:4" x14ac:dyDescent="0.2">
      <c r="A2950" s="5">
        <v>2889</v>
      </c>
      <c r="B2950" s="138">
        <f>'Expenditures 15-22'!E79</f>
        <v>1133662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96026</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22000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34603</v>
      </c>
      <c r="C2973" s="2" t="s">
        <v>594</v>
      </c>
      <c r="D2973" s="2" t="str">
        <f t="shared" si="45"/>
        <v>Error?</v>
      </c>
    </row>
    <row r="2974" spans="1:4" x14ac:dyDescent="0.2">
      <c r="A2974" s="5">
        <v>2913</v>
      </c>
      <c r="B2974" s="138">
        <f>'Expenditures 15-22'!K79</f>
        <v>1133662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96026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22000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360</v>
      </c>
      <c r="D3055" s="2" t="str">
        <f t="shared" si="46"/>
        <v>Error?</v>
      </c>
    </row>
    <row r="3056" spans="1:4" x14ac:dyDescent="0.2">
      <c r="A3056" s="5">
        <v>2995</v>
      </c>
      <c r="B3056" s="138">
        <f>'Expenditures 15-22'!D10</f>
        <v>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365</v>
      </c>
      <c r="C3062" s="2" t="s">
        <v>594</v>
      </c>
      <c r="D3062" s="2" t="str">
        <f t="shared" si="46"/>
        <v>Error?</v>
      </c>
    </row>
    <row r="3063" spans="1:4" x14ac:dyDescent="0.2">
      <c r="A3063" s="10">
        <v>3002</v>
      </c>
      <c r="D3063" s="2" t="str">
        <f t="shared" si="46"/>
        <v>OK</v>
      </c>
    </row>
    <row r="3064" spans="1:4" x14ac:dyDescent="0.2">
      <c r="A3064" s="5">
        <v>3003</v>
      </c>
      <c r="B3064" s="138">
        <f>'Expenditures 15-22'!D219</f>
        <v>4</v>
      </c>
      <c r="D3064" s="2" t="str">
        <f t="shared" si="46"/>
        <v>Error?</v>
      </c>
    </row>
    <row r="3065" spans="1:4" x14ac:dyDescent="0.2">
      <c r="A3065" s="5">
        <v>3004</v>
      </c>
      <c r="B3065" s="138">
        <f>'Expenditures 15-22'!K219</f>
        <v>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2821000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1239660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9223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242124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156333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2821000</v>
      </c>
      <c r="C3274" s="2" t="s">
        <v>594</v>
      </c>
      <c r="D3274" s="2" t="str">
        <f t="shared" si="50"/>
        <v>Error?</v>
      </c>
    </row>
    <row r="3275" spans="1:4" x14ac:dyDescent="0.2">
      <c r="A3275" s="5">
        <v>3214</v>
      </c>
      <c r="B3275" s="138">
        <f>'Acct Summary 7-8'!E75</f>
        <v>2715000</v>
      </c>
      <c r="D3275" s="2" t="str">
        <f t="shared" si="50"/>
        <v>Error?</v>
      </c>
    </row>
    <row r="3276" spans="1:4" x14ac:dyDescent="0.2">
      <c r="A3276" s="5">
        <v>3215</v>
      </c>
      <c r="B3276" s="138">
        <f>'Acct Summary 7-8'!E76</f>
        <v>2715000</v>
      </c>
      <c r="C3276" s="2" t="s">
        <v>594</v>
      </c>
      <c r="D3276" s="2" t="str">
        <f t="shared" si="50"/>
        <v>Error?</v>
      </c>
    </row>
    <row r="3277" spans="1:4" x14ac:dyDescent="0.2">
      <c r="A3277" s="5">
        <v>3216</v>
      </c>
      <c r="B3277" s="138">
        <f>'Acct Summary 7-8'!E77</f>
        <v>106000</v>
      </c>
      <c r="C3277" s="2" t="s">
        <v>594</v>
      </c>
      <c r="D3277" s="2" t="str">
        <f t="shared" si="50"/>
        <v>Error?</v>
      </c>
    </row>
    <row r="3278" spans="1:4" x14ac:dyDescent="0.2">
      <c r="A3278" s="5">
        <v>3217</v>
      </c>
      <c r="B3278" s="138">
        <f>'Acct Summary 7-8'!E78</f>
        <v>15931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123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2227900</v>
      </c>
      <c r="C3317" s="2" t="s">
        <v>594</v>
      </c>
      <c r="D3317" s="2" t="str">
        <f t="shared" si="50"/>
        <v>Error?</v>
      </c>
    </row>
    <row r="3318" spans="1:4" x14ac:dyDescent="0.2">
      <c r="A3318" s="5">
        <v>3257</v>
      </c>
      <c r="B3318" s="138">
        <f>'Acct Summary 7-8'!I76</f>
        <v>20550</v>
      </c>
      <c r="C3318" s="2" t="s">
        <v>594</v>
      </c>
      <c r="D3318" s="2" t="str">
        <f t="shared" si="50"/>
        <v>Error?</v>
      </c>
    </row>
    <row r="3319" spans="1:4" x14ac:dyDescent="0.2">
      <c r="A3319" s="5">
        <v>3258</v>
      </c>
      <c r="B3319" s="138">
        <f>'Acct Summary 7-8'!I77</f>
        <v>2207350</v>
      </c>
      <c r="C3319" s="2" t="s">
        <v>594</v>
      </c>
      <c r="D3319" s="2" t="str">
        <f t="shared" si="50"/>
        <v>Error?</v>
      </c>
    </row>
    <row r="3320" spans="1:4" x14ac:dyDescent="0.2">
      <c r="A3320" s="5">
        <v>3259</v>
      </c>
      <c r="B3320" s="138">
        <f>'Acct Summary 7-8'!I78</f>
        <v>2207350</v>
      </c>
      <c r="C3320" s="2" t="s">
        <v>594</v>
      </c>
      <c r="D3320" s="2" t="str">
        <f t="shared" si="50"/>
        <v>Error?</v>
      </c>
    </row>
    <row r="3321" spans="1:4" x14ac:dyDescent="0.2">
      <c r="A3321" s="5">
        <v>3260</v>
      </c>
      <c r="B3321" s="138">
        <f>'Acct Summary 7-8'!I79</f>
        <v>726683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2934033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1219899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106733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1331163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58278</v>
      </c>
      <c r="D3387" s="2" t="str">
        <f t="shared" si="51"/>
        <v>Error?</v>
      </c>
    </row>
    <row r="3388" spans="1:4" x14ac:dyDescent="0.2">
      <c r="A3388" s="5">
        <v>3327</v>
      </c>
      <c r="B3388" s="138">
        <f>'Expenditures 15-22'!D217</f>
        <v>76491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58278</v>
      </c>
      <c r="C3390" s="2" t="s">
        <v>594</v>
      </c>
      <c r="D3390" s="2" t="str">
        <f t="shared" si="51"/>
        <v>Error?</v>
      </c>
    </row>
    <row r="3391" spans="1:4" x14ac:dyDescent="0.2">
      <c r="A3391" s="5">
        <v>3330</v>
      </c>
      <c r="B3391" s="138">
        <f>'Expenditures 15-22'!K217</f>
        <v>76491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18310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947140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766550</v>
      </c>
      <c r="D3417" s="2" t="str">
        <f t="shared" si="52"/>
        <v>Error?</v>
      </c>
    </row>
    <row r="3418" spans="1:4" x14ac:dyDescent="0.2">
      <c r="A3418" s="10">
        <v>3357</v>
      </c>
      <c r="D3418" s="2" t="str">
        <f t="shared" si="52"/>
        <v>OK</v>
      </c>
    </row>
    <row r="3419" spans="1:4" x14ac:dyDescent="0.2">
      <c r="A3419" s="5">
        <v>3358</v>
      </c>
      <c r="B3419" s="138">
        <f>'Assets-Liab 5-6'!F4</f>
        <v>712521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259050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2934033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224174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265005</v>
      </c>
      <c r="C3449" s="2" t="s">
        <v>594</v>
      </c>
      <c r="D3449" s="2" t="str">
        <f t="shared" si="52"/>
        <v>Error?</v>
      </c>
    </row>
    <row r="3450" spans="1:4" x14ac:dyDescent="0.2">
      <c r="A3450" s="5">
        <v>3389</v>
      </c>
      <c r="B3450" s="138">
        <f>'Tax Sched 23'!E16</f>
        <v>265005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v>
      </c>
      <c r="D3567" s="2" t="str">
        <f t="shared" si="54"/>
        <v>Error?</v>
      </c>
    </row>
    <row r="3568" spans="1:4" x14ac:dyDescent="0.2">
      <c r="A3568" s="5">
        <v>3507</v>
      </c>
      <c r="B3568" s="138">
        <f>'Assets-Liab 5-6'!K41</f>
        <v>3</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643801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11972847</v>
      </c>
      <c r="C4122" s="2" t="s">
        <v>594</v>
      </c>
      <c r="D4122" s="2" t="str">
        <f t="shared" si="63"/>
        <v>Error?</v>
      </c>
    </row>
    <row r="4123" spans="1:4" x14ac:dyDescent="0.2">
      <c r="A4123" s="5">
        <v>4062</v>
      </c>
      <c r="B4123" s="138">
        <f>'Acct Summary 7-8'!D10</f>
        <v>1309519</v>
      </c>
      <c r="C4123" s="2" t="s">
        <v>594</v>
      </c>
      <c r="D4123" s="2" t="str">
        <f t="shared" si="63"/>
        <v>Error?</v>
      </c>
    </row>
    <row r="4124" spans="1:4" x14ac:dyDescent="0.2">
      <c r="A4124" s="5">
        <v>4063</v>
      </c>
      <c r="B4124" s="138">
        <f>'Acct Summary 7-8'!E10</f>
        <v>1117368</v>
      </c>
      <c r="C4124" s="2" t="s">
        <v>594</v>
      </c>
      <c r="D4124" s="2" t="str">
        <f t="shared" si="63"/>
        <v>Error?</v>
      </c>
    </row>
    <row r="4125" spans="1:4" x14ac:dyDescent="0.2">
      <c r="A4125" s="5">
        <v>4064</v>
      </c>
      <c r="B4125" s="138">
        <f>'Acct Summary 7-8'!F10</f>
        <v>891590</v>
      </c>
      <c r="C4125" s="2" t="s">
        <v>594</v>
      </c>
      <c r="D4125" s="2" t="str">
        <f t="shared" si="63"/>
        <v>Error?</v>
      </c>
    </row>
    <row r="4126" spans="1:4" x14ac:dyDescent="0.2">
      <c r="A4126" s="5">
        <v>4065</v>
      </c>
      <c r="B4126" s="138">
        <f>'Acct Summary 7-8'!G10</f>
        <v>544738</v>
      </c>
      <c r="C4126" s="2" t="s">
        <v>594</v>
      </c>
      <c r="D4126" s="2" t="str">
        <f t="shared" si="63"/>
        <v>Error?</v>
      </c>
    </row>
    <row r="4127" spans="1:4" x14ac:dyDescent="0.2">
      <c r="A4127" s="5">
        <v>4066</v>
      </c>
      <c r="B4127" s="138">
        <f>'Acct Summary 7-8'!H10</f>
        <v>123</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643801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10733187</v>
      </c>
      <c r="C4136" s="2" t="s">
        <v>594</v>
      </c>
      <c r="D4136" s="2" t="str">
        <f t="shared" si="63"/>
        <v>Error?</v>
      </c>
    </row>
    <row r="4137" spans="1:4" x14ac:dyDescent="0.2">
      <c r="A4137" s="5">
        <v>4076</v>
      </c>
      <c r="B4137" s="138">
        <f>'Acct Summary 7-8'!D19</f>
        <v>1300296</v>
      </c>
      <c r="C4137" s="2" t="s">
        <v>594</v>
      </c>
      <c r="D4137" s="2" t="str">
        <f t="shared" si="63"/>
        <v>Error?</v>
      </c>
    </row>
    <row r="4138" spans="1:4" x14ac:dyDescent="0.2">
      <c r="A4138" s="5">
        <v>4077</v>
      </c>
      <c r="B4138" s="138">
        <f>'Acct Summary 7-8'!E19</f>
        <v>1207437</v>
      </c>
      <c r="C4138" s="2" t="s">
        <v>594</v>
      </c>
      <c r="D4138" s="2" t="str">
        <f t="shared" si="63"/>
        <v>Error?</v>
      </c>
    </row>
    <row r="4139" spans="1:4" x14ac:dyDescent="0.2">
      <c r="A4139" s="5">
        <v>4078</v>
      </c>
      <c r="B4139" s="138">
        <f>'Acct Summary 7-8'!F19</f>
        <v>649466</v>
      </c>
      <c r="C4139" s="2" t="s">
        <v>594</v>
      </c>
      <c r="D4139" s="2" t="str">
        <f t="shared" si="63"/>
        <v>Error?</v>
      </c>
    </row>
    <row r="4140" spans="1:4" x14ac:dyDescent="0.2">
      <c r="A4140" s="5">
        <v>4079</v>
      </c>
      <c r="B4140" s="138">
        <f>'Acct Summary 7-8'!G19</f>
        <v>388405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6169930</v>
      </c>
      <c r="C4171" s="2" t="s">
        <v>594</v>
      </c>
      <c r="D4171" s="2" t="str">
        <f t="shared" si="64"/>
        <v>Error?</v>
      </c>
    </row>
    <row r="4172" spans="1:4" x14ac:dyDescent="0.2">
      <c r="A4172" s="5">
        <v>4111</v>
      </c>
      <c r="B4172" s="138">
        <f>'Short-Term Long-Term Debt 24'!J49</f>
        <v>5403380</v>
      </c>
      <c r="C4172" s="2" t="s">
        <v>594</v>
      </c>
      <c r="D4172" s="2" t="str">
        <f t="shared" si="64"/>
        <v>Error?</v>
      </c>
    </row>
    <row r="4173" spans="1:4" x14ac:dyDescent="0.2">
      <c r="A4173" s="5">
        <v>4112</v>
      </c>
      <c r="B4173" s="138">
        <f>'Short-Term Long-Term Debt 24'!H49</f>
        <v>989503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-2715000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2486.5</v>
      </c>
      <c r="C4265" s="2" t="s">
        <v>594</v>
      </c>
      <c r="D4265" s="2" t="str">
        <f t="shared" si="65"/>
        <v>Error?</v>
      </c>
      <c r="E4265" s="128"/>
    </row>
    <row r="4266" spans="1:5" x14ac:dyDescent="0.2">
      <c r="A4266" s="12">
        <v>4205</v>
      </c>
      <c r="B4266" s="138">
        <f>('FP Info 3'!F10)*100000</f>
        <v>497.3</v>
      </c>
      <c r="C4266" s="2" t="s">
        <v>594</v>
      </c>
      <c r="D4266" s="2" t="str">
        <f t="shared" si="65"/>
        <v>Error?</v>
      </c>
      <c r="E4266" s="128"/>
    </row>
    <row r="4267" spans="1:5" x14ac:dyDescent="0.2">
      <c r="A4267" s="12">
        <v>4206</v>
      </c>
      <c r="B4267" s="138">
        <f>('FP Info 3'!H10)*100000</f>
        <v>213.1</v>
      </c>
      <c r="C4267" s="2" t="s">
        <v>594</v>
      </c>
      <c r="D4267" s="2" t="str">
        <f t="shared" si="65"/>
        <v>Error?</v>
      </c>
      <c r="E4267" s="128"/>
    </row>
    <row r="4268" spans="1:5" x14ac:dyDescent="0.2">
      <c r="A4268" s="12">
        <v>4207</v>
      </c>
      <c r="B4268" s="138">
        <f>('FP Info 3'!J10)*100000</f>
        <v>3197</v>
      </c>
      <c r="C4268" s="2" t="s">
        <v>594</v>
      </c>
      <c r="D4268" s="2" t="str">
        <f t="shared" si="65"/>
        <v>Error?</v>
      </c>
    </row>
    <row r="4269" spans="1:5" x14ac:dyDescent="0.2">
      <c r="A4269" s="12">
        <v>4208</v>
      </c>
      <c r="B4269" s="138">
        <f>'FP Info 3'!J16</f>
        <v>12217915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12838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290410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46372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6877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124357295</v>
      </c>
      <c r="D4995" s="2" t="str">
        <f t="shared" si="77"/>
        <v>Error?</v>
      </c>
    </row>
    <row r="4996" spans="1:4" x14ac:dyDescent="0.2">
      <c r="A4996" s="12">
        <v>4935</v>
      </c>
      <c r="B4996" s="138">
        <f>'FP Info 3'!H31</f>
        <v>17161306.710000001</v>
      </c>
      <c r="D4996" s="2" t="str">
        <f t="shared" si="77"/>
        <v>Error?</v>
      </c>
    </row>
    <row r="4997" spans="1:4" x14ac:dyDescent="0.2">
      <c r="A4997" s="12">
        <v>4936</v>
      </c>
      <c r="B4997" s="138">
        <f>'FP Info 3'!H37</f>
        <v>6169930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3202539</v>
      </c>
      <c r="D5061" s="2" t="str">
        <f t="shared" si="78"/>
        <v>Error?</v>
      </c>
    </row>
    <row r="5062" spans="1:4" x14ac:dyDescent="0.2">
      <c r="A5062" s="10">
        <v>5001</v>
      </c>
      <c r="D5062" s="2" t="str">
        <f t="shared" si="78"/>
        <v>OK</v>
      </c>
    </row>
    <row r="5063" spans="1:4" x14ac:dyDescent="0.2">
      <c r="A5063" s="5">
        <v>5002</v>
      </c>
      <c r="B5063" s="138">
        <f>'Revenues 9-14'!C7</f>
        <v>62119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3264658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13723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13723</v>
      </c>
      <c r="C5087" s="2" t="s">
        <v>594</v>
      </c>
      <c r="D5087" s="2" t="str">
        <f t="shared" si="78"/>
        <v>Error?</v>
      </c>
    </row>
    <row r="5088" spans="1:4" x14ac:dyDescent="0.2">
      <c r="A5088" s="5">
        <v>5027</v>
      </c>
      <c r="B5088" s="138">
        <f>'Revenues 9-14'!C65</f>
        <v>83095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83095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18217</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106483</v>
      </c>
      <c r="D5101" s="2" t="str">
        <f t="shared" si="78"/>
        <v>Error?</v>
      </c>
    </row>
    <row r="5102" spans="1:4" x14ac:dyDescent="0.2">
      <c r="A5102" s="5">
        <v>5041</v>
      </c>
      <c r="B5102" s="138">
        <f>'Revenues 9-14'!C82</f>
        <v>106483</v>
      </c>
      <c r="C5102" s="2" t="s">
        <v>594</v>
      </c>
      <c r="D5102" s="2" t="str">
        <f t="shared" si="78"/>
        <v>Error?</v>
      </c>
    </row>
    <row r="5103" spans="1:4" x14ac:dyDescent="0.2">
      <c r="A5103" s="5">
        <v>5042</v>
      </c>
      <c r="B5103" s="138">
        <f>'Revenues 9-14'!C84</f>
        <v>86082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86082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15406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47454</v>
      </c>
      <c r="D5119" s="2" t="str">
        <f t="shared" ref="D5119:D5182" si="79">IF(ISBLANK(B5119),"OK",IF(A5119-B5119=0,"OK","Error?"))</f>
        <v>Error?</v>
      </c>
    </row>
    <row r="5120" spans="1:4" x14ac:dyDescent="0.2">
      <c r="A5120" s="5">
        <v>5059</v>
      </c>
      <c r="B5120" s="138">
        <f>'Revenues 9-14'!C108</f>
        <v>74205</v>
      </c>
      <c r="C5120" s="2" t="s">
        <v>594</v>
      </c>
      <c r="D5120" s="2" t="str">
        <f t="shared" si="79"/>
        <v>Error?</v>
      </c>
    </row>
    <row r="5121" spans="1:4" x14ac:dyDescent="0.2">
      <c r="A5121" s="5">
        <v>5060</v>
      </c>
      <c r="B5121" s="138">
        <f>'Revenues 9-14'!C109</f>
        <v>3646463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4801420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4801420</v>
      </c>
      <c r="C5132" s="2" t="s">
        <v>594</v>
      </c>
      <c r="D5132" s="2" t="str">
        <f t="shared" si="79"/>
        <v>Error?</v>
      </c>
    </row>
    <row r="5133" spans="1:4" x14ac:dyDescent="0.2">
      <c r="A5133" s="5">
        <v>5072</v>
      </c>
      <c r="B5133" s="138">
        <f>'Revenues 9-14'!C124</f>
        <v>87949</v>
      </c>
      <c r="D5133" s="2" t="str">
        <f t="shared" si="79"/>
        <v>Error?</v>
      </c>
    </row>
    <row r="5134" spans="1:4" x14ac:dyDescent="0.2">
      <c r="A5134" s="5">
        <v>5073</v>
      </c>
      <c r="B5134" s="138">
        <f>'Revenues 9-14'!C125</f>
        <v>93130</v>
      </c>
      <c r="D5134" s="2" t="str">
        <f t="shared" si="79"/>
        <v>Error?</v>
      </c>
    </row>
    <row r="5135" spans="1:4" x14ac:dyDescent="0.2">
      <c r="A5135" s="5">
        <v>5074</v>
      </c>
      <c r="B5135" s="138">
        <f>'Revenues 9-14'!C126</f>
        <v>402722</v>
      </c>
      <c r="D5135" s="2" t="str">
        <f t="shared" si="79"/>
        <v>Error?</v>
      </c>
    </row>
    <row r="5136" spans="1:4" x14ac:dyDescent="0.2">
      <c r="A5136" s="10">
        <v>5075</v>
      </c>
      <c r="D5136" s="2" t="str">
        <f t="shared" si="79"/>
        <v>OK</v>
      </c>
    </row>
    <row r="5137" spans="1:4" x14ac:dyDescent="0.2">
      <c r="A5137" s="5">
        <v>5076</v>
      </c>
      <c r="B5137" s="138">
        <f>'Revenues 9-14'!C127</f>
        <v>16904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3480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604185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9036</v>
      </c>
      <c r="D5167" s="2" t="str">
        <f t="shared" si="79"/>
        <v>Error?</v>
      </c>
    </row>
    <row r="5168" spans="1:4" x14ac:dyDescent="0.2">
      <c r="A5168" s="5">
        <v>5107</v>
      </c>
      <c r="B5168" s="138">
        <f>'Revenues 9-14'!C147</f>
        <v>15056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483597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1118751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5920171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448766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200135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648901</v>
      </c>
      <c r="C5246" s="2" t="s">
        <v>594</v>
      </c>
      <c r="D5246" s="2" t="str">
        <f t="shared" si="80"/>
        <v>Error?</v>
      </c>
    </row>
    <row r="5247" spans="1:4" x14ac:dyDescent="0.2">
      <c r="A5247" s="5">
        <v>5186</v>
      </c>
      <c r="B5247" s="138">
        <f>'Revenues 9-14'!C203</f>
        <v>297603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297603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20641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216194</v>
      </c>
      <c r="D5278" s="2" t="str">
        <f t="shared" si="81"/>
        <v>Error?</v>
      </c>
    </row>
    <row r="5279" spans="1:4" x14ac:dyDescent="0.2">
      <c r="A5279" s="5">
        <v>5218</v>
      </c>
      <c r="B5279" s="138">
        <f>'Revenues 9-14'!C221</f>
        <v>229453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466288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1762412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1762412</v>
      </c>
      <c r="C5326" s="2" t="s">
        <v>594</v>
      </c>
      <c r="D5326" s="2" t="str">
        <f t="shared" si="82"/>
        <v>Error?</v>
      </c>
    </row>
    <row r="5327" spans="1:4" x14ac:dyDescent="0.2">
      <c r="A5327" s="5">
        <v>5266</v>
      </c>
      <c r="B5327" s="138">
        <f>'Revenues 9-14'!C275</f>
        <v>11329046</v>
      </c>
      <c r="C5327" s="2" t="s">
        <v>594</v>
      </c>
      <c r="D5327" s="2" t="str">
        <f t="shared" si="82"/>
        <v>Error?</v>
      </c>
    </row>
    <row r="5328" spans="1:4" x14ac:dyDescent="0.2">
      <c r="A5328" s="5">
        <v>5267</v>
      </c>
      <c r="B5328" s="138">
        <f>'Revenues 9-14'!D5</f>
        <v>630826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630826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78351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78351</v>
      </c>
      <c r="C5339" s="2" t="s">
        <v>594</v>
      </c>
      <c r="D5339" s="2" t="str">
        <f t="shared" si="82"/>
        <v>Error?</v>
      </c>
    </row>
    <row r="5340" spans="1:4" x14ac:dyDescent="0.2">
      <c r="A5340" s="5">
        <v>5279</v>
      </c>
      <c r="B5340" s="138">
        <f>'Revenues 9-14'!D65</f>
        <v>342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709519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1309519</v>
      </c>
      <c r="C5508" s="2" t="s">
        <v>594</v>
      </c>
      <c r="D5508" s="2" t="str">
        <f t="shared" si="85"/>
        <v>Error?</v>
      </c>
    </row>
    <row r="5509" spans="1:4" x14ac:dyDescent="0.2">
      <c r="A5509" s="5">
        <v>5448</v>
      </c>
      <c r="B5509" s="138">
        <f>'Revenues 9-14'!E5</f>
        <v>965459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965459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965981</v>
      </c>
      <c r="C5527" s="2" t="s">
        <v>594</v>
      </c>
      <c r="D5527" s="2" t="str">
        <f t="shared" si="85"/>
        <v>Error?</v>
      </c>
    </row>
    <row r="5528" spans="1:4" x14ac:dyDescent="0.2">
      <c r="A5528" s="5">
        <v>5467</v>
      </c>
      <c r="B5528" s="138">
        <f>'Revenues 9-14'!E117</f>
        <v>151387</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151387</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151387</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1117368</v>
      </c>
      <c r="C5552" s="2" t="s">
        <v>594</v>
      </c>
      <c r="D5552" s="2" t="str">
        <f t="shared" si="85"/>
        <v>Error?</v>
      </c>
    </row>
    <row r="5553" spans="1:4" x14ac:dyDescent="0.2">
      <c r="A5553" s="5">
        <v>5492</v>
      </c>
      <c r="B5553" s="138">
        <f>'Revenues 9-14'!F5</f>
        <v>262331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262331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143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39285</v>
      </c>
      <c r="D5586" s="2" t="str">
        <f t="shared" si="86"/>
        <v>Error?</v>
      </c>
    </row>
    <row r="5587" spans="1:4" x14ac:dyDescent="0.2">
      <c r="A5587" s="5">
        <v>5526</v>
      </c>
      <c r="B5587" s="138">
        <f>'Revenues 9-14'!F108</f>
        <v>39285</v>
      </c>
      <c r="C5587" s="2" t="s">
        <v>594</v>
      </c>
      <c r="D5587" s="2" t="str">
        <f t="shared" si="86"/>
        <v>Error?</v>
      </c>
    </row>
    <row r="5588" spans="1:4" x14ac:dyDescent="0.2">
      <c r="A5588" s="5">
        <v>5527</v>
      </c>
      <c r="B5588" s="138">
        <f>'Revenues 9-14'!F109</f>
        <v>301759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125967</v>
      </c>
      <c r="D5615" s="2" t="str">
        <f t="shared" si="86"/>
        <v>Error?</v>
      </c>
    </row>
    <row r="5616" spans="1:4" x14ac:dyDescent="0.2">
      <c r="A5616" s="10">
        <v>5555</v>
      </c>
      <c r="D5616" s="2" t="str">
        <f t="shared" si="86"/>
        <v>OK</v>
      </c>
    </row>
    <row r="5617" spans="1:4" x14ac:dyDescent="0.2">
      <c r="A5617" s="5">
        <v>5556</v>
      </c>
      <c r="B5617" s="138">
        <f>'Revenues 9-14'!F152</f>
        <v>163864</v>
      </c>
      <c r="D5617" s="2" t="str">
        <f t="shared" si="86"/>
        <v>Error?</v>
      </c>
    </row>
    <row r="5618" spans="1:4" x14ac:dyDescent="0.2">
      <c r="A5618" s="5">
        <v>5557</v>
      </c>
      <c r="B5618" s="138">
        <f>'Revenues 9-14'!F154</f>
        <v>289831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289831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589831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891590</v>
      </c>
      <c r="C5720" s="2" t="s">
        <v>594</v>
      </c>
      <c r="D5720" s="2" t="str">
        <f t="shared" si="88"/>
        <v>Error?</v>
      </c>
    </row>
    <row r="5721" spans="1:4" x14ac:dyDescent="0.2">
      <c r="A5721" s="5">
        <v>5660</v>
      </c>
      <c r="B5721" s="138">
        <f>'Revenues 9-14'!G5</f>
        <v>424500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424500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238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120000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120000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120000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544738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123</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424738</v>
      </c>
      <c r="C6024" s="2" t="s">
        <v>594</v>
      </c>
      <c r="D6024" s="2" t="str">
        <f t="shared" si="93"/>
        <v>Error?</v>
      </c>
    </row>
    <row r="6025" spans="1:5" x14ac:dyDescent="0.2">
      <c r="A6025" s="5">
        <v>5964</v>
      </c>
      <c r="B6025" s="138">
        <f>'Revenues 9-14'!H109</f>
        <v>123</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18217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51739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1270.76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1869134</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20550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1239660</v>
      </c>
      <c r="D6267" s="2" t="str">
        <f t="shared" si="96"/>
        <v>Error?</v>
      </c>
      <c r="E6267" s="2" t="s">
        <v>199</v>
      </c>
    </row>
    <row r="6268" spans="1:5" x14ac:dyDescent="0.2">
      <c r="A6268">
        <v>6207</v>
      </c>
      <c r="B6268" s="138">
        <f>'Acct Summary 7-8'!D82</f>
        <v>9223</v>
      </c>
      <c r="D6268" s="2" t="str">
        <f t="shared" si="96"/>
        <v>Error?</v>
      </c>
      <c r="E6268" s="2" t="s">
        <v>199</v>
      </c>
    </row>
    <row r="6269" spans="1:5" x14ac:dyDescent="0.2">
      <c r="A6269">
        <v>6208</v>
      </c>
      <c r="B6269" s="138">
        <f>'Acct Summary 7-8'!E82</f>
        <v>15931</v>
      </c>
      <c r="D6269" s="2" t="str">
        <f t="shared" si="96"/>
        <v>Error?</v>
      </c>
      <c r="E6269" s="2" t="s">
        <v>199</v>
      </c>
    </row>
    <row r="6270" spans="1:5" x14ac:dyDescent="0.2">
      <c r="A6270">
        <v>6209</v>
      </c>
      <c r="B6270" s="138">
        <f>'Acct Summary 7-8'!F82</f>
        <v>242124</v>
      </c>
      <c r="D6270" s="2" t="str">
        <f t="shared" si="96"/>
        <v>Error?</v>
      </c>
      <c r="E6270" s="2" t="s">
        <v>199</v>
      </c>
    </row>
    <row r="6271" spans="1:5" x14ac:dyDescent="0.2">
      <c r="A6271">
        <v>6210</v>
      </c>
      <c r="B6271" s="138">
        <f>'Acct Summary 7-8'!G82</f>
        <v>156333</v>
      </c>
      <c r="D6271" s="2" t="str">
        <f t="shared" ref="D6271:D6334" si="97">IF(ISBLANK(B6271),"OK",IF(A6271-B6271=0,"OK","Error?"))</f>
        <v>Error?</v>
      </c>
      <c r="E6271" s="2" t="s">
        <v>199</v>
      </c>
    </row>
    <row r="6272" spans="1:5" x14ac:dyDescent="0.2">
      <c r="A6272">
        <v>6211</v>
      </c>
      <c r="B6272" s="138">
        <f>'Acct Summary 7-8'!H82</f>
        <v>123</v>
      </c>
      <c r="D6272" s="2" t="str">
        <f t="shared" si="97"/>
        <v>Error?</v>
      </c>
      <c r="E6272" s="2" t="s">
        <v>199</v>
      </c>
    </row>
    <row r="6273" spans="1:5" x14ac:dyDescent="0.2">
      <c r="A6273">
        <v>6212</v>
      </c>
      <c r="B6273" s="138">
        <f>'Acct Summary 7-8'!I82</f>
        <v>2207350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0.16259497199779493</v>
      </c>
      <c r="D6276" s="2" t="str">
        <f t="shared" si="97"/>
        <v>Error?</v>
      </c>
      <c r="E6276" s="2" t="s">
        <v>199</v>
      </c>
    </row>
    <row r="6277" spans="1:5" x14ac:dyDescent="0.2">
      <c r="A6277">
        <v>6216</v>
      </c>
      <c r="B6277" s="138">
        <f>'Acct Summary 7-8'!D83</f>
        <v>9.7377367654201061E-3</v>
      </c>
      <c r="D6277" s="2" t="str">
        <f t="shared" si="97"/>
        <v>Error?</v>
      </c>
      <c r="E6277" s="2" t="s">
        <v>199</v>
      </c>
    </row>
    <row r="6278" spans="1:5" x14ac:dyDescent="0.2">
      <c r="A6278">
        <v>6217</v>
      </c>
      <c r="B6278" s="138">
        <f>'Acct Summary 7-8'!E83</f>
        <v>2.0782727806405322E-2</v>
      </c>
      <c r="D6278" s="2" t="str">
        <f t="shared" si="97"/>
        <v>Error?</v>
      </c>
      <c r="E6278" s="2" t="s">
        <v>199</v>
      </c>
    </row>
    <row r="6279" spans="1:5" x14ac:dyDescent="0.2">
      <c r="A6279">
        <v>6218</v>
      </c>
      <c r="B6279" s="138">
        <f>'Acct Summary 7-8'!F83</f>
        <v>0.33981314234948867</v>
      </c>
      <c r="D6279" s="2" t="str">
        <f t="shared" si="97"/>
        <v>Error?</v>
      </c>
      <c r="E6279" s="2" t="s">
        <v>199</v>
      </c>
    </row>
    <row r="6280" spans="1:5" x14ac:dyDescent="0.2">
      <c r="A6280">
        <v>6219</v>
      </c>
      <c r="B6280" s="138">
        <f>'Acct Summary 7-8'!G83</f>
        <v>0.60348581354950781</v>
      </c>
      <c r="D6280" s="2" t="str">
        <f t="shared" si="97"/>
        <v>Error?</v>
      </c>
      <c r="E6280" s="2" t="s">
        <v>199</v>
      </c>
    </row>
    <row r="6281" spans="1:5" x14ac:dyDescent="0.2">
      <c r="A6281">
        <v>6220</v>
      </c>
      <c r="B6281" s="138">
        <f>'Acct Summary 7-8'!H83</f>
        <v>1.3917175831636116E-2</v>
      </c>
      <c r="D6281" s="2" t="str">
        <f t="shared" si="97"/>
        <v>Error?</v>
      </c>
      <c r="E6281" s="2" t="s">
        <v>199</v>
      </c>
    </row>
    <row r="6282" spans="1:5" x14ac:dyDescent="0.2">
      <c r="A6282">
        <v>6221</v>
      </c>
      <c r="B6282" s="138">
        <f>'Acct Summary 7-8'!I83</f>
        <v>0.75232623491283157</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11345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212787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251198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61147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11149</v>
      </c>
      <c r="D7073" s="2" t="str">
        <f t="shared" si="109"/>
        <v>Error?</v>
      </c>
    </row>
    <row r="7074" spans="1:4" x14ac:dyDescent="0.2">
      <c r="A7074">
        <v>7013</v>
      </c>
      <c r="B7074" s="138">
        <f>'Expenditures 15-22'!K216</f>
        <v>11149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841</v>
      </c>
      <c r="D7079" s="2" t="str">
        <f t="shared" si="109"/>
        <v>Error?</v>
      </c>
    </row>
    <row r="7080" spans="1:4" x14ac:dyDescent="0.2">
      <c r="A7080">
        <v>7019</v>
      </c>
      <c r="B7080" s="138">
        <f>'Expenditures 15-22'!K226</f>
        <v>841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12896</v>
      </c>
      <c r="D7246" s="2" t="str">
        <f t="shared" si="112"/>
        <v>Error?</v>
      </c>
    </row>
    <row r="7247" spans="1:4" x14ac:dyDescent="0.2">
      <c r="A7247">
        <f t="shared" si="113"/>
        <v>7186</v>
      </c>
      <c r="B7247" s="138">
        <f>'Expenditures 15-22'!E7</f>
        <v>4395</v>
      </c>
      <c r="D7247" s="2" t="str">
        <f t="shared" si="112"/>
        <v>Error?</v>
      </c>
    </row>
    <row r="7248" spans="1:4" x14ac:dyDescent="0.2">
      <c r="A7248">
        <f t="shared" si="113"/>
        <v>7187</v>
      </c>
      <c r="B7248" s="138">
        <f>'Expenditures 15-22'!F7</f>
        <v>19282</v>
      </c>
      <c r="D7248" s="2" t="str">
        <f t="shared" si="112"/>
        <v>Error?</v>
      </c>
    </row>
    <row r="7249" spans="1:4" x14ac:dyDescent="0.2">
      <c r="A7249">
        <f t="shared" si="113"/>
        <v>7188</v>
      </c>
      <c r="B7249" s="138">
        <f>'Expenditures 15-22'!G7</f>
        <v>1838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57991</v>
      </c>
      <c r="D7263" s="2" t="str">
        <f t="shared" si="112"/>
        <v>Error?</v>
      </c>
    </row>
    <row r="7264" spans="1:4" x14ac:dyDescent="0.2">
      <c r="A7264">
        <f t="shared" si="113"/>
        <v>7203</v>
      </c>
      <c r="B7264" s="138">
        <f>'Expenditures 15-22'!D17</f>
        <v>866</v>
      </c>
      <c r="D7264" s="2" t="str">
        <f t="shared" si="112"/>
        <v>Error?</v>
      </c>
    </row>
    <row r="7265" spans="1:5" x14ac:dyDescent="0.2">
      <c r="A7265">
        <f t="shared" si="113"/>
        <v>7204</v>
      </c>
      <c r="B7265" s="138">
        <f>'Expenditures 15-22'!E17</f>
        <v>718</v>
      </c>
      <c r="D7265" s="2" t="str">
        <f t="shared" si="112"/>
        <v>Error?</v>
      </c>
    </row>
    <row r="7266" spans="1:5" x14ac:dyDescent="0.2">
      <c r="A7266">
        <f t="shared" si="113"/>
        <v>7205</v>
      </c>
      <c r="B7266" s="138">
        <f>'Expenditures 15-22'!F17</f>
        <v>1572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739632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11345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15056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26401</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26401</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62119</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26401</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838684.69</v>
      </c>
      <c r="D7797" s="2" t="str">
        <f t="shared" si="127"/>
        <v>Error?</v>
      </c>
      <c r="E7797" s="4" t="s">
        <v>2016</v>
      </c>
    </row>
    <row r="7798" spans="1:5" x14ac:dyDescent="0.2">
      <c r="A7798">
        <v>7737</v>
      </c>
      <c r="B7798" s="138">
        <f>'Contracts Paid in CY 29'!F141</f>
        <v>141641</v>
      </c>
      <c r="D7798" s="2" t="str">
        <f t="shared" si="127"/>
        <v>Error?</v>
      </c>
      <c r="E7798" s="4" t="s">
        <v>2016</v>
      </c>
    </row>
    <row r="7799" spans="1:5" x14ac:dyDescent="0.2">
      <c r="A7799">
        <v>7738</v>
      </c>
      <c r="B7799" s="138">
        <f>'Contracts Paid in CY 29'!G141</f>
        <v>697043.69</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S31" sqref="S3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Riverton Community Unit School District #14</v>
      </c>
      <c r="B7" s="2422"/>
      <c r="C7" s="2422"/>
      <c r="D7" s="2423"/>
      <c r="E7" s="2424">
        <f>COVER!A13</f>
        <v>51084014026</v>
      </c>
      <c r="F7" s="2425"/>
      <c r="G7" s="2431" t="str">
        <f>COVER!T23</f>
        <v>066-005100</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Mack &amp; Associates, P.C.</v>
      </c>
      <c r="H9" s="2437"/>
      <c r="I9" s="2437"/>
      <c r="J9" s="2437"/>
      <c r="K9" s="2437"/>
      <c r="L9" s="2438"/>
    </row>
    <row r="10" spans="1:29" ht="13.5" customHeight="1" x14ac:dyDescent="0.2">
      <c r="A10" s="2411" t="str">
        <f>COVER!A38</f>
        <v>Brad Polanin</v>
      </c>
      <c r="B10" s="2412"/>
      <c r="C10" s="2412"/>
      <c r="D10" s="2412"/>
      <c r="E10" s="2412"/>
      <c r="F10" s="2413"/>
      <c r="G10" s="2405" t="str">
        <f>COVER!T17</f>
        <v>116 E. Washington St., Suite One</v>
      </c>
      <c r="H10" s="2406"/>
      <c r="I10" s="2406"/>
      <c r="J10" s="2406"/>
      <c r="K10" s="2406"/>
      <c r="L10" s="2407"/>
    </row>
    <row r="11" spans="1:29" ht="13.5" customHeight="1" x14ac:dyDescent="0.2">
      <c r="A11" s="1185" t="s">
        <v>1599</v>
      </c>
      <c r="B11" s="1186"/>
      <c r="C11" s="1187"/>
      <c r="D11" s="1192"/>
      <c r="E11" s="1187"/>
      <c r="F11" s="1191"/>
      <c r="G11" s="2405" t="str">
        <f>COVER!T19</f>
        <v>Morris</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tmack@mackcpas.com</v>
      </c>
      <c r="J13" s="2418"/>
      <c r="K13" s="2418"/>
      <c r="L13" s="2419"/>
    </row>
    <row r="14" spans="1:29" ht="13.5" customHeight="1" x14ac:dyDescent="0.2">
      <c r="A14" s="2405" t="str">
        <f>COVER!A19</f>
        <v>6425 Old Route 36</v>
      </c>
      <c r="B14" s="2406"/>
      <c r="C14" s="2406"/>
      <c r="D14" s="2406"/>
      <c r="E14" s="2406"/>
      <c r="F14" s="2407"/>
      <c r="G14" s="1196" t="s">
        <v>1247</v>
      </c>
      <c r="H14" s="1194"/>
      <c r="I14" s="1194"/>
      <c r="J14" s="1194"/>
      <c r="K14" s="1194"/>
      <c r="L14" s="1195"/>
    </row>
    <row r="15" spans="1:29" ht="13.5" customHeight="1" x14ac:dyDescent="0.2">
      <c r="A15" s="2405" t="str">
        <f>COVER!A21</f>
        <v xml:space="preserve">Riverton  </v>
      </c>
      <c r="B15" s="2406"/>
      <c r="C15" s="2406"/>
      <c r="D15" s="2406"/>
      <c r="E15" s="2406"/>
      <c r="F15" s="2407"/>
      <c r="G15" s="2402" t="str">
        <f>COVER!T15</f>
        <v>Tawnya Mack, CPA</v>
      </c>
      <c r="H15" s="2403"/>
      <c r="I15" s="2403"/>
      <c r="J15" s="2403"/>
      <c r="K15" s="2403"/>
      <c r="L15" s="2404"/>
    </row>
    <row r="16" spans="1:29" ht="12.2" customHeight="1" x14ac:dyDescent="0.2">
      <c r="A16" s="2427">
        <f>COVER!A25</f>
        <v>62561</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815-942-3306</v>
      </c>
      <c r="H18" s="2422"/>
      <c r="I18" s="2422"/>
      <c r="J18" s="2422"/>
      <c r="K18" s="2421" t="str">
        <f>COVER!X21</f>
        <v>815-942-9430</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Riverton Community Unit School District #14</v>
      </c>
      <c r="B1" s="2420"/>
      <c r="C1" s="2420"/>
      <c r="D1" s="2420"/>
    </row>
    <row r="2" spans="1:11" s="1215" customFormat="1" ht="12.75" x14ac:dyDescent="0.2">
      <c r="A2" s="2444">
        <f>'Single Audit Cover'!E7</f>
        <v>51084014026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1" sqref="D4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Riverton Community Unit School District #14</v>
      </c>
      <c r="B1" s="2447"/>
      <c r="C1" s="2447"/>
      <c r="D1" s="2447"/>
      <c r="E1" s="2447"/>
    </row>
    <row r="2" spans="1:5" x14ac:dyDescent="0.2">
      <c r="A2" s="2448">
        <f>'Single Audit Cover'!E7</f>
        <v>51084014026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1762412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51739</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-290410</v>
      </c>
    </row>
    <row r="19" spans="1:4" ht="13.5" thickBot="1" x14ac:dyDescent="0.25">
      <c r="A19" s="1265" t="s">
        <v>1297</v>
      </c>
      <c r="D19" s="1266">
        <f>SUM(D10:D17)</f>
        <v>1523741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1523741</v>
      </c>
    </row>
    <row r="33" spans="1:4" x14ac:dyDescent="0.2">
      <c r="D33" s="1269"/>
    </row>
    <row r="34" spans="1:4" x14ac:dyDescent="0.2">
      <c r="A34" s="317" t="s">
        <v>1294</v>
      </c>
    </row>
    <row r="35" spans="1:4" x14ac:dyDescent="0.2">
      <c r="A35" s="317" t="s">
        <v>1293</v>
      </c>
      <c r="B35" s="1258" t="s">
        <v>1292</v>
      </c>
      <c r="D35" s="1270">
        <f>' SEFA (2)'!F27</f>
        <v>1523739</v>
      </c>
    </row>
    <row r="37" spans="1:4" x14ac:dyDescent="0.2">
      <c r="A37" s="1260" t="s">
        <v>1291</v>
      </c>
    </row>
    <row r="39" spans="1:4" ht="13.35" customHeight="1" x14ac:dyDescent="0.2">
      <c r="A39" s="1267" t="s">
        <v>1290</v>
      </c>
    </row>
    <row r="40" spans="1:4" x14ac:dyDescent="0.2">
      <c r="A40" s="2446" t="s">
        <v>2180</v>
      </c>
      <c r="B40" s="2446"/>
      <c r="D40" s="1268">
        <v>2</v>
      </c>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1523741</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3"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Riverton Community Unit School District #14</v>
      </c>
      <c r="B1" s="2460"/>
      <c r="C1" s="2460"/>
      <c r="D1" s="2460"/>
      <c r="E1" s="2460"/>
      <c r="F1" s="2460"/>
    </row>
    <row r="2" spans="1:7" ht="13.5" customHeight="1" x14ac:dyDescent="0.2">
      <c r="A2" s="2461">
        <f>'Single Audit Cover'!E7</f>
        <v>51084014026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2135</v>
      </c>
      <c r="B7" s="2459"/>
      <c r="C7" s="2459"/>
      <c r="D7" s="2459"/>
      <c r="E7" s="2459"/>
      <c r="F7" s="245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2090</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9" t="s">
        <v>2136</v>
      </c>
      <c r="B13" s="2459"/>
      <c r="C13" s="2459"/>
      <c r="D13" s="2459"/>
      <c r="E13" s="2459"/>
      <c r="F13" s="2459"/>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t="s">
        <v>2137</v>
      </c>
      <c r="C17" s="1285" t="s">
        <v>2137</v>
      </c>
      <c r="D17" s="2452" t="s">
        <v>2137</v>
      </c>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3" t="s">
        <v>2181</v>
      </c>
      <c r="B32" s="2453"/>
      <c r="C32" s="2453"/>
      <c r="D32" s="2453"/>
      <c r="E32" s="2453"/>
      <c r="F32" s="2453"/>
    </row>
    <row r="33" spans="1:6" ht="13.5" customHeight="1" x14ac:dyDescent="0.2">
      <c r="A33" s="328" t="s">
        <v>1509</v>
      </c>
      <c r="B33" s="328"/>
      <c r="C33" s="1288">
        <v>35739</v>
      </c>
      <c r="D33" s="1927"/>
      <c r="E33" s="1286"/>
    </row>
    <row r="34" spans="1:6" ht="13.5" customHeight="1" x14ac:dyDescent="0.2">
      <c r="A34" s="328" t="s">
        <v>1945</v>
      </c>
      <c r="B34" s="328"/>
      <c r="C34" s="1289">
        <v>16000</v>
      </c>
      <c r="D34" s="1927" t="s">
        <v>1671</v>
      </c>
      <c r="E34" s="2454">
        <f>+C33+C34</f>
        <v>51739</v>
      </c>
      <c r="F34" s="2455"/>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t="s">
        <v>401</v>
      </c>
      <c r="D38" s="1927"/>
      <c r="E38" s="1286"/>
    </row>
    <row r="39" spans="1:6" ht="14.25" customHeight="1" x14ac:dyDescent="0.2">
      <c r="A39" s="328"/>
      <c r="B39" s="328" t="s">
        <v>1511</v>
      </c>
      <c r="C39" s="1292" t="s">
        <v>401</v>
      </c>
      <c r="D39" s="1927"/>
      <c r="E39" s="1286"/>
    </row>
    <row r="40" spans="1:6" ht="14.25" customHeight="1" x14ac:dyDescent="0.2">
      <c r="A40" s="328"/>
      <c r="B40" s="328" t="s">
        <v>1512</v>
      </c>
      <c r="C40" s="1292" t="s">
        <v>401</v>
      </c>
      <c r="D40" s="1927"/>
      <c r="E40" s="1286"/>
    </row>
    <row r="41" spans="1:6" ht="14.25" customHeight="1" x14ac:dyDescent="0.2">
      <c r="A41" s="328"/>
      <c r="B41" s="328" t="s">
        <v>1513</v>
      </c>
      <c r="C41" s="1292" t="s">
        <v>401</v>
      </c>
      <c r="D41" s="1927"/>
      <c r="E41" s="1286"/>
    </row>
    <row r="42" spans="1:6" ht="14.25" customHeight="1" x14ac:dyDescent="0.2">
      <c r="A42" s="328" t="s">
        <v>1514</v>
      </c>
      <c r="B42" s="328"/>
      <c r="C42" s="1925" t="s">
        <v>401</v>
      </c>
      <c r="D42" s="1927"/>
      <c r="E42" s="1286"/>
    </row>
    <row r="43" spans="1:6" ht="14.25" customHeight="1" x14ac:dyDescent="0.2">
      <c r="A43" s="328" t="s">
        <v>1515</v>
      </c>
      <c r="B43" s="328"/>
      <c r="C43" s="1293" t="s">
        <v>401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69"/>
      <c r="C50" s="1869"/>
      <c r="D50" s="1869"/>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M18" sqref="M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Riverton Community Unit School District #14</v>
      </c>
      <c r="C1" s="2464"/>
      <c r="D1" s="2464"/>
      <c r="E1" s="2464"/>
      <c r="F1" s="2464"/>
      <c r="G1" s="2464"/>
      <c r="H1" s="2464"/>
      <c r="I1" s="2464"/>
      <c r="J1" s="2464"/>
      <c r="K1" s="2464"/>
      <c r="L1" s="2464"/>
      <c r="M1" s="2464"/>
    </row>
    <row r="2" spans="2:14" ht="15" x14ac:dyDescent="0.2">
      <c r="B2" s="2461">
        <f>'Single Audit Cover'!E7</f>
        <v>51084014026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2142</v>
      </c>
      <c r="C11" s="1338"/>
      <c r="D11" s="1339"/>
      <c r="E11" s="1340"/>
      <c r="F11" s="1340"/>
      <c r="G11" s="1340"/>
      <c r="H11" s="1340"/>
      <c r="I11" s="1340"/>
      <c r="J11" s="1340"/>
      <c r="K11" s="1340"/>
      <c r="L11" s="1340">
        <f>+G11+I11+K11</f>
        <v>0</v>
      </c>
      <c r="M11" s="1340"/>
    </row>
    <row r="12" spans="2:14" ht="20.100000000000001" customHeight="1" x14ac:dyDescent="0.2">
      <c r="B12" s="1337" t="s">
        <v>2143</v>
      </c>
      <c r="C12" s="1341"/>
      <c r="D12" s="1342"/>
      <c r="E12" s="1343"/>
      <c r="F12" s="1343"/>
      <c r="G12" s="1343"/>
      <c r="H12" s="1343"/>
      <c r="I12" s="1343"/>
      <c r="J12" s="1343"/>
      <c r="K12" s="1343"/>
      <c r="L12" s="1340">
        <f t="shared" ref="L12:L27" si="0">+G12+I12+K12</f>
        <v>0</v>
      </c>
      <c r="M12" s="1343"/>
    </row>
    <row r="13" spans="2:14" ht="20.100000000000001" customHeight="1" x14ac:dyDescent="0.2">
      <c r="B13" s="1337" t="s">
        <v>2144</v>
      </c>
      <c r="C13" s="1341">
        <v>10.555</v>
      </c>
      <c r="D13" s="1342" t="s">
        <v>2150</v>
      </c>
      <c r="E13" s="1343"/>
      <c r="F13" s="1343">
        <f>399150-45738</f>
        <v>353412</v>
      </c>
      <c r="G13" s="1343"/>
      <c r="H13" s="1343"/>
      <c r="I13" s="1343">
        <v>399150</v>
      </c>
      <c r="J13" s="1343"/>
      <c r="K13" s="1343"/>
      <c r="L13" s="1340">
        <f t="shared" si="0"/>
        <v>399150</v>
      </c>
      <c r="M13" s="1343">
        <v>500000</v>
      </c>
    </row>
    <row r="14" spans="2:14" ht="20.100000000000001" customHeight="1" x14ac:dyDescent="0.2">
      <c r="B14" s="1337" t="s">
        <v>2145</v>
      </c>
      <c r="C14" s="1341">
        <v>10.555</v>
      </c>
      <c r="D14" s="1342" t="s">
        <v>2151</v>
      </c>
      <c r="E14" s="1343">
        <v>267920</v>
      </c>
      <c r="F14" s="1343">
        <v>95353</v>
      </c>
      <c r="G14" s="1343">
        <v>267920</v>
      </c>
      <c r="H14" s="1343"/>
      <c r="I14" s="1343">
        <v>95353</v>
      </c>
      <c r="J14" s="1343"/>
      <c r="K14" s="1343"/>
      <c r="L14" s="1340">
        <f t="shared" si="0"/>
        <v>363273</v>
      </c>
      <c r="M14" s="1343">
        <v>356566</v>
      </c>
    </row>
    <row r="15" spans="2:14" ht="20.100000000000001" customHeight="1" x14ac:dyDescent="0.2">
      <c r="B15" s="1337" t="s">
        <v>2146</v>
      </c>
      <c r="C15" s="1341">
        <v>10.555</v>
      </c>
      <c r="D15" s="1342" t="s">
        <v>2152</v>
      </c>
      <c r="E15" s="1343"/>
      <c r="F15" s="1343">
        <v>35739</v>
      </c>
      <c r="G15" s="1343"/>
      <c r="H15" s="1343"/>
      <c r="I15" s="1343">
        <v>35739</v>
      </c>
      <c r="J15" s="1343"/>
      <c r="K15" s="1343"/>
      <c r="L15" s="1340">
        <f t="shared" si="0"/>
        <v>35739</v>
      </c>
      <c r="M15" s="1343"/>
    </row>
    <row r="16" spans="2:14" ht="20.100000000000001" customHeight="1" x14ac:dyDescent="0.2">
      <c r="B16" s="1337" t="s">
        <v>2147</v>
      </c>
      <c r="C16" s="1341">
        <v>10.555</v>
      </c>
      <c r="D16" s="1342" t="s">
        <v>2152</v>
      </c>
      <c r="E16" s="1343"/>
      <c r="F16" s="1343">
        <v>16000</v>
      </c>
      <c r="G16" s="1343"/>
      <c r="H16" s="1343"/>
      <c r="I16" s="1343">
        <v>16000</v>
      </c>
      <c r="J16" s="1343"/>
      <c r="K16" s="1343"/>
      <c r="L16" s="1340">
        <f t="shared" si="0"/>
        <v>16000</v>
      </c>
      <c r="M16" s="1343"/>
    </row>
    <row r="17" spans="2:14" ht="20.100000000000001" customHeight="1" x14ac:dyDescent="0.2">
      <c r="B17" s="1337" t="s">
        <v>2148</v>
      </c>
      <c r="C17" s="1341">
        <v>10.553000000000001</v>
      </c>
      <c r="D17" s="1342" t="s">
        <v>2153</v>
      </c>
      <c r="E17" s="1343"/>
      <c r="F17" s="1343">
        <f>181022-23007</f>
        <v>158015</v>
      </c>
      <c r="G17" s="1343"/>
      <c r="H17" s="1343"/>
      <c r="I17" s="1343">
        <v>181022</v>
      </c>
      <c r="J17" s="1343"/>
      <c r="K17" s="1343"/>
      <c r="L17" s="1340">
        <f t="shared" si="0"/>
        <v>181022</v>
      </c>
      <c r="M17" s="1343">
        <v>195000</v>
      </c>
    </row>
    <row r="18" spans="2:14" ht="20.100000000000001" customHeight="1" x14ac:dyDescent="0.2">
      <c r="B18" s="1337" t="s">
        <v>2149</v>
      </c>
      <c r="C18" s="1341">
        <v>10.553000000000001</v>
      </c>
      <c r="D18" s="1342" t="s">
        <v>2154</v>
      </c>
      <c r="E18" s="1343">
        <v>115677</v>
      </c>
      <c r="F18" s="1343">
        <v>42119</v>
      </c>
      <c r="G18" s="1343">
        <v>115677</v>
      </c>
      <c r="H18" s="1343"/>
      <c r="I18" s="1343">
        <v>42119</v>
      </c>
      <c r="J18" s="1343"/>
      <c r="K18" s="1343"/>
      <c r="L18" s="1340">
        <f t="shared" si="0"/>
        <v>157796</v>
      </c>
      <c r="M18" s="1343">
        <v>150957</v>
      </c>
    </row>
    <row r="19" spans="2:14" ht="20.100000000000001" customHeight="1" x14ac:dyDescent="0.2">
      <c r="B19" s="1337" t="s">
        <v>2155</v>
      </c>
      <c r="C19" s="1341"/>
      <c r="D19" s="1342"/>
      <c r="E19" s="1343"/>
      <c r="F19" s="1343"/>
      <c r="G19" s="1343"/>
      <c r="H19" s="1343"/>
      <c r="I19" s="1343"/>
      <c r="J19" s="1343"/>
      <c r="K19" s="1343"/>
      <c r="L19" s="1340">
        <f t="shared" si="0"/>
        <v>0</v>
      </c>
      <c r="M19" s="1343"/>
    </row>
    <row r="20" spans="2:14" ht="20.100000000000001" customHeight="1" x14ac:dyDescent="0.2">
      <c r="B20" s="1337" t="s">
        <v>2156</v>
      </c>
      <c r="C20" s="1341"/>
      <c r="D20" s="1342"/>
      <c r="E20" s="1343"/>
      <c r="F20" s="1343"/>
      <c r="G20" s="1343"/>
      <c r="H20" s="1343"/>
      <c r="I20" s="1343"/>
      <c r="J20" s="1343"/>
      <c r="K20" s="1343"/>
      <c r="L20" s="1340">
        <f t="shared" si="0"/>
        <v>0</v>
      </c>
      <c r="M20" s="1343"/>
    </row>
    <row r="21" spans="2:14" ht="20.100000000000001" customHeight="1" x14ac:dyDescent="0.2">
      <c r="B21" s="1337" t="s">
        <v>2157</v>
      </c>
      <c r="C21" s="1341">
        <v>84.173000000000002</v>
      </c>
      <c r="D21" s="1342" t="s">
        <v>2159</v>
      </c>
      <c r="E21" s="1343"/>
      <c r="F21" s="1343">
        <v>216194</v>
      </c>
      <c r="G21" s="1343"/>
      <c r="H21" s="1343"/>
      <c r="I21" s="1343">
        <v>216194</v>
      </c>
      <c r="J21" s="1343"/>
      <c r="K21" s="1343"/>
      <c r="L21" s="1340">
        <f t="shared" si="0"/>
        <v>216194</v>
      </c>
      <c r="M21" s="1343">
        <v>108097</v>
      </c>
    </row>
    <row r="22" spans="2:14" ht="20.100000000000001" customHeight="1" x14ac:dyDescent="0.2">
      <c r="B22" s="1337" t="s">
        <v>2158</v>
      </c>
      <c r="C22" s="1341">
        <v>84.027000000000001</v>
      </c>
      <c r="D22" s="1342" t="s">
        <v>2160</v>
      </c>
      <c r="E22" s="1343"/>
      <c r="F22" s="1343">
        <v>20641</v>
      </c>
      <c r="G22" s="1343"/>
      <c r="H22" s="1343"/>
      <c r="I22" s="1343">
        <v>20641</v>
      </c>
      <c r="J22" s="1343"/>
      <c r="K22" s="1343"/>
      <c r="L22" s="1340">
        <f t="shared" si="0"/>
        <v>20641</v>
      </c>
      <c r="M22" s="1343">
        <v>10320</v>
      </c>
    </row>
    <row r="23" spans="2:14" ht="20.100000000000001" customHeight="1" x14ac:dyDescent="0.2">
      <c r="B23" s="1337" t="s">
        <v>2143</v>
      </c>
      <c r="C23" s="1341"/>
      <c r="D23" s="1342"/>
      <c r="E23" s="1343"/>
      <c r="F23" s="1343"/>
      <c r="G23" s="1343"/>
      <c r="H23" s="1343"/>
      <c r="I23" s="1343"/>
      <c r="J23" s="1343"/>
      <c r="K23" s="1343"/>
      <c r="L23" s="1340">
        <f t="shared" si="0"/>
        <v>0</v>
      </c>
      <c r="M23" s="1343"/>
    </row>
    <row r="24" spans="2:14" ht="20.100000000000001" customHeight="1" x14ac:dyDescent="0.2">
      <c r="B24" s="1337" t="s">
        <v>2161</v>
      </c>
      <c r="C24" s="1341">
        <v>84.027000000000001</v>
      </c>
      <c r="D24" s="1342" t="s">
        <v>2163</v>
      </c>
      <c r="E24" s="1343"/>
      <c r="F24" s="1343">
        <f>122792</f>
        <v>122792</v>
      </c>
      <c r="G24" s="1343"/>
      <c r="H24" s="1343"/>
      <c r="I24" s="1343">
        <v>151467</v>
      </c>
      <c r="J24" s="1343"/>
      <c r="K24" s="1343"/>
      <c r="L24" s="1340">
        <f t="shared" si="0"/>
        <v>151467</v>
      </c>
      <c r="M24" s="1343">
        <v>228670</v>
      </c>
    </row>
    <row r="25" spans="2:14" ht="20.100000000000001" customHeight="1" x14ac:dyDescent="0.2">
      <c r="B25" s="1337" t="s">
        <v>2162</v>
      </c>
      <c r="C25" s="1341">
        <v>84.027000000000001</v>
      </c>
      <c r="D25" s="1342" t="s">
        <v>2164</v>
      </c>
      <c r="E25" s="1343">
        <v>156535</v>
      </c>
      <c r="F25" s="1343">
        <v>106661</v>
      </c>
      <c r="G25" s="1343">
        <f>156535</f>
        <v>156535</v>
      </c>
      <c r="H25" s="1343"/>
      <c r="I25" s="1343">
        <v>106661</v>
      </c>
      <c r="J25" s="1343"/>
      <c r="K25" s="1343"/>
      <c r="L25" s="1340">
        <f t="shared" si="0"/>
        <v>263196</v>
      </c>
      <c r="M25" s="1343">
        <v>228373</v>
      </c>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2090</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t="s">
        <v>2107</v>
      </c>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M15" sqref="M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Riverton Community Unit School District #14</v>
      </c>
      <c r="C1" s="2464"/>
      <c r="D1" s="2464"/>
      <c r="E1" s="2464"/>
      <c r="F1" s="2464"/>
      <c r="G1" s="2464"/>
      <c r="H1" s="2464"/>
      <c r="I1" s="2464"/>
      <c r="J1" s="2464"/>
      <c r="K1" s="2464"/>
      <c r="L1" s="2464"/>
      <c r="M1" s="2464"/>
    </row>
    <row r="2" spans="2:14" ht="15" x14ac:dyDescent="0.2">
      <c r="B2" s="2461">
        <f>'Single Audit Cover'!E7</f>
        <v>51084014026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2165</v>
      </c>
      <c r="C11" s="1338"/>
      <c r="D11" s="1339"/>
      <c r="E11" s="1340"/>
      <c r="F11" s="1340"/>
      <c r="G11" s="1340"/>
      <c r="H11" s="1340"/>
      <c r="I11" s="1340"/>
      <c r="J11" s="1340"/>
      <c r="K11" s="1340"/>
      <c r="L11" s="1340">
        <f>+G11+I11+K11</f>
        <v>0</v>
      </c>
      <c r="M11" s="1340"/>
    </row>
    <row r="12" spans="2:14" ht="20.100000000000001" customHeight="1" x14ac:dyDescent="0.2">
      <c r="B12" s="1337" t="s">
        <v>2166</v>
      </c>
      <c r="C12" s="1341"/>
      <c r="D12" s="1342"/>
      <c r="E12" s="1343"/>
      <c r="F12" s="1343"/>
      <c r="G12" s="1343"/>
      <c r="H12" s="1343"/>
      <c r="I12" s="1343"/>
      <c r="J12" s="1343"/>
      <c r="K12" s="1343"/>
      <c r="L12" s="1340">
        <f t="shared" ref="L12:L26" si="0">+G12+I12+K12</f>
        <v>0</v>
      </c>
      <c r="M12" s="1343"/>
    </row>
    <row r="13" spans="2:14" ht="20.100000000000001" customHeight="1" x14ac:dyDescent="0.2">
      <c r="B13" s="1337" t="s">
        <v>2167</v>
      </c>
      <c r="C13" s="1341">
        <v>93.778000000000006</v>
      </c>
      <c r="D13" s="1342" t="s">
        <v>2169</v>
      </c>
      <c r="E13" s="1343"/>
      <c r="F13" s="1343">
        <f>12838-3293</f>
        <v>9545</v>
      </c>
      <c r="G13" s="1343"/>
      <c r="H13" s="1343"/>
      <c r="I13" s="1343">
        <v>13969</v>
      </c>
      <c r="J13" s="1343"/>
      <c r="K13" s="1343"/>
      <c r="L13" s="1340">
        <f t="shared" si="0"/>
        <v>13969</v>
      </c>
      <c r="M13" s="1343">
        <v>12000</v>
      </c>
    </row>
    <row r="14" spans="2:14" ht="20.100000000000001" customHeight="1" x14ac:dyDescent="0.2">
      <c r="B14" s="1337" t="s">
        <v>2168</v>
      </c>
      <c r="C14" s="1341">
        <v>93.778000000000006</v>
      </c>
      <c r="D14" s="1342" t="s">
        <v>2170</v>
      </c>
      <c r="E14" s="1343">
        <v>12942</v>
      </c>
      <c r="F14" s="1343">
        <f>16235-12942</f>
        <v>3293</v>
      </c>
      <c r="G14" s="1343">
        <v>16235</v>
      </c>
      <c r="H14" s="1343"/>
      <c r="I14" s="1343"/>
      <c r="J14" s="1343"/>
      <c r="K14" s="1343"/>
      <c r="L14" s="1340">
        <f t="shared" si="0"/>
        <v>16235</v>
      </c>
      <c r="M14" s="1343">
        <v>9333</v>
      </c>
    </row>
    <row r="15" spans="2:14" ht="20.100000000000001" customHeight="1" x14ac:dyDescent="0.2">
      <c r="B15" s="1337" t="s">
        <v>2155</v>
      </c>
      <c r="C15" s="1341"/>
      <c r="D15" s="1342"/>
      <c r="E15" s="1343"/>
      <c r="F15" s="1343"/>
      <c r="G15" s="1343"/>
      <c r="H15" s="1343"/>
      <c r="I15" s="1343"/>
      <c r="J15" s="1343"/>
      <c r="K15" s="1343"/>
      <c r="L15" s="1340">
        <f t="shared" si="0"/>
        <v>0</v>
      </c>
      <c r="M15" s="1343"/>
    </row>
    <row r="16" spans="2:14" ht="20.100000000000001" customHeight="1" x14ac:dyDescent="0.2">
      <c r="B16" s="1337" t="s">
        <v>2171</v>
      </c>
      <c r="C16" s="1341"/>
      <c r="D16" s="1342"/>
      <c r="E16" s="1343"/>
      <c r="F16" s="1343"/>
      <c r="G16" s="1343"/>
      <c r="H16" s="1343"/>
      <c r="I16" s="1343"/>
      <c r="J16" s="1343"/>
      <c r="K16" s="1343"/>
      <c r="L16" s="1340">
        <f t="shared" si="0"/>
        <v>0</v>
      </c>
      <c r="M16" s="1343"/>
    </row>
    <row r="17" spans="2:14" ht="20.100000000000001" customHeight="1" x14ac:dyDescent="0.2">
      <c r="B17" s="1337" t="s">
        <v>2172</v>
      </c>
      <c r="C17" s="1341">
        <v>84.01</v>
      </c>
      <c r="D17" s="1342" t="s">
        <v>2178</v>
      </c>
      <c r="E17" s="1343"/>
      <c r="F17" s="1343">
        <f>197834-793</f>
        <v>197041</v>
      </c>
      <c r="G17" s="1343"/>
      <c r="H17" s="1343"/>
      <c r="I17" s="1343">
        <v>289701</v>
      </c>
      <c r="J17" s="1343"/>
      <c r="K17" s="1343"/>
      <c r="L17" s="1340">
        <f t="shared" si="0"/>
        <v>289701</v>
      </c>
      <c r="M17" s="1343">
        <v>314150</v>
      </c>
    </row>
    <row r="18" spans="2:14" ht="20.100000000000001" customHeight="1" x14ac:dyDescent="0.2">
      <c r="B18" s="1337" t="s">
        <v>2173</v>
      </c>
      <c r="C18" s="1341">
        <v>84.01</v>
      </c>
      <c r="D18" s="1342" t="s">
        <v>2179</v>
      </c>
      <c r="E18" s="1343">
        <v>201341</v>
      </c>
      <c r="F18" s="1343">
        <v>100562</v>
      </c>
      <c r="G18" s="1343">
        <v>279435</v>
      </c>
      <c r="H18" s="1343"/>
      <c r="I18" s="1343">
        <f>22468</f>
        <v>22468</v>
      </c>
      <c r="J18" s="1343"/>
      <c r="K18" s="1343"/>
      <c r="L18" s="1340">
        <f t="shared" si="0"/>
        <v>301903</v>
      </c>
      <c r="M18" s="1343">
        <v>302826</v>
      </c>
    </row>
    <row r="19" spans="2:14" ht="20.100000000000001" customHeight="1" x14ac:dyDescent="0.2">
      <c r="B19" s="1337" t="s">
        <v>2174</v>
      </c>
      <c r="C19" s="1341">
        <v>84.367000000000004</v>
      </c>
      <c r="D19" s="1342" t="s">
        <v>2176</v>
      </c>
      <c r="E19" s="1343"/>
      <c r="F19" s="1343">
        <f>40731</f>
        <v>40731</v>
      </c>
      <c r="G19" s="1343"/>
      <c r="H19" s="1343"/>
      <c r="I19" s="1343">
        <v>55511</v>
      </c>
      <c r="J19" s="1343"/>
      <c r="K19" s="1343"/>
      <c r="L19" s="1340">
        <f t="shared" si="0"/>
        <v>55511</v>
      </c>
      <c r="M19" s="1343">
        <v>55895</v>
      </c>
    </row>
    <row r="20" spans="2:14" ht="20.100000000000001" customHeight="1" x14ac:dyDescent="0.2">
      <c r="B20" s="1337" t="s">
        <v>2175</v>
      </c>
      <c r="C20" s="1341">
        <v>84.367000000000004</v>
      </c>
      <c r="D20" s="1342" t="s">
        <v>2177</v>
      </c>
      <c r="E20" s="1343">
        <v>21862</v>
      </c>
      <c r="F20" s="1343">
        <v>5641</v>
      </c>
      <c r="G20" s="1343">
        <v>27503</v>
      </c>
      <c r="H20" s="1343"/>
      <c r="I20" s="1343"/>
      <c r="J20" s="1343"/>
      <c r="K20" s="1343"/>
      <c r="L20" s="1340">
        <f t="shared" si="0"/>
        <v>27503</v>
      </c>
      <c r="M20" s="1343">
        <v>27680</v>
      </c>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1223</v>
      </c>
      <c r="C27" s="1341"/>
      <c r="D27" s="1342"/>
      <c r="E27" s="1343">
        <f>' SEFA'!E11+' SEFA'!E12+' SEFA'!E13+' SEFA'!E14+' SEFA'!E15+' SEFA'!E16+' SEFA'!E17+' SEFA'!E18+' SEFA'!E19+' SEFA'!E20+' SEFA'!E21+' SEFA'!E22+' SEFA'!E23+' SEFA'!E24+' SEFA'!E25+' SEFA'!E26+' SEFA'!E27+' SEFA (2)'!E11+' SEFA (2)'!E12+' SEFA (2)'!E13+' SEFA (2)'!E14+' SEFA (2)'!E15+' SEFA (2)'!E16+' SEFA (2)'!E17+' SEFA (2)'!E18+' SEFA (2)'!E19+' SEFA (2)'!E20+' SEFA (2)'!E21+' SEFA (2)'!E22+' SEFA (2)'!E23+' SEFA (2)'!E24+' SEFA (2)'!E25+' SEFA (2)'!E26</f>
        <v>776277</v>
      </c>
      <c r="F27" s="1343">
        <f>' SEFA'!F11+' SEFA'!F12+' SEFA'!F13+' SEFA'!F14+' SEFA'!F15+' SEFA'!F16+' SEFA'!F17+' SEFA'!F18+' SEFA'!F19+' SEFA'!F20+' SEFA'!F21+' SEFA'!F22+' SEFA'!F23+' SEFA'!F24+' SEFA'!F25+' SEFA'!F26+' SEFA'!F27+' SEFA (2)'!F11+' SEFA (2)'!F12+' SEFA (2)'!F13+' SEFA (2)'!F14+' SEFA (2)'!F15+' SEFA (2)'!F16+' SEFA (2)'!F17+' SEFA (2)'!F18+' SEFA (2)'!F19+' SEFA (2)'!F20+' SEFA (2)'!F21+' SEFA (2)'!F22+' SEFA (2)'!F23+' SEFA (2)'!F24+' SEFA (2)'!F25+' SEFA (2)'!F26</f>
        <v>1523739</v>
      </c>
      <c r="G27" s="1343">
        <f>' SEFA'!G11+' SEFA'!G12+' SEFA'!G13+' SEFA'!G14+' SEFA'!G15+' SEFA'!G16+' SEFA'!G17+' SEFA'!G18+' SEFA'!G19+' SEFA'!G20+' SEFA'!G21+' SEFA'!G22+' SEFA'!G23+' SEFA'!G24+' SEFA'!G25+' SEFA'!G26+' SEFA'!G27+' SEFA (2)'!G11+' SEFA (2)'!G12+' SEFA (2)'!G13+' SEFA (2)'!G14+' SEFA (2)'!G15+' SEFA (2)'!G16+' SEFA (2)'!G17+' SEFA (2)'!G18+' SEFA (2)'!G19+' SEFA (2)'!G20+' SEFA (2)'!G21+' SEFA (2)'!G22+' SEFA (2)'!G23+' SEFA (2)'!G24+' SEFA (2)'!G25+' SEFA (2)'!G26</f>
        <v>863305</v>
      </c>
      <c r="H27" s="1343">
        <f>' SEFA'!H11+' SEFA'!H12+' SEFA'!H13+' SEFA'!H14+' SEFA'!H15+' SEFA'!H16+' SEFA'!H17+' SEFA'!H18+' SEFA'!H19+' SEFA'!H20+' SEFA'!H21+' SEFA'!H22+' SEFA'!H23+' SEFA'!H24+' SEFA'!H25+' SEFA'!H26+' SEFA'!H27+' SEFA (2)'!H11+' SEFA (2)'!H12+' SEFA (2)'!H13+' SEFA (2)'!H14+' SEFA (2)'!H15+' SEFA (2)'!H16+' SEFA (2)'!H17+' SEFA (2)'!H18+' SEFA (2)'!H19+' SEFA (2)'!H20+' SEFA (2)'!H21+' SEFA (2)'!H22+' SEFA (2)'!H23+' SEFA (2)'!H24+' SEFA (2)'!H25+' SEFA (2)'!H26</f>
        <v>0</v>
      </c>
      <c r="I27" s="1343">
        <f>' SEFA'!I11+' SEFA'!I12+' SEFA'!I13+' SEFA'!I14+' SEFA'!I15+' SEFA'!I16+' SEFA'!I17+' SEFA'!I18+' SEFA'!I19+' SEFA'!I20+' SEFA'!I21+' SEFA'!I22+' SEFA'!I23+' SEFA'!I24+' SEFA'!I25+' SEFA'!I26+' SEFA'!I27+' SEFA (2)'!I11+' SEFA (2)'!I12+' SEFA (2)'!I13+' SEFA (2)'!I14+' SEFA (2)'!I15+' SEFA (2)'!I16+' SEFA (2)'!I17+' SEFA (2)'!I18+' SEFA (2)'!I19+' SEFA (2)'!I20+' SEFA (2)'!I21+' SEFA (2)'!I22+' SEFA (2)'!I23+' SEFA (2)'!I24+' SEFA (2)'!I25+' SEFA (2)'!I26</f>
        <v>1645995</v>
      </c>
      <c r="J27" s="1343">
        <f>' SEFA'!J11+' SEFA'!J12+' SEFA'!J13+' SEFA'!J14+' SEFA'!J15+' SEFA'!J16+' SEFA'!J17+' SEFA'!J18+' SEFA'!J19+' SEFA'!J20+' SEFA'!J21+' SEFA'!J22+' SEFA'!J23+' SEFA'!J24+' SEFA'!J25+' SEFA'!J26+' SEFA'!J27+' SEFA (2)'!J11+' SEFA (2)'!J12+' SEFA (2)'!J13+' SEFA (2)'!J14+' SEFA (2)'!J15+' SEFA (2)'!J16+' SEFA (2)'!J17+' SEFA (2)'!J18+' SEFA (2)'!J19+' SEFA (2)'!J20+' SEFA (2)'!J21+' SEFA (2)'!J22+' SEFA (2)'!J23+' SEFA (2)'!J24+' SEFA (2)'!J25+' SEFA (2)'!J26</f>
        <v>0</v>
      </c>
      <c r="K27" s="1343">
        <f>' SEFA'!K11+' SEFA'!K12+' SEFA'!K13+' SEFA'!K14+' SEFA'!K15+' SEFA'!K16+' SEFA'!K17+' SEFA'!K18+' SEFA'!K19+' SEFA'!K20+' SEFA'!K21+' SEFA'!K22+' SEFA'!K23+' SEFA'!K24+' SEFA'!K25+' SEFA'!K26+' SEFA'!K27+' SEFA (2)'!K11+' SEFA (2)'!K12+' SEFA (2)'!K13+' SEFA (2)'!K14+' SEFA (2)'!K15+' SEFA (2)'!K16+' SEFA (2)'!K17+' SEFA (2)'!K18+' SEFA (2)'!K19+' SEFA (2)'!K20+' SEFA (2)'!K21+' SEFA (2)'!K22+' SEFA (2)'!K23+' SEFA (2)'!K24+' SEFA (2)'!K25+' SEFA (2)'!K26</f>
        <v>0</v>
      </c>
      <c r="L27" s="1340">
        <f>+G27+I27+K27</f>
        <v>2509300</v>
      </c>
      <c r="M27" s="1343">
        <f>' SEFA'!M11+' SEFA'!M12+' SEFA'!M13+' SEFA'!M14+' SEFA'!M15+' SEFA'!M16+' SEFA'!M17+' SEFA'!M18+' SEFA'!M19+' SEFA'!M20+' SEFA'!M21+' SEFA'!M22+' SEFA'!M23+' SEFA'!M24+' SEFA'!M25+' SEFA'!M26+' SEFA'!M27+' SEFA (2)'!M11+' SEFA (2)'!M12+' SEFA (2)'!M13+' SEFA (2)'!M14+' SEFA (2)'!M15+' SEFA (2)'!M16+' SEFA (2)'!M17+' SEFA (2)'!M18+' SEFA (2)'!M19+' SEFA (2)'!M20+' SEFA (2)'!M21+' SEFA (2)'!M22+' SEFA (2)'!M23+' SEFA (2)'!M24+' SEFA (2)'!M25+' SEFA (2)'!M26</f>
        <v>2499867</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G52" sqref="G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Riverton Community Unit School District #14</v>
      </c>
      <c r="C1" s="2479"/>
      <c r="D1" s="2479"/>
      <c r="E1" s="2479"/>
      <c r="F1" s="2479"/>
      <c r="G1" s="2479"/>
      <c r="H1" s="2479"/>
      <c r="I1" s="2479"/>
      <c r="J1" s="1422"/>
    </row>
    <row r="2" spans="2:10" s="317" customFormat="1" ht="12.75" customHeight="1" x14ac:dyDescent="0.2">
      <c r="B2" s="2480">
        <f>'Single Audit Cover'!E7</f>
        <v>51084014026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2138</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2090</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2090</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2090</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2090</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2090</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2139</v>
      </c>
      <c r="E29" s="2485"/>
      <c r="F29" s="2485"/>
      <c r="G29" s="2485"/>
      <c r="H29" s="2485"/>
      <c r="I29" s="248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2090</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6" t="s">
        <v>1851</v>
      </c>
      <c r="D37" s="2487"/>
      <c r="E37" s="2487"/>
      <c r="F37" s="2488"/>
      <c r="G37" s="2486" t="s">
        <v>1674</v>
      </c>
      <c r="H37" s="2487"/>
      <c r="I37" s="2488"/>
    </row>
    <row r="38" spans="2:9" ht="16.5" customHeight="1" x14ac:dyDescent="0.2">
      <c r="B38" s="1444">
        <v>10.553000000000001</v>
      </c>
      <c r="C38" s="2474" t="s">
        <v>1119</v>
      </c>
      <c r="D38" s="2475"/>
      <c r="E38" s="2475"/>
      <c r="F38" s="2476"/>
      <c r="G38" s="2489">
        <v>223141</v>
      </c>
      <c r="H38" s="2490"/>
      <c r="I38" s="2491"/>
    </row>
    <row r="39" spans="2:9" ht="16.5" customHeight="1" x14ac:dyDescent="0.2">
      <c r="B39" s="1444">
        <v>10.555</v>
      </c>
      <c r="C39" s="2474" t="s">
        <v>1118</v>
      </c>
      <c r="D39" s="2475"/>
      <c r="E39" s="2475"/>
      <c r="F39" s="2476"/>
      <c r="G39" s="2477">
        <v>546242</v>
      </c>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769383</v>
      </c>
      <c r="H43" s="2470"/>
      <c r="I43" s="2470"/>
    </row>
    <row r="44" spans="2:9" ht="12.75" customHeight="1" x14ac:dyDescent="0.2"/>
    <row r="45" spans="2:9" ht="12.75" customHeight="1" x14ac:dyDescent="0.2">
      <c r="B45" s="1435" t="s">
        <v>1948</v>
      </c>
      <c r="D45" s="2471">
        <v>1645995</v>
      </c>
      <c r="E45" s="2472"/>
    </row>
    <row r="46" spans="2:9" ht="5.25" customHeight="1" x14ac:dyDescent="0.2">
      <c r="B46" s="1445"/>
      <c r="D46" s="1446"/>
      <c r="E46" s="1447"/>
    </row>
    <row r="47" spans="2:9" ht="12.75" customHeight="1" x14ac:dyDescent="0.2">
      <c r="B47" s="1300" t="s">
        <v>1676</v>
      </c>
      <c r="C47" s="1300"/>
      <c r="D47" s="1448">
        <f>+G43/D45</f>
        <v>0.46742730081197087</v>
      </c>
      <c r="E47" s="1449"/>
      <c r="F47" s="1450"/>
      <c r="I47" s="1451"/>
    </row>
    <row r="48" spans="2:9" ht="9.9499999999999993"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c r="F51" s="1300" t="s">
        <v>940</v>
      </c>
      <c r="G51" s="1438" t="s">
        <v>2090</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Riverton Community Unit School District #14</v>
      </c>
      <c r="C1" s="2478"/>
      <c r="D1" s="2478"/>
      <c r="E1" s="2478"/>
      <c r="F1" s="2478"/>
      <c r="G1" s="2478"/>
      <c r="H1" s="2478"/>
      <c r="I1" s="2478"/>
      <c r="J1" s="2478"/>
      <c r="K1" s="2478"/>
      <c r="L1" s="1374"/>
      <c r="M1" s="1374"/>
    </row>
    <row r="2" spans="1:13" ht="12" customHeight="1" x14ac:dyDescent="0.2">
      <c r="B2" s="2480">
        <f>'Single Audit Cover'!E7</f>
        <v>51084014026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2140</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Riverton Community Unit School District #14</v>
      </c>
      <c r="C1" s="2501"/>
      <c r="D1" s="2501"/>
      <c r="E1" s="2501"/>
      <c r="F1" s="2501"/>
      <c r="G1" s="2501"/>
      <c r="H1" s="2501"/>
      <c r="I1" s="2501"/>
      <c r="J1" s="2501"/>
      <c r="K1" s="2501"/>
      <c r="L1" s="1465"/>
    </row>
    <row r="2" spans="1:12" ht="12.75" customHeight="1" x14ac:dyDescent="0.2">
      <c r="B2" s="2502">
        <f>'Single Audit Cover'!E7</f>
        <v>51084014026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2140</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4"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Riverton Community Unit School District #14</v>
      </c>
      <c r="C1" s="2478"/>
      <c r="D1" s="2478"/>
      <c r="E1" s="1491"/>
    </row>
    <row r="2" spans="2:5" s="1282" customFormat="1" ht="12.75" customHeight="1" x14ac:dyDescent="0.2">
      <c r="B2" s="2480">
        <f>'Single Audit Cover'!E7</f>
        <v>51084014026</v>
      </c>
      <c r="C2" s="2480"/>
      <c r="D2" s="2480"/>
      <c r="E2" s="1492"/>
    </row>
    <row r="3" spans="2:5" ht="12.75" customHeight="1" x14ac:dyDescent="0.2">
      <c r="B3" s="2494" t="s">
        <v>1866</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2141</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B44" sqref="B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124357295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2.4865000000000002E-2</v>
      </c>
      <c r="E10" s="356" t="s">
        <v>1062</v>
      </c>
      <c r="F10" s="355">
        <v>4.973E-3</v>
      </c>
      <c r="G10" s="356" t="s">
        <v>1062</v>
      </c>
      <c r="H10" s="355">
        <v>2.1310000000000001E-3</v>
      </c>
      <c r="I10" s="356" t="s">
        <v>1063</v>
      </c>
      <c r="J10" s="1754">
        <f>ROUND(D10+F10+H10,5)</f>
        <v>3.1969999999999998E-2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13530155</v>
      </c>
      <c r="E16" s="356"/>
      <c r="F16" s="1755">
        <f>SUM('Acct Summary 7-8'!C17,'Acct Summary 7-8'!D17,'Acct Summary 7-8'!F17)</f>
        <v>12039148</v>
      </c>
      <c r="G16" s="356"/>
      <c r="H16" s="1755">
        <f>SUM(D16-F16)</f>
        <v>1491007</v>
      </c>
      <c r="I16" s="222"/>
      <c r="J16" s="1755">
        <f>SUM('Acct Summary 7-8'!C81,'Acct Summary 7-8'!D81,'Acct Summary 7-8'!F81,'Acct Summary 7-8'!I81)</f>
        <v>12217915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17161306.710000001</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6169930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Riverton Community Unit School District #14</v>
      </c>
      <c r="E7" s="391"/>
      <c r="G7" s="252"/>
      <c r="H7" s="387"/>
      <c r="I7" s="387"/>
      <c r="J7" s="387"/>
      <c r="K7" s="387"/>
      <c r="L7" s="329"/>
      <c r="M7" s="329"/>
      <c r="N7" s="329"/>
      <c r="O7" s="329"/>
      <c r="P7" s="329"/>
    </row>
    <row r="8" spans="1:18" ht="12.75" x14ac:dyDescent="0.2">
      <c r="A8" s="329"/>
      <c r="B8" s="329"/>
      <c r="C8" s="389" t="s">
        <v>1187</v>
      </c>
      <c r="D8" s="392">
        <f>COVER!A13</f>
        <v>51084014026</v>
      </c>
      <c r="E8" s="393"/>
      <c r="G8" s="329"/>
      <c r="H8" s="329"/>
      <c r="I8" s="329"/>
      <c r="J8" s="329"/>
      <c r="K8" s="329"/>
      <c r="L8" s="329"/>
      <c r="M8" s="329"/>
      <c r="N8" s="329"/>
      <c r="O8" s="329"/>
      <c r="P8" s="329"/>
    </row>
    <row r="9" spans="1:18" ht="12.75" x14ac:dyDescent="0.2">
      <c r="A9" s="329"/>
      <c r="B9" s="329"/>
      <c r="C9" s="389" t="s">
        <v>737</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12217915</v>
      </c>
      <c r="I12" s="404"/>
      <c r="J12" s="404"/>
      <c r="K12" s="405">
        <f>TRUNC((H12/H13*100000),5)/100000</f>
        <v>0.90301367570000002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13530155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12039148</v>
      </c>
      <c r="I17" s="404"/>
      <c r="J17" s="416"/>
      <c r="K17" s="405">
        <f>TRUNC((H17/H18*100000),5)/100000</f>
        <v>0.88980118850000001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13530155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9038149</v>
      </c>
      <c r="I24" s="422"/>
      <c r="J24" s="422"/>
      <c r="K24" s="423">
        <f>TRUNC(((H24/H25*100000)/100000),2)</f>
        <v>270.26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33442.07778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3379347.3129799999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6169930</v>
      </c>
      <c r="I32" s="420"/>
      <c r="J32" s="420"/>
      <c r="K32" s="423">
        <f>TRUNC(100-((((H32/H33*100))*100)/100),2)</f>
        <v>64.040000000000006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17161306.710000001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18310</v>
      </c>
      <c r="D4" s="466">
        <v>947140</v>
      </c>
      <c r="E4" s="466">
        <v>766550</v>
      </c>
      <c r="F4" s="466">
        <v>712521</v>
      </c>
      <c r="G4" s="466">
        <v>259050</v>
      </c>
      <c r="H4" s="466"/>
      <c r="I4" s="466">
        <v>2934033</v>
      </c>
      <c r="J4" s="467"/>
      <c r="K4" s="466">
        <v>3</v>
      </c>
      <c r="L4" s="466">
        <v>224174</v>
      </c>
      <c r="M4" s="468"/>
      <c r="N4" s="469"/>
    </row>
    <row r="5" spans="1:14" x14ac:dyDescent="0.2">
      <c r="A5" s="463" t="s">
        <v>1049</v>
      </c>
      <c r="B5" s="470">
        <v>120</v>
      </c>
      <c r="C5" s="465">
        <f>9475045-5048900</f>
        <v>4426145</v>
      </c>
      <c r="D5" s="466"/>
      <c r="E5" s="466"/>
      <c r="F5" s="466"/>
      <c r="G5" s="466"/>
      <c r="H5" s="466">
        <v>8838</v>
      </c>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5048900</v>
      </c>
      <c r="D12" s="466"/>
      <c r="E12" s="466"/>
      <c r="F12" s="466"/>
      <c r="G12" s="466"/>
      <c r="H12" s="466"/>
      <c r="I12" s="466"/>
      <c r="J12" s="467"/>
      <c r="K12" s="466"/>
      <c r="L12" s="466"/>
      <c r="M12" s="469"/>
      <c r="N12" s="469"/>
    </row>
    <row r="13" spans="1:14" ht="13.5" customHeight="1" thickBot="1" x14ac:dyDescent="0.25">
      <c r="A13" s="1758" t="s">
        <v>665</v>
      </c>
      <c r="B13" s="1731"/>
      <c r="C13" s="1759">
        <f>SUM(C4:C12)</f>
        <v>9493355</v>
      </c>
      <c r="D13" s="1759">
        <f t="shared" ref="D13:L13" si="0">SUM(D4:D12)</f>
        <v>947140</v>
      </c>
      <c r="E13" s="1759">
        <f t="shared" si="0"/>
        <v>766550</v>
      </c>
      <c r="F13" s="1759">
        <f t="shared" si="0"/>
        <v>712521</v>
      </c>
      <c r="G13" s="1759">
        <f t="shared" si="0"/>
        <v>259050</v>
      </c>
      <c r="H13" s="1759">
        <f t="shared" si="0"/>
        <v>8838</v>
      </c>
      <c r="I13" s="1759">
        <f t="shared" si="0"/>
        <v>2934033</v>
      </c>
      <c r="J13" s="1759">
        <f t="shared" si="0"/>
        <v>0</v>
      </c>
      <c r="K13" s="1759">
        <f t="shared" si="0"/>
        <v>3</v>
      </c>
      <c r="L13" s="1759">
        <f t="shared" si="0"/>
        <v>224174</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1553417</v>
      </c>
      <c r="N16" s="484"/>
    </row>
    <row r="17" spans="1:14" s="485" customFormat="1" ht="12.75" customHeight="1" x14ac:dyDescent="0.2">
      <c r="A17" s="482" t="s">
        <v>1470</v>
      </c>
      <c r="B17" s="483">
        <v>230</v>
      </c>
      <c r="C17" s="477"/>
      <c r="D17" s="477"/>
      <c r="E17" s="477"/>
      <c r="F17" s="477"/>
      <c r="G17" s="477"/>
      <c r="H17" s="477"/>
      <c r="I17" s="477"/>
      <c r="J17" s="477"/>
      <c r="K17" s="477"/>
      <c r="L17" s="477"/>
      <c r="M17" s="467">
        <v>16074846</v>
      </c>
      <c r="N17" s="484"/>
    </row>
    <row r="18" spans="1:14" s="485" customFormat="1" ht="12.75" customHeight="1" x14ac:dyDescent="0.2">
      <c r="A18" s="482" t="s">
        <v>1471</v>
      </c>
      <c r="B18" s="483">
        <v>240</v>
      </c>
      <c r="C18" s="477"/>
      <c r="D18" s="477"/>
      <c r="E18" s="477"/>
      <c r="F18" s="477"/>
      <c r="G18" s="477"/>
      <c r="H18" s="477"/>
      <c r="I18" s="477"/>
      <c r="J18" s="477"/>
      <c r="K18" s="477"/>
      <c r="L18" s="477"/>
      <c r="M18" s="467">
        <v>190177</v>
      </c>
      <c r="N18" s="484"/>
    </row>
    <row r="19" spans="1:14" s="485" customFormat="1" ht="12.75" customHeight="1" x14ac:dyDescent="0.2">
      <c r="A19" s="482" t="s">
        <v>1472</v>
      </c>
      <c r="B19" s="483">
        <v>250</v>
      </c>
      <c r="C19" s="477"/>
      <c r="D19" s="477"/>
      <c r="E19" s="477"/>
      <c r="F19" s="477"/>
      <c r="G19" s="477"/>
      <c r="H19" s="477"/>
      <c r="I19" s="477"/>
      <c r="J19" s="477"/>
      <c r="K19" s="477"/>
      <c r="L19" s="477"/>
      <c r="M19" s="467">
        <v>427434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766550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5403380</v>
      </c>
    </row>
    <row r="23" spans="1:14" ht="13.5" customHeight="1" thickBot="1" x14ac:dyDescent="0.25">
      <c r="A23" s="1758" t="s">
        <v>664</v>
      </c>
      <c r="B23" s="1763"/>
      <c r="C23" s="468"/>
      <c r="D23" s="468"/>
      <c r="E23" s="468"/>
      <c r="F23" s="468"/>
      <c r="G23" s="468"/>
      <c r="H23" s="468"/>
      <c r="I23" s="468"/>
      <c r="J23" s="468"/>
      <c r="K23" s="468"/>
      <c r="L23" s="468"/>
      <c r="M23" s="1710">
        <f>SUM(M15:M22)</f>
        <v>18245874</v>
      </c>
      <c r="N23" s="1710">
        <f>SUM(N21:N22)</f>
        <v>6169930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1869134</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224174</v>
      </c>
      <c r="M33" s="468"/>
      <c r="N33" s="469"/>
    </row>
    <row r="34" spans="1:14" ht="13.5" customHeight="1" thickBot="1" x14ac:dyDescent="0.25">
      <c r="A34" s="1760" t="s">
        <v>675</v>
      </c>
      <c r="B34" s="1761"/>
      <c r="C34" s="1762">
        <f>SUM(C25:C33)</f>
        <v>1869134</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224174</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6169930</v>
      </c>
    </row>
    <row r="37" spans="1:14" ht="13.5" thickBot="1" x14ac:dyDescent="0.25">
      <c r="A37" s="1758" t="s">
        <v>674</v>
      </c>
      <c r="B37" s="1763"/>
      <c r="C37" s="477"/>
      <c r="D37" s="477"/>
      <c r="E37" s="477"/>
      <c r="F37" s="477"/>
      <c r="G37" s="477"/>
      <c r="H37" s="477"/>
      <c r="I37" s="477"/>
      <c r="J37" s="477"/>
      <c r="K37" s="477"/>
      <c r="L37" s="480"/>
      <c r="M37" s="468"/>
      <c r="N37" s="1710">
        <f>SUM(N36:N36)</f>
        <v>6169930</v>
      </c>
    </row>
    <row r="38" spans="1:14" s="329" customFormat="1" ht="13.5" customHeight="1" thickTop="1" x14ac:dyDescent="0.2">
      <c r="A38" s="496" t="s">
        <v>440</v>
      </c>
      <c r="B38" s="483">
        <v>714</v>
      </c>
      <c r="C38" s="466">
        <v>408206</v>
      </c>
      <c r="D38" s="466"/>
      <c r="E38" s="466"/>
      <c r="F38" s="466"/>
      <c r="G38" s="466">
        <v>259050</v>
      </c>
      <c r="H38" s="466"/>
      <c r="I38" s="466"/>
      <c r="J38" s="467"/>
      <c r="K38" s="466"/>
      <c r="L38" s="481"/>
      <c r="M38" s="497"/>
      <c r="N38" s="497"/>
    </row>
    <row r="39" spans="1:14" s="329" customFormat="1" ht="13.5" customHeight="1" x14ac:dyDescent="0.2">
      <c r="A39" s="496" t="s">
        <v>360</v>
      </c>
      <c r="B39" s="483">
        <v>730</v>
      </c>
      <c r="C39" s="466">
        <v>7216015</v>
      </c>
      <c r="D39" s="466">
        <v>947140</v>
      </c>
      <c r="E39" s="466">
        <v>766550</v>
      </c>
      <c r="F39" s="466">
        <v>712521</v>
      </c>
      <c r="G39" s="466"/>
      <c r="H39" s="466">
        <v>8838</v>
      </c>
      <c r="I39" s="466">
        <v>2934033</v>
      </c>
      <c r="J39" s="467"/>
      <c r="K39" s="466">
        <v>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18245874</v>
      </c>
      <c r="N40" s="497"/>
    </row>
    <row r="41" spans="1:14" ht="13.5" customHeight="1" thickBot="1" x14ac:dyDescent="0.25">
      <c r="A41" s="1758" t="s">
        <v>676</v>
      </c>
      <c r="B41" s="1728"/>
      <c r="C41" s="1710">
        <f>(SUM(C34,C37,C38,C39))</f>
        <v>9493355</v>
      </c>
      <c r="D41" s="1710">
        <f t="shared" ref="D41:L41" si="2">SUM(D34,D37,D38:D39)</f>
        <v>947140</v>
      </c>
      <c r="E41" s="1710">
        <f t="shared" si="2"/>
        <v>766550</v>
      </c>
      <c r="F41" s="1710">
        <f t="shared" si="2"/>
        <v>712521</v>
      </c>
      <c r="G41" s="1710">
        <f t="shared" si="2"/>
        <v>259050</v>
      </c>
      <c r="H41" s="1710">
        <f t="shared" si="2"/>
        <v>8838</v>
      </c>
      <c r="I41" s="1710">
        <f t="shared" si="2"/>
        <v>2934033</v>
      </c>
      <c r="J41" s="1710">
        <f t="shared" si="2"/>
        <v>0</v>
      </c>
      <c r="K41" s="1710">
        <f t="shared" si="2"/>
        <v>3</v>
      </c>
      <c r="L41" s="1710">
        <f t="shared" si="2"/>
        <v>224174</v>
      </c>
      <c r="M41" s="1710">
        <f>SUM(M40)</f>
        <v>18245874</v>
      </c>
      <c r="N41" s="1710">
        <f>SUM(N37)</f>
        <v>6169930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E76" sqref="E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3646463</v>
      </c>
      <c r="D4" s="1764">
        <f>'Revenues 9-14'!D109</f>
        <v>709519</v>
      </c>
      <c r="E4" s="1764">
        <f>'Revenues 9-14'!E109</f>
        <v>965981</v>
      </c>
      <c r="F4" s="1764">
        <f>'Revenues 9-14'!F109</f>
        <v>301759</v>
      </c>
      <c r="G4" s="1764">
        <f>'Revenues 9-14'!G109</f>
        <v>424738</v>
      </c>
      <c r="H4" s="1764">
        <f>'Revenues 9-14'!H109</f>
        <v>123</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5920171</v>
      </c>
      <c r="D6" s="1765">
        <f>'Revenues 9-14'!D173</f>
        <v>600000</v>
      </c>
      <c r="E6" s="1765">
        <f>'Revenues 9-14'!E173</f>
        <v>151387</v>
      </c>
      <c r="F6" s="1765">
        <f>'Revenues 9-14'!F173</f>
        <v>589831</v>
      </c>
      <c r="G6" s="1765">
        <f>'Revenues 9-14'!G173</f>
        <v>120000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1762412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11329046</v>
      </c>
      <c r="D8" s="1710">
        <f t="shared" ref="D8:K8" si="0">SUM(D4:D7)</f>
        <v>1309519</v>
      </c>
      <c r="E8" s="1710">
        <f t="shared" si="0"/>
        <v>1117368</v>
      </c>
      <c r="F8" s="1710">
        <f t="shared" si="0"/>
        <v>891590</v>
      </c>
      <c r="G8" s="1710">
        <f t="shared" si="0"/>
        <v>544738</v>
      </c>
      <c r="H8" s="1710">
        <f t="shared" si="0"/>
        <v>123</v>
      </c>
      <c r="I8" s="1710">
        <f t="shared" si="0"/>
        <v>0</v>
      </c>
      <c r="J8" s="1710">
        <f t="shared" si="0"/>
        <v>0</v>
      </c>
      <c r="K8" s="1710">
        <f t="shared" si="0"/>
        <v>0</v>
      </c>
      <c r="L8" s="347"/>
    </row>
    <row r="9" spans="1:13" ht="15.75" thickTop="1" x14ac:dyDescent="0.2">
      <c r="A9" s="514" t="s">
        <v>1752</v>
      </c>
      <c r="B9" s="515">
        <v>3998</v>
      </c>
      <c r="C9" s="481">
        <v>643801</v>
      </c>
      <c r="D9" s="516"/>
      <c r="E9" s="481"/>
      <c r="F9" s="481"/>
      <c r="G9" s="517"/>
      <c r="H9" s="481"/>
      <c r="I9" s="509" t="s">
        <v>1231</v>
      </c>
      <c r="J9" s="478"/>
      <c r="K9" s="481"/>
      <c r="L9" s="347"/>
    </row>
    <row r="10" spans="1:13" s="519" customFormat="1" ht="13.5" thickBot="1" x14ac:dyDescent="0.25">
      <c r="A10" s="1758" t="s">
        <v>1235</v>
      </c>
      <c r="B10" s="1731"/>
      <c r="C10" s="1710">
        <f>SUM(C8:C9)</f>
        <v>11972847</v>
      </c>
      <c r="D10" s="1710">
        <f t="shared" ref="D10:K10" si="1">SUM(D8:D9)</f>
        <v>1309519</v>
      </c>
      <c r="E10" s="1710">
        <f t="shared" si="1"/>
        <v>1117368</v>
      </c>
      <c r="F10" s="1710">
        <f t="shared" si="1"/>
        <v>891590</v>
      </c>
      <c r="G10" s="1710">
        <f t="shared" si="1"/>
        <v>544738</v>
      </c>
      <c r="H10" s="1710">
        <f t="shared" si="1"/>
        <v>123</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6237225</v>
      </c>
      <c r="D12" s="520" t="s">
        <v>1231</v>
      </c>
      <c r="E12" s="468" t="s">
        <v>1231</v>
      </c>
      <c r="F12" s="468" t="s">
        <v>1231</v>
      </c>
      <c r="G12" s="1764">
        <f>'Expenditures 15-22'!K229</f>
        <v>161135</v>
      </c>
      <c r="H12" s="521"/>
      <c r="I12" s="468" t="s">
        <v>1231</v>
      </c>
      <c r="J12" s="468" t="s">
        <v>1231</v>
      </c>
      <c r="K12" s="521" t="s">
        <v>1231</v>
      </c>
      <c r="L12" s="347"/>
    </row>
    <row r="13" spans="1:13" ht="15.75" customHeight="1" x14ac:dyDescent="0.2">
      <c r="A13" s="1598" t="s">
        <v>477</v>
      </c>
      <c r="B13" s="1600">
        <v>2000</v>
      </c>
      <c r="C13" s="1765">
        <f>'Expenditures 15-22'!K74</f>
        <v>2526316</v>
      </c>
      <c r="D13" s="1765">
        <f>'Expenditures 15-22'!K129</f>
        <v>1300296</v>
      </c>
      <c r="E13" s="469" t="s">
        <v>1231</v>
      </c>
      <c r="F13" s="1765">
        <f>'Expenditures 15-22'!K184</f>
        <v>649466</v>
      </c>
      <c r="G13" s="1765">
        <f>'Expenditures 15-22'!K279</f>
        <v>219986</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39554</v>
      </c>
      <c r="D14" s="1765">
        <f>'Expenditures 15-22'!K130</f>
        <v>0</v>
      </c>
      <c r="E14" s="520" t="s">
        <v>1231</v>
      </c>
      <c r="F14" s="1765">
        <f>'Expenditures 15-22'!K185</f>
        <v>0</v>
      </c>
      <c r="G14" s="1765">
        <f>'Expenditures 15-22'!K280</f>
        <v>7284</v>
      </c>
      <c r="H14" s="512"/>
      <c r="I14" s="468" t="s">
        <v>1231</v>
      </c>
      <c r="J14" s="468" t="s">
        <v>1231</v>
      </c>
      <c r="K14" s="512" t="s">
        <v>1231</v>
      </c>
      <c r="L14" s="347"/>
    </row>
    <row r="15" spans="1:13" ht="15.75" customHeight="1" x14ac:dyDescent="0.2">
      <c r="A15" s="1598" t="s">
        <v>109</v>
      </c>
      <c r="B15" s="1600">
        <v>4000</v>
      </c>
      <c r="C15" s="1765">
        <f>'Expenditures 15-22'!K102</f>
        <v>1286291</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1207437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10089386</v>
      </c>
      <c r="D17" s="1710">
        <f t="shared" si="2"/>
        <v>1300296</v>
      </c>
      <c r="E17" s="1710">
        <f t="shared" si="2"/>
        <v>1207437</v>
      </c>
      <c r="F17" s="1710">
        <f t="shared" si="2"/>
        <v>649466</v>
      </c>
      <c r="G17" s="1710">
        <f t="shared" si="2"/>
        <v>388405</v>
      </c>
      <c r="H17" s="1710">
        <f t="shared" si="2"/>
        <v>0</v>
      </c>
      <c r="I17" s="468"/>
      <c r="J17" s="1710">
        <f>SUM(J12:J16)</f>
        <v>0</v>
      </c>
      <c r="K17" s="1710">
        <f>SUM(K12:K16)</f>
        <v>0</v>
      </c>
      <c r="L17" s="347"/>
    </row>
    <row r="18" spans="1:12" ht="15" customHeight="1" thickTop="1" x14ac:dyDescent="0.2">
      <c r="A18" s="1766" t="s">
        <v>1753</v>
      </c>
      <c r="B18" s="1767">
        <v>4180</v>
      </c>
      <c r="C18" s="1764">
        <f t="shared" ref="C18:H18" si="3">C9</f>
        <v>643801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10733187</v>
      </c>
      <c r="D19" s="1710">
        <f t="shared" si="4"/>
        <v>1300296</v>
      </c>
      <c r="E19" s="1710">
        <f t="shared" si="4"/>
        <v>1207437</v>
      </c>
      <c r="F19" s="1710">
        <f t="shared" si="4"/>
        <v>649466</v>
      </c>
      <c r="G19" s="1710">
        <f t="shared" si="4"/>
        <v>388405</v>
      </c>
      <c r="H19" s="1710">
        <f t="shared" si="4"/>
        <v>0</v>
      </c>
      <c r="I19" s="468"/>
      <c r="J19" s="1710">
        <f>SUM(J17:J18)</f>
        <v>0</v>
      </c>
      <c r="K19" s="1710">
        <f>SUM(K17:K18)</f>
        <v>0</v>
      </c>
      <c r="L19" s="347"/>
    </row>
    <row r="20" spans="1:12" ht="16.5" thickTop="1" thickBot="1" x14ac:dyDescent="0.25">
      <c r="A20" s="2144" t="s">
        <v>1754</v>
      </c>
      <c r="B20" s="2145"/>
      <c r="C20" s="1768">
        <f>C8-C17</f>
        <v>1239660</v>
      </c>
      <c r="D20" s="1768">
        <f t="shared" ref="D20:K20" si="5">D8-D17</f>
        <v>9223</v>
      </c>
      <c r="E20" s="1768">
        <f t="shared" si="5"/>
        <v>-90069</v>
      </c>
      <c r="F20" s="1768">
        <f t="shared" si="5"/>
        <v>242124</v>
      </c>
      <c r="G20" s="1768">
        <f t="shared" si="5"/>
        <v>156333</v>
      </c>
      <c r="H20" s="1768">
        <f t="shared" si="5"/>
        <v>123</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v>2821000</v>
      </c>
      <c r="F33" s="467"/>
      <c r="G33" s="477"/>
      <c r="H33" s="467"/>
      <c r="I33" s="467">
        <v>2227900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2821000</v>
      </c>
      <c r="F44" s="1725">
        <f t="shared" si="6"/>
        <v>0</v>
      </c>
      <c r="G44" s="1725">
        <f t="shared" si="6"/>
        <v>0</v>
      </c>
      <c r="H44" s="1725">
        <f t="shared" si="6"/>
        <v>0</v>
      </c>
      <c r="I44" s="1725">
        <f t="shared" si="6"/>
        <v>2227900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2715000</v>
      </c>
      <c r="F75" s="532"/>
      <c r="G75" s="532"/>
      <c r="H75" s="532"/>
      <c r="I75" s="530">
        <v>20550</v>
      </c>
      <c r="J75" s="530"/>
      <c r="K75" s="532"/>
      <c r="L75" s="524"/>
    </row>
    <row r="76" spans="1:12" s="485" customFormat="1" ht="14.25" thickTop="1" thickBot="1" x14ac:dyDescent="0.25">
      <c r="A76" s="2134" t="s">
        <v>460</v>
      </c>
      <c r="B76" s="2135"/>
      <c r="C76" s="1725">
        <f t="shared" ref="C76:K76" si="7">SUM(C47:C75)</f>
        <v>0</v>
      </c>
      <c r="D76" s="1725">
        <f t="shared" si="7"/>
        <v>0</v>
      </c>
      <c r="E76" s="1725">
        <f t="shared" si="7"/>
        <v>2715000</v>
      </c>
      <c r="F76" s="1725">
        <f t="shared" si="7"/>
        <v>0</v>
      </c>
      <c r="G76" s="1725">
        <f t="shared" si="7"/>
        <v>0</v>
      </c>
      <c r="H76" s="1725">
        <f t="shared" si="7"/>
        <v>0</v>
      </c>
      <c r="I76" s="1725">
        <f t="shared" si="7"/>
        <v>20550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106000</v>
      </c>
      <c r="F77" s="1725">
        <f t="shared" si="8"/>
        <v>0</v>
      </c>
      <c r="G77" s="1725">
        <f t="shared" si="8"/>
        <v>0</v>
      </c>
      <c r="H77" s="1725">
        <f t="shared" si="8"/>
        <v>0</v>
      </c>
      <c r="I77" s="1725">
        <f t="shared" si="8"/>
        <v>2207350</v>
      </c>
      <c r="J77" s="1725">
        <f t="shared" si="8"/>
        <v>0</v>
      </c>
      <c r="K77" s="1725">
        <f t="shared" si="8"/>
        <v>0</v>
      </c>
      <c r="L77" s="347"/>
    </row>
    <row r="78" spans="1:12" ht="21.75" customHeight="1" thickTop="1" thickBot="1" x14ac:dyDescent="0.25">
      <c r="A78" s="2140" t="s">
        <v>618</v>
      </c>
      <c r="B78" s="2141"/>
      <c r="C78" s="1724">
        <f t="shared" ref="C78:K78" si="9">C20+C77</f>
        <v>1239660</v>
      </c>
      <c r="D78" s="1724">
        <f t="shared" si="9"/>
        <v>9223</v>
      </c>
      <c r="E78" s="1724">
        <f t="shared" si="9"/>
        <v>15931</v>
      </c>
      <c r="F78" s="1724">
        <f t="shared" si="9"/>
        <v>242124</v>
      </c>
      <c r="G78" s="1724">
        <f t="shared" si="9"/>
        <v>156333</v>
      </c>
      <c r="H78" s="1724">
        <f t="shared" si="9"/>
        <v>123</v>
      </c>
      <c r="I78" s="1724">
        <f t="shared" si="9"/>
        <v>2207350</v>
      </c>
      <c r="J78" s="1724">
        <f t="shared" si="9"/>
        <v>0</v>
      </c>
      <c r="K78" s="1724">
        <f t="shared" si="9"/>
        <v>0</v>
      </c>
      <c r="L78" s="533"/>
    </row>
    <row r="79" spans="1:12" ht="13.5" thickTop="1" x14ac:dyDescent="0.2">
      <c r="A79" s="1516" t="s">
        <v>2068</v>
      </c>
      <c r="B79" s="534"/>
      <c r="C79" s="478">
        <v>6384561</v>
      </c>
      <c r="D79" s="535">
        <v>937917</v>
      </c>
      <c r="E79" s="535">
        <v>750619</v>
      </c>
      <c r="F79" s="535">
        <v>470397</v>
      </c>
      <c r="G79" s="535">
        <v>102717</v>
      </c>
      <c r="H79" s="535">
        <v>8715</v>
      </c>
      <c r="I79" s="535">
        <v>726683</v>
      </c>
      <c r="J79" s="535"/>
      <c r="K79" s="535">
        <v>3</v>
      </c>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2069</v>
      </c>
      <c r="B81" s="2139"/>
      <c r="C81" s="1710">
        <f>(SUM(C78:C80))</f>
        <v>7624221</v>
      </c>
      <c r="D81" s="1710">
        <f>SUM(D78:D80)</f>
        <v>947140</v>
      </c>
      <c r="E81" s="1710">
        <f t="shared" ref="E81:K81" si="10">SUM(E78:E80)</f>
        <v>766550</v>
      </c>
      <c r="F81" s="1710">
        <f t="shared" si="10"/>
        <v>712521</v>
      </c>
      <c r="G81" s="1710">
        <f t="shared" si="10"/>
        <v>259050</v>
      </c>
      <c r="H81" s="1710">
        <f t="shared" si="10"/>
        <v>8838</v>
      </c>
      <c r="I81" s="1710">
        <f t="shared" si="10"/>
        <v>2934033</v>
      </c>
      <c r="J81" s="1710">
        <f t="shared" si="10"/>
        <v>0</v>
      </c>
      <c r="K81" s="1710">
        <f t="shared" si="10"/>
        <v>3</v>
      </c>
      <c r="L81" s="347"/>
    </row>
    <row r="82" spans="1:12" ht="0.75" customHeight="1" thickTop="1" thickBot="1" x14ac:dyDescent="0.25">
      <c r="A82" s="536" t="s">
        <v>361</v>
      </c>
      <c r="B82" s="537"/>
      <c r="C82" s="538">
        <f>(C81-C79)</f>
        <v>1239660</v>
      </c>
      <c r="D82" s="538">
        <f t="shared" ref="D82:K82" si="11">(D81-D79)</f>
        <v>9223</v>
      </c>
      <c r="E82" s="538">
        <f t="shared" si="11"/>
        <v>15931</v>
      </c>
      <c r="F82" s="538">
        <f t="shared" si="11"/>
        <v>242124</v>
      </c>
      <c r="G82" s="538">
        <f t="shared" si="11"/>
        <v>156333</v>
      </c>
      <c r="H82" s="538">
        <f t="shared" si="11"/>
        <v>123</v>
      </c>
      <c r="I82" s="538">
        <f t="shared" si="11"/>
        <v>2207350</v>
      </c>
      <c r="J82" s="538">
        <f t="shared" si="11"/>
        <v>0</v>
      </c>
      <c r="K82" s="538">
        <f t="shared" si="11"/>
        <v>0</v>
      </c>
    </row>
    <row r="83" spans="1:12" ht="14.25" hidden="1" thickTop="1" thickBot="1" x14ac:dyDescent="0.25">
      <c r="A83" s="539" t="s">
        <v>362</v>
      </c>
      <c r="B83" s="464"/>
      <c r="C83" s="540">
        <f>C82/C81</f>
        <v>0.16259497199779493</v>
      </c>
      <c r="D83" s="540">
        <f t="shared" ref="D83:K83" si="12">D82/D81</f>
        <v>9.7377367654201061E-3</v>
      </c>
      <c r="E83" s="540">
        <f t="shared" si="12"/>
        <v>2.0782727806405322E-2</v>
      </c>
      <c r="F83" s="540">
        <f t="shared" si="12"/>
        <v>0.33981314234948867</v>
      </c>
      <c r="G83" s="540">
        <f t="shared" si="12"/>
        <v>0.60348581354950781</v>
      </c>
      <c r="H83" s="540">
        <f t="shared" si="12"/>
        <v>1.3917175831636116E-2</v>
      </c>
      <c r="I83" s="540">
        <f t="shared" si="12"/>
        <v>0.75232623491283157</v>
      </c>
      <c r="J83" s="540" t="e">
        <f t="shared" si="12"/>
        <v>#DIV/0!</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3202539</v>
      </c>
      <c r="D5" s="481">
        <v>630826</v>
      </c>
      <c r="E5" s="466">
        <v>965459</v>
      </c>
      <c r="F5" s="548">
        <v>262331</v>
      </c>
      <c r="G5" s="466">
        <v>424500</v>
      </c>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62119</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3264658</v>
      </c>
      <c r="D12" s="1729">
        <f t="shared" si="0"/>
        <v>630826</v>
      </c>
      <c r="E12" s="1729">
        <f t="shared" si="0"/>
        <v>965459</v>
      </c>
      <c r="F12" s="1729">
        <f t="shared" si="0"/>
        <v>262331</v>
      </c>
      <c r="G12" s="1729">
        <f t="shared" si="0"/>
        <v>424500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78351</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78351</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13723</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13723</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83095</v>
      </c>
      <c r="D65" s="466">
        <v>342</v>
      </c>
      <c r="E65" s="466">
        <v>522</v>
      </c>
      <c r="F65" s="467">
        <v>143</v>
      </c>
      <c r="G65" s="466">
        <v>238</v>
      </c>
      <c r="H65" s="466">
        <v>123</v>
      </c>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83095</v>
      </c>
      <c r="D67" s="1710">
        <f t="shared" ref="D67:K67" si="2">SUM(D65:D66)</f>
        <v>342</v>
      </c>
      <c r="E67" s="1710">
        <f t="shared" si="2"/>
        <v>522</v>
      </c>
      <c r="F67" s="1710">
        <f t="shared" si="2"/>
        <v>143</v>
      </c>
      <c r="G67" s="1710">
        <f t="shared" si="2"/>
        <v>238</v>
      </c>
      <c r="H67" s="1710">
        <f t="shared" si="2"/>
        <v>123</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18217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18217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106483</v>
      </c>
      <c r="D81" s="466"/>
      <c r="E81" s="468"/>
      <c r="F81" s="468"/>
      <c r="G81" s="468"/>
      <c r="H81" s="468"/>
      <c r="I81" s="468"/>
      <c r="J81" s="468"/>
      <c r="K81" s="468"/>
    </row>
    <row r="82" spans="1:11" ht="12.75" customHeight="1" thickBot="1" x14ac:dyDescent="0.25">
      <c r="A82" s="1730" t="s">
        <v>259</v>
      </c>
      <c r="B82" s="1731"/>
      <c r="C82" s="1729">
        <f>SUM(C77:C81)</f>
        <v>106483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86082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86082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15406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11345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47454</v>
      </c>
      <c r="D107" s="466"/>
      <c r="E107" s="466"/>
      <c r="F107" s="466">
        <v>39285</v>
      </c>
      <c r="G107" s="466"/>
      <c r="H107" s="466"/>
      <c r="I107" s="466"/>
      <c r="J107" s="467"/>
      <c r="K107" s="466"/>
    </row>
    <row r="108" spans="1:12" ht="12.75" customHeight="1" thickBot="1" x14ac:dyDescent="0.25">
      <c r="A108" s="1730" t="s">
        <v>508</v>
      </c>
      <c r="B108" s="1734"/>
      <c r="C108" s="1729">
        <f>SUM(C95:C107)</f>
        <v>74205</v>
      </c>
      <c r="D108" s="1729">
        <f t="shared" ref="D108:K108" si="3">SUM(D95:D107)</f>
        <v>0</v>
      </c>
      <c r="E108" s="1729">
        <f t="shared" si="3"/>
        <v>0</v>
      </c>
      <c r="F108" s="1729">
        <f t="shared" si="3"/>
        <v>39285</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3646463</v>
      </c>
      <c r="D109" s="1737">
        <f t="shared" si="4"/>
        <v>709519</v>
      </c>
      <c r="E109" s="1737">
        <f t="shared" si="4"/>
        <v>965981</v>
      </c>
      <c r="F109" s="1737">
        <f t="shared" si="4"/>
        <v>301759</v>
      </c>
      <c r="G109" s="1737">
        <f t="shared" si="4"/>
        <v>424738</v>
      </c>
      <c r="H109" s="1737">
        <f t="shared" si="4"/>
        <v>123</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4801420</v>
      </c>
      <c r="D117" s="481">
        <v>600000</v>
      </c>
      <c r="E117" s="466">
        <v>151387</v>
      </c>
      <c r="F117" s="481">
        <v>300000</v>
      </c>
      <c r="G117" s="481">
        <v>120000</v>
      </c>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4801420</v>
      </c>
      <c r="D121" s="1729">
        <f t="shared" si="5"/>
        <v>600000</v>
      </c>
      <c r="E121" s="1729">
        <f t="shared" si="5"/>
        <v>151387</v>
      </c>
      <c r="F121" s="1729">
        <f t="shared" si="5"/>
        <v>300000</v>
      </c>
      <c r="G121" s="1729">
        <f t="shared" si="5"/>
        <v>120000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87949</v>
      </c>
      <c r="D124" s="561"/>
      <c r="E124" s="468"/>
      <c r="F124" s="548"/>
      <c r="G124" s="468"/>
      <c r="H124" s="468"/>
      <c r="I124" s="468"/>
      <c r="J124" s="468"/>
      <c r="K124" s="468"/>
    </row>
    <row r="125" spans="1:11" ht="12.75" customHeight="1" x14ac:dyDescent="0.2">
      <c r="A125" s="463" t="s">
        <v>1521</v>
      </c>
      <c r="B125" s="562">
        <v>3105</v>
      </c>
      <c r="C125" s="466">
        <v>93130</v>
      </c>
      <c r="D125" s="561"/>
      <c r="E125" s="468"/>
      <c r="F125" s="466"/>
      <c r="G125" s="468"/>
      <c r="H125" s="468"/>
      <c r="I125" s="468"/>
      <c r="J125" s="468"/>
      <c r="K125" s="468"/>
    </row>
    <row r="126" spans="1:11" ht="12.75" customHeight="1" x14ac:dyDescent="0.2">
      <c r="A126" s="463" t="s">
        <v>922</v>
      </c>
      <c r="B126" s="562">
        <v>3110</v>
      </c>
      <c r="C126" s="551">
        <v>402722</v>
      </c>
      <c r="D126" s="466"/>
      <c r="E126" s="468"/>
      <c r="F126" s="466"/>
      <c r="G126" s="468"/>
      <c r="H126" s="468"/>
      <c r="I126" s="468"/>
      <c r="J126" s="468"/>
      <c r="K126" s="468"/>
    </row>
    <row r="127" spans="1:11" ht="12.75" customHeight="1" x14ac:dyDescent="0.2">
      <c r="A127" s="463" t="s">
        <v>107</v>
      </c>
      <c r="B127" s="562">
        <v>3120</v>
      </c>
      <c r="C127" s="466">
        <v>16904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3480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604185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9036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15056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125967</v>
      </c>
      <c r="G151" s="467"/>
      <c r="H151" s="468"/>
      <c r="I151" s="468"/>
      <c r="J151" s="468"/>
      <c r="K151" s="468"/>
    </row>
    <row r="152" spans="1:11" ht="12.75" customHeight="1" x14ac:dyDescent="0.2">
      <c r="A152" s="463" t="s">
        <v>1117</v>
      </c>
      <c r="B152" s="562">
        <v>3510</v>
      </c>
      <c r="C152" s="551"/>
      <c r="D152" s="466"/>
      <c r="E152" s="561"/>
      <c r="F152" s="466">
        <v>163864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289831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483597</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6877</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1118751</v>
      </c>
      <c r="D172" s="1744">
        <f t="shared" si="6"/>
        <v>0</v>
      </c>
      <c r="E172" s="1744">
        <f t="shared" si="6"/>
        <v>0</v>
      </c>
      <c r="F172" s="1744">
        <f t="shared" si="6"/>
        <v>289831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5920171</v>
      </c>
      <c r="D173" s="1737">
        <f>SUM(D121,D172)</f>
        <v>600000</v>
      </c>
      <c r="E173" s="1737">
        <f>SUM(E121,E172)</f>
        <v>151387</v>
      </c>
      <c r="F173" s="1737">
        <f t="shared" ref="F173:K173" si="7">SUM(F121,F172)</f>
        <v>589831</v>
      </c>
      <c r="G173" s="1737">
        <f t="shared" si="7"/>
        <v>120000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1903</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448766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200135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648901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297603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297603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20641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216194</v>
      </c>
      <c r="D220" s="466"/>
      <c r="E220" s="468"/>
      <c r="F220" s="466"/>
      <c r="G220" s="466"/>
      <c r="H220" s="468"/>
      <c r="I220" s="468"/>
      <c r="J220" s="468"/>
      <c r="K220" s="468"/>
    </row>
    <row r="221" spans="1:11" ht="12.75" customHeight="1" x14ac:dyDescent="0.2">
      <c r="A221" s="463" t="s">
        <v>1114</v>
      </c>
      <c r="B221" s="470">
        <v>4625</v>
      </c>
      <c r="C221" s="551">
        <v>229453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466288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46372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12838</v>
      </c>
      <c r="D270" s="576"/>
      <c r="E270" s="468"/>
      <c r="F270" s="576"/>
      <c r="G270" s="576"/>
      <c r="H270" s="468"/>
      <c r="I270" s="468"/>
      <c r="J270" s="468"/>
      <c r="K270" s="468"/>
    </row>
    <row r="271" spans="1:11" ht="12.75" customHeight="1" thickTop="1" thickBot="1" x14ac:dyDescent="0.25">
      <c r="A271" s="463" t="s">
        <v>395</v>
      </c>
      <c r="B271" s="470">
        <v>4992</v>
      </c>
      <c r="C271" s="575">
        <v>290410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1762412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1762412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11329046</v>
      </c>
      <c r="D275" s="1737">
        <f t="shared" si="12"/>
        <v>1309519</v>
      </c>
      <c r="E275" s="1737">
        <f t="shared" si="12"/>
        <v>1117368</v>
      </c>
      <c r="F275" s="1737">
        <f t="shared" si="12"/>
        <v>891590</v>
      </c>
      <c r="G275" s="1737">
        <f t="shared" si="12"/>
        <v>544738</v>
      </c>
      <c r="H275" s="1737">
        <f t="shared" si="12"/>
        <v>123</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H361" sqref="H36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3508083</v>
      </c>
      <c r="D5" s="466">
        <v>275392</v>
      </c>
      <c r="E5" s="466">
        <v>218498</v>
      </c>
      <c r="F5" s="466">
        <v>255378</v>
      </c>
      <c r="G5" s="466">
        <v>78104</v>
      </c>
      <c r="H5" s="466">
        <v>545</v>
      </c>
      <c r="I5" s="467"/>
      <c r="J5" s="467"/>
      <c r="K5" s="1693">
        <f>SUM(C5:J5)</f>
        <v>4336000</v>
      </c>
      <c r="L5" s="466">
        <v>4439697</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212787</v>
      </c>
      <c r="D7" s="467">
        <v>12896</v>
      </c>
      <c r="E7" s="467">
        <v>4395</v>
      </c>
      <c r="F7" s="467">
        <v>19282</v>
      </c>
      <c r="G7" s="467">
        <v>1838</v>
      </c>
      <c r="H7" s="467"/>
      <c r="I7" s="467"/>
      <c r="J7" s="467"/>
      <c r="K7" s="1693">
        <f t="shared" ref="K7:K32" si="0">SUM(C7:J7)</f>
        <v>251198</v>
      </c>
      <c r="L7" s="466">
        <v>250193</v>
      </c>
    </row>
    <row r="8" spans="1:14" x14ac:dyDescent="0.2">
      <c r="A8" s="1526" t="s">
        <v>166</v>
      </c>
      <c r="B8" s="615">
        <v>1200</v>
      </c>
      <c r="C8" s="466">
        <v>1219899</v>
      </c>
      <c r="D8" s="466">
        <v>106733</v>
      </c>
      <c r="E8" s="466"/>
      <c r="F8" s="466">
        <v>4531</v>
      </c>
      <c r="G8" s="466"/>
      <c r="H8" s="466"/>
      <c r="I8" s="467"/>
      <c r="J8" s="467"/>
      <c r="K8" s="1693">
        <f t="shared" si="0"/>
        <v>1331163</v>
      </c>
      <c r="L8" s="466">
        <v>1360102</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360</v>
      </c>
      <c r="D10" s="466">
        <v>5</v>
      </c>
      <c r="E10" s="466"/>
      <c r="F10" s="466"/>
      <c r="G10" s="466"/>
      <c r="H10" s="466"/>
      <c r="I10" s="467"/>
      <c r="J10" s="467"/>
      <c r="K10" s="1693">
        <f t="shared" si="0"/>
        <v>365</v>
      </c>
      <c r="L10" s="466">
        <v>525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26859</v>
      </c>
      <c r="D13" s="466">
        <v>711</v>
      </c>
      <c r="E13" s="466"/>
      <c r="F13" s="466"/>
      <c r="G13" s="466"/>
      <c r="H13" s="466"/>
      <c r="I13" s="467"/>
      <c r="J13" s="467"/>
      <c r="K13" s="1693">
        <f t="shared" si="0"/>
        <v>27570</v>
      </c>
      <c r="L13" s="466">
        <v>27719</v>
      </c>
    </row>
    <row r="14" spans="1:14" x14ac:dyDescent="0.2">
      <c r="A14" s="1526" t="s">
        <v>1020</v>
      </c>
      <c r="B14" s="615">
        <v>1500</v>
      </c>
      <c r="C14" s="466">
        <v>186197</v>
      </c>
      <c r="D14" s="466">
        <v>1263</v>
      </c>
      <c r="E14" s="466">
        <v>25295</v>
      </c>
      <c r="F14" s="466">
        <v>8507</v>
      </c>
      <c r="G14" s="466"/>
      <c r="H14" s="466">
        <v>8520</v>
      </c>
      <c r="I14" s="467"/>
      <c r="J14" s="467"/>
      <c r="K14" s="1693">
        <f t="shared" si="0"/>
        <v>229782</v>
      </c>
      <c r="L14" s="466">
        <v>257729</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57991</v>
      </c>
      <c r="D17" s="467">
        <v>866</v>
      </c>
      <c r="E17" s="467">
        <v>718</v>
      </c>
      <c r="F17" s="467">
        <v>1572</v>
      </c>
      <c r="G17" s="467"/>
      <c r="H17" s="467"/>
      <c r="I17" s="467"/>
      <c r="J17" s="467"/>
      <c r="K17" s="1693">
        <f t="shared" si="0"/>
        <v>61147</v>
      </c>
      <c r="L17" s="466">
        <v>64488</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5212176</v>
      </c>
      <c r="D33" s="1692">
        <f t="shared" ref="D33:L33" si="1">SUM(D5:D32)</f>
        <v>397866</v>
      </c>
      <c r="E33" s="1692">
        <f t="shared" si="1"/>
        <v>248906</v>
      </c>
      <c r="F33" s="1692">
        <f t="shared" si="1"/>
        <v>289270</v>
      </c>
      <c r="G33" s="1692">
        <f t="shared" si="1"/>
        <v>79942</v>
      </c>
      <c r="H33" s="1692">
        <f t="shared" si="1"/>
        <v>9065</v>
      </c>
      <c r="I33" s="1692">
        <f t="shared" si="1"/>
        <v>0</v>
      </c>
      <c r="J33" s="1692">
        <f t="shared" si="1"/>
        <v>0</v>
      </c>
      <c r="K33" s="1692">
        <f t="shared" si="1"/>
        <v>6237225</v>
      </c>
      <c r="L33" s="1692">
        <f t="shared" si="1"/>
        <v>6400453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266200</v>
      </c>
      <c r="D37" s="466">
        <v>16619</v>
      </c>
      <c r="E37" s="466">
        <v>314</v>
      </c>
      <c r="F37" s="466"/>
      <c r="G37" s="466"/>
      <c r="H37" s="466"/>
      <c r="I37" s="467"/>
      <c r="J37" s="467"/>
      <c r="K37" s="1693">
        <f t="shared" si="2"/>
        <v>283133</v>
      </c>
      <c r="L37" s="466">
        <v>284522</v>
      </c>
    </row>
    <row r="38" spans="1:14" x14ac:dyDescent="0.2">
      <c r="A38" s="1526" t="s">
        <v>207</v>
      </c>
      <c r="B38" s="615">
        <v>2130</v>
      </c>
      <c r="C38" s="466">
        <v>76878</v>
      </c>
      <c r="D38" s="466">
        <v>7060</v>
      </c>
      <c r="E38" s="466">
        <v>7122</v>
      </c>
      <c r="F38" s="466">
        <v>2294</v>
      </c>
      <c r="G38" s="466">
        <v>994</v>
      </c>
      <c r="H38" s="466"/>
      <c r="I38" s="467"/>
      <c r="J38" s="467"/>
      <c r="K38" s="1693">
        <f t="shared" si="2"/>
        <v>94348</v>
      </c>
      <c r="L38" s="466">
        <v>105282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343078</v>
      </c>
      <c r="D42" s="1692">
        <f t="shared" ref="D42:L42" si="3">SUM(D36:D41)</f>
        <v>23679</v>
      </c>
      <c r="E42" s="1692">
        <f t="shared" si="3"/>
        <v>7436</v>
      </c>
      <c r="F42" s="1692">
        <f t="shared" si="3"/>
        <v>2294</v>
      </c>
      <c r="G42" s="1692">
        <f t="shared" si="3"/>
        <v>994</v>
      </c>
      <c r="H42" s="1692">
        <f t="shared" si="3"/>
        <v>0</v>
      </c>
      <c r="I42" s="1692">
        <f t="shared" si="3"/>
        <v>0</v>
      </c>
      <c r="J42" s="1692">
        <f t="shared" si="3"/>
        <v>0</v>
      </c>
      <c r="K42" s="1692">
        <f t="shared" si="3"/>
        <v>377481</v>
      </c>
      <c r="L42" s="1692">
        <f t="shared" si="3"/>
        <v>389804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4875</v>
      </c>
      <c r="D44" s="481">
        <v>1133</v>
      </c>
      <c r="E44" s="481">
        <v>11271</v>
      </c>
      <c r="F44" s="481"/>
      <c r="G44" s="481"/>
      <c r="H44" s="481"/>
      <c r="I44" s="467"/>
      <c r="J44" s="467"/>
      <c r="K44" s="1694">
        <f>SUM(C44:J44)</f>
        <v>17279</v>
      </c>
      <c r="L44" s="481">
        <v>26323</v>
      </c>
    </row>
    <row r="45" spans="1:14" x14ac:dyDescent="0.2">
      <c r="A45" s="1526" t="s">
        <v>869</v>
      </c>
      <c r="B45" s="615">
        <v>2220</v>
      </c>
      <c r="C45" s="466">
        <v>63362</v>
      </c>
      <c r="D45" s="466">
        <v>5167</v>
      </c>
      <c r="E45" s="466">
        <v>150</v>
      </c>
      <c r="F45" s="466">
        <v>9591</v>
      </c>
      <c r="G45" s="466"/>
      <c r="H45" s="466">
        <v>3954</v>
      </c>
      <c r="I45" s="467"/>
      <c r="J45" s="467"/>
      <c r="K45" s="1694">
        <f>SUM(C45:J45)</f>
        <v>82224</v>
      </c>
      <c r="L45" s="466">
        <v>87869</v>
      </c>
    </row>
    <row r="46" spans="1:14" x14ac:dyDescent="0.2">
      <c r="A46" s="1526" t="s">
        <v>870</v>
      </c>
      <c r="B46" s="615">
        <v>2230</v>
      </c>
      <c r="C46" s="466"/>
      <c r="D46" s="466"/>
      <c r="E46" s="466">
        <v>3910</v>
      </c>
      <c r="F46" s="466"/>
      <c r="G46" s="466"/>
      <c r="H46" s="466"/>
      <c r="I46" s="467"/>
      <c r="J46" s="467"/>
      <c r="K46" s="1694">
        <f>SUM(C46:J46)</f>
        <v>3910</v>
      </c>
      <c r="L46" s="466">
        <v>4000</v>
      </c>
    </row>
    <row r="47" spans="1:14" ht="12.75" customHeight="1" thickBot="1" x14ac:dyDescent="0.25">
      <c r="A47" s="1690" t="s">
        <v>582</v>
      </c>
      <c r="B47" s="1691" t="s">
        <v>32</v>
      </c>
      <c r="C47" s="1692">
        <f>SUM(C44:C46)</f>
        <v>68237</v>
      </c>
      <c r="D47" s="1692">
        <f t="shared" ref="D47:K47" si="4">SUM(D44:D46)</f>
        <v>6300</v>
      </c>
      <c r="E47" s="1692">
        <f t="shared" si="4"/>
        <v>15331</v>
      </c>
      <c r="F47" s="1692">
        <f t="shared" si="4"/>
        <v>9591</v>
      </c>
      <c r="G47" s="1692">
        <f t="shared" si="4"/>
        <v>0</v>
      </c>
      <c r="H47" s="1692">
        <f t="shared" si="4"/>
        <v>3954</v>
      </c>
      <c r="I47" s="1692">
        <f t="shared" si="4"/>
        <v>0</v>
      </c>
      <c r="J47" s="1692">
        <f t="shared" si="4"/>
        <v>0</v>
      </c>
      <c r="K47" s="1692">
        <f t="shared" si="4"/>
        <v>103413</v>
      </c>
      <c r="L47" s="1692">
        <f>SUM(L44:L46)</f>
        <v>118192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7702</v>
      </c>
      <c r="D49" s="481">
        <v>82685</v>
      </c>
      <c r="E49" s="481">
        <v>121257</v>
      </c>
      <c r="F49" s="481"/>
      <c r="G49" s="481"/>
      <c r="H49" s="481">
        <v>4004</v>
      </c>
      <c r="I49" s="467"/>
      <c r="J49" s="467"/>
      <c r="K49" s="1694">
        <f>SUM(C49:J49)</f>
        <v>215648</v>
      </c>
      <c r="L49" s="481">
        <v>207789</v>
      </c>
    </row>
    <row r="50" spans="1:14" x14ac:dyDescent="0.2">
      <c r="A50" s="1526" t="s">
        <v>872</v>
      </c>
      <c r="B50" s="615">
        <v>2320</v>
      </c>
      <c r="C50" s="466">
        <v>196114</v>
      </c>
      <c r="D50" s="466">
        <v>27107</v>
      </c>
      <c r="E50" s="466">
        <v>16911</v>
      </c>
      <c r="F50" s="466">
        <v>2286</v>
      </c>
      <c r="G50" s="466"/>
      <c r="H50" s="466">
        <v>1474</v>
      </c>
      <c r="I50" s="467"/>
      <c r="J50" s="467"/>
      <c r="K50" s="1694">
        <f>SUM(C50:J50)</f>
        <v>243892</v>
      </c>
      <c r="L50" s="466">
        <v>264513</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203816</v>
      </c>
      <c r="D53" s="1692">
        <f t="shared" ref="D53:L53" si="5">SUM(D49:D52)</f>
        <v>109792</v>
      </c>
      <c r="E53" s="1692">
        <f t="shared" si="5"/>
        <v>138168</v>
      </c>
      <c r="F53" s="1692">
        <f t="shared" si="5"/>
        <v>2286</v>
      </c>
      <c r="G53" s="1692">
        <f t="shared" si="5"/>
        <v>0</v>
      </c>
      <c r="H53" s="1692">
        <f t="shared" si="5"/>
        <v>5478</v>
      </c>
      <c r="I53" s="1692">
        <f t="shared" si="5"/>
        <v>0</v>
      </c>
      <c r="J53" s="1692">
        <f t="shared" si="5"/>
        <v>0</v>
      </c>
      <c r="K53" s="1692">
        <f t="shared" si="5"/>
        <v>459540</v>
      </c>
      <c r="L53" s="1692">
        <f t="shared" si="5"/>
        <v>472302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574244</v>
      </c>
      <c r="D55" s="481">
        <v>43544</v>
      </c>
      <c r="E55" s="481">
        <v>2382</v>
      </c>
      <c r="F55" s="481">
        <v>3229</v>
      </c>
      <c r="G55" s="481"/>
      <c r="H55" s="481">
        <v>2033</v>
      </c>
      <c r="I55" s="467"/>
      <c r="J55" s="467"/>
      <c r="K55" s="1694">
        <f>SUM(C55:J55)</f>
        <v>625432</v>
      </c>
      <c r="L55" s="481">
        <v>648813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574244</v>
      </c>
      <c r="D57" s="1696">
        <f t="shared" ref="D57:K57" si="6">SUM(D55:D56)</f>
        <v>43544</v>
      </c>
      <c r="E57" s="1696">
        <f t="shared" si="6"/>
        <v>2382</v>
      </c>
      <c r="F57" s="1696">
        <f t="shared" si="6"/>
        <v>3229</v>
      </c>
      <c r="G57" s="1696">
        <f t="shared" si="6"/>
        <v>0</v>
      </c>
      <c r="H57" s="1696">
        <f t="shared" si="6"/>
        <v>2033</v>
      </c>
      <c r="I57" s="1696">
        <f t="shared" si="6"/>
        <v>0</v>
      </c>
      <c r="J57" s="1696">
        <f t="shared" si="6"/>
        <v>0</v>
      </c>
      <c r="K57" s="1696">
        <f t="shared" si="6"/>
        <v>625432</v>
      </c>
      <c r="L57" s="1692">
        <f>SUM(L55:L56)</f>
        <v>648813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109333</v>
      </c>
      <c r="D60" s="466">
        <v>17050</v>
      </c>
      <c r="E60" s="466"/>
      <c r="F60" s="466">
        <v>1227</v>
      </c>
      <c r="G60" s="466"/>
      <c r="H60" s="466">
        <v>340</v>
      </c>
      <c r="I60" s="467"/>
      <c r="J60" s="467"/>
      <c r="K60" s="1694">
        <f t="shared" si="7"/>
        <v>127950</v>
      </c>
      <c r="L60" s="466">
        <v>129913</v>
      </c>
      <c r="M60" s="610"/>
      <c r="N60" s="610"/>
    </row>
    <row r="61" spans="1:14" s="343" customFormat="1" x14ac:dyDescent="0.2">
      <c r="A61" s="1526" t="s">
        <v>206</v>
      </c>
      <c r="B61" s="615">
        <v>2540</v>
      </c>
      <c r="C61" s="466">
        <v>22472</v>
      </c>
      <c r="D61" s="466">
        <v>901</v>
      </c>
      <c r="E61" s="466"/>
      <c r="F61" s="466">
        <v>3370</v>
      </c>
      <c r="G61" s="466">
        <v>42388</v>
      </c>
      <c r="H61" s="466"/>
      <c r="I61" s="467"/>
      <c r="J61" s="467"/>
      <c r="K61" s="1694">
        <f t="shared" si="7"/>
        <v>69131</v>
      </c>
      <c r="L61" s="466">
        <v>65408</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60257</v>
      </c>
      <c r="D63" s="466">
        <v>7078</v>
      </c>
      <c r="E63" s="466">
        <v>656595</v>
      </c>
      <c r="F63" s="466">
        <v>5762</v>
      </c>
      <c r="G63" s="466">
        <v>5898</v>
      </c>
      <c r="H63" s="466"/>
      <c r="I63" s="467"/>
      <c r="J63" s="467"/>
      <c r="K63" s="1694">
        <f t="shared" si="7"/>
        <v>735590</v>
      </c>
      <c r="L63" s="466">
        <v>748426</v>
      </c>
    </row>
    <row r="64" spans="1:14" s="610" customFormat="1" x14ac:dyDescent="0.2">
      <c r="A64" s="1531" t="s">
        <v>103</v>
      </c>
      <c r="B64" s="631">
        <v>2570</v>
      </c>
      <c r="C64" s="481">
        <v>1649</v>
      </c>
      <c r="D64" s="481"/>
      <c r="E64" s="481"/>
      <c r="F64" s="481"/>
      <c r="G64" s="481"/>
      <c r="H64" s="481"/>
      <c r="I64" s="467"/>
      <c r="J64" s="467"/>
      <c r="K64" s="1694">
        <f t="shared" si="7"/>
        <v>1649</v>
      </c>
      <c r="L64" s="481">
        <v>1500</v>
      </c>
    </row>
    <row r="65" spans="1:14" s="343" customFormat="1" ht="12.75" customHeight="1" thickBot="1" x14ac:dyDescent="0.25">
      <c r="A65" s="1690" t="s">
        <v>743</v>
      </c>
      <c r="B65" s="1691" t="s">
        <v>35</v>
      </c>
      <c r="C65" s="1692">
        <f>SUM(C59:C64)</f>
        <v>193711</v>
      </c>
      <c r="D65" s="1692">
        <f t="shared" ref="D65:L65" si="8">SUM(D59:D64)</f>
        <v>25029</v>
      </c>
      <c r="E65" s="1692">
        <f t="shared" si="8"/>
        <v>656595</v>
      </c>
      <c r="F65" s="1692">
        <f t="shared" si="8"/>
        <v>10359</v>
      </c>
      <c r="G65" s="1692">
        <f t="shared" si="8"/>
        <v>48286</v>
      </c>
      <c r="H65" s="1692">
        <f t="shared" si="8"/>
        <v>340</v>
      </c>
      <c r="I65" s="1692">
        <f t="shared" si="8"/>
        <v>0</v>
      </c>
      <c r="J65" s="1692">
        <f t="shared" si="8"/>
        <v>0</v>
      </c>
      <c r="K65" s="1692">
        <f t="shared" si="8"/>
        <v>934320</v>
      </c>
      <c r="L65" s="1692">
        <f t="shared" si="8"/>
        <v>945247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1273</v>
      </c>
      <c r="F70" s="466"/>
      <c r="G70" s="466"/>
      <c r="H70" s="466"/>
      <c r="I70" s="467"/>
      <c r="J70" s="467"/>
      <c r="K70" s="1694">
        <f>SUM(C70:J70)</f>
        <v>1273</v>
      </c>
      <c r="L70" s="466">
        <v>1500</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1273</v>
      </c>
      <c r="F72" s="1692">
        <f t="shared" si="9"/>
        <v>0</v>
      </c>
      <c r="G72" s="1692">
        <f t="shared" si="9"/>
        <v>0</v>
      </c>
      <c r="H72" s="1692">
        <f t="shared" si="9"/>
        <v>0</v>
      </c>
      <c r="I72" s="1692">
        <f t="shared" si="9"/>
        <v>0</v>
      </c>
      <c r="J72" s="1692">
        <f t="shared" si="9"/>
        <v>0</v>
      </c>
      <c r="K72" s="1692">
        <f t="shared" si="9"/>
        <v>1273</v>
      </c>
      <c r="L72" s="1692">
        <f>SUM(L67:L71)</f>
        <v>1500</v>
      </c>
      <c r="M72" s="610"/>
      <c r="N72" s="610"/>
    </row>
    <row r="73" spans="1:14" s="343" customFormat="1" ht="14.25" thickTop="1" thickBot="1" x14ac:dyDescent="0.25">
      <c r="A73" s="1532" t="s">
        <v>1037</v>
      </c>
      <c r="B73" s="633" t="s">
        <v>595</v>
      </c>
      <c r="C73" s="573">
        <v>24857</v>
      </c>
      <c r="D73" s="573"/>
      <c r="E73" s="573"/>
      <c r="F73" s="573"/>
      <c r="G73" s="573"/>
      <c r="H73" s="573"/>
      <c r="I73" s="531"/>
      <c r="J73" s="531"/>
      <c r="K73" s="1692">
        <f>SUM(C73:J73)</f>
        <v>24857</v>
      </c>
      <c r="L73" s="576">
        <v>29200</v>
      </c>
      <c r="M73" s="610"/>
      <c r="N73" s="610"/>
    </row>
    <row r="74" spans="1:14" ht="12.75" customHeight="1" thickTop="1" thickBot="1" x14ac:dyDescent="0.25">
      <c r="A74" s="1690" t="s">
        <v>865</v>
      </c>
      <c r="B74" s="1698">
        <v>2000</v>
      </c>
      <c r="C74" s="1699">
        <f>SUM(C42,C47,C53,C57,C65,C72,C73)</f>
        <v>1407943</v>
      </c>
      <c r="D74" s="1699">
        <f t="shared" ref="D74:K74" si="10">SUM(D42,D47,D53,D57,D65,D72,D73)</f>
        <v>208344</v>
      </c>
      <c r="E74" s="1699">
        <f t="shared" si="10"/>
        <v>821185</v>
      </c>
      <c r="F74" s="1699">
        <f t="shared" si="10"/>
        <v>27759</v>
      </c>
      <c r="G74" s="1699">
        <f t="shared" si="10"/>
        <v>49280</v>
      </c>
      <c r="H74" s="1699">
        <f t="shared" si="10"/>
        <v>11805</v>
      </c>
      <c r="I74" s="1699">
        <f t="shared" si="10"/>
        <v>0</v>
      </c>
      <c r="J74" s="1699">
        <f t="shared" si="10"/>
        <v>0</v>
      </c>
      <c r="K74" s="1699">
        <f t="shared" si="10"/>
        <v>2526316</v>
      </c>
      <c r="L74" s="1699">
        <f>SUM(L42,L47,L53,L57,L65,L72,L73)</f>
        <v>2605058</v>
      </c>
    </row>
    <row r="75" spans="1:14" s="259" customFormat="1" ht="15.75" customHeight="1" thickTop="1" thickBot="1" x14ac:dyDescent="0.25">
      <c r="A75" s="1632" t="s">
        <v>49</v>
      </c>
      <c r="B75" s="1633" t="s">
        <v>596</v>
      </c>
      <c r="C75" s="573">
        <v>32647</v>
      </c>
      <c r="D75" s="573">
        <v>3180</v>
      </c>
      <c r="E75" s="573">
        <v>778</v>
      </c>
      <c r="F75" s="573">
        <v>2949</v>
      </c>
      <c r="G75" s="573"/>
      <c r="H75" s="573"/>
      <c r="I75" s="531"/>
      <c r="J75" s="531"/>
      <c r="K75" s="1692">
        <f>SUM(C75:J75)</f>
        <v>39554</v>
      </c>
      <c r="L75" s="576">
        <v>48466</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34603</v>
      </c>
      <c r="F78" s="617"/>
      <c r="G78" s="617"/>
      <c r="H78" s="635"/>
      <c r="I78" s="477"/>
      <c r="J78" s="477"/>
      <c r="K78" s="1693">
        <f t="shared" ref="K78:K83" si="11">SUM(C78:J78)</f>
        <v>34603</v>
      </c>
      <c r="L78" s="481">
        <v>40000</v>
      </c>
    </row>
    <row r="79" spans="1:14" x14ac:dyDescent="0.2">
      <c r="A79" s="1526" t="s">
        <v>322</v>
      </c>
      <c r="B79" s="615">
        <v>4120</v>
      </c>
      <c r="C79" s="617"/>
      <c r="D79" s="617"/>
      <c r="E79" s="466">
        <v>1133662</v>
      </c>
      <c r="F79" s="617"/>
      <c r="G79" s="617"/>
      <c r="H79" s="466"/>
      <c r="I79" s="477"/>
      <c r="J79" s="477"/>
      <c r="K79" s="1693">
        <f t="shared" si="11"/>
        <v>1133662</v>
      </c>
      <c r="L79" s="466">
        <v>1143969</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96026</v>
      </c>
      <c r="F81" s="617"/>
      <c r="G81" s="617"/>
      <c r="H81" s="466"/>
      <c r="I81" s="477"/>
      <c r="J81" s="477"/>
      <c r="K81" s="1693">
        <f t="shared" si="11"/>
        <v>96026</v>
      </c>
      <c r="L81" s="466">
        <v>96400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22000</v>
      </c>
      <c r="F83" s="617"/>
      <c r="G83" s="617"/>
      <c r="H83" s="466"/>
      <c r="I83" s="477"/>
      <c r="J83" s="477"/>
      <c r="K83" s="1693">
        <f t="shared" si="11"/>
        <v>22000</v>
      </c>
      <c r="L83" s="466">
        <v>22000</v>
      </c>
    </row>
    <row r="84" spans="1:12" ht="13.5" thickBot="1" x14ac:dyDescent="0.25">
      <c r="A84" s="1690" t="s">
        <v>1565</v>
      </c>
      <c r="B84" s="1700">
        <v>4100</v>
      </c>
      <c r="C84" s="617"/>
      <c r="D84" s="617"/>
      <c r="E84" s="1692">
        <f>SUM(E78:E83)</f>
        <v>1286291</v>
      </c>
      <c r="F84" s="617"/>
      <c r="G84" s="617"/>
      <c r="H84" s="1692">
        <f>SUM(H78:H83)</f>
        <v>0</v>
      </c>
      <c r="I84" s="477"/>
      <c r="J84" s="477"/>
      <c r="K84" s="1692">
        <f>SUM(K78:K83)</f>
        <v>1286291</v>
      </c>
      <c r="L84" s="1692">
        <f>SUM(L78:L83)</f>
        <v>1302369</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1286291</v>
      </c>
      <c r="F102" s="617"/>
      <c r="G102" s="617"/>
      <c r="H102" s="1699">
        <f>SUM(H84,H92,H100,H101)</f>
        <v>0</v>
      </c>
      <c r="I102" s="477"/>
      <c r="J102" s="477"/>
      <c r="K102" s="1699">
        <f>SUM(K84,K92,K100,K101)</f>
        <v>1286291</v>
      </c>
      <c r="L102" s="1699">
        <f>SUM(L84,L92,L100,L101)</f>
        <v>1302369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6500</v>
      </c>
      <c r="M113" s="614"/>
      <c r="N113" s="614"/>
    </row>
    <row r="114" spans="1:14" ht="12.75" customHeight="1" thickTop="1" thickBot="1" x14ac:dyDescent="0.25">
      <c r="A114" s="1690" t="s">
        <v>50</v>
      </c>
      <c r="B114" s="1704"/>
      <c r="C114" s="1692">
        <f>SUM(C33,C74,C75,C102,C112,C113)</f>
        <v>6652766</v>
      </c>
      <c r="D114" s="1692">
        <f t="shared" ref="D114:K114" si="13">SUM(D33,D74,D75,D102,D112,D113)</f>
        <v>609390</v>
      </c>
      <c r="E114" s="1692">
        <f t="shared" si="13"/>
        <v>2357160</v>
      </c>
      <c r="F114" s="1692">
        <f t="shared" si="13"/>
        <v>319978</v>
      </c>
      <c r="G114" s="1692">
        <f t="shared" si="13"/>
        <v>129222</v>
      </c>
      <c r="H114" s="1692">
        <f>SUM(H33,H74,H75,H102,H112,H113)</f>
        <v>20870</v>
      </c>
      <c r="I114" s="1692">
        <f t="shared" si="13"/>
        <v>0</v>
      </c>
      <c r="J114" s="1692">
        <f t="shared" si="13"/>
        <v>0</v>
      </c>
      <c r="K114" s="1692">
        <f t="shared" si="13"/>
        <v>10089386</v>
      </c>
      <c r="L114" s="1692">
        <f>SUM(L33,L74,L75,L102,L112,L113)</f>
        <v>10362846</v>
      </c>
    </row>
    <row r="115" spans="1:14" ht="13.5" thickTop="1" x14ac:dyDescent="0.2">
      <c r="A115" s="2199" t="s">
        <v>1053</v>
      </c>
      <c r="B115" s="2200"/>
      <c r="C115" s="619"/>
      <c r="D115" s="619"/>
      <c r="E115" s="619"/>
      <c r="F115" s="619"/>
      <c r="G115" s="619"/>
      <c r="H115" s="619"/>
      <c r="I115" s="619"/>
      <c r="J115" s="619"/>
      <c r="K115" s="1706">
        <f>'Revenues 9-14'!C275-'Expenditures 15-22'!K114</f>
        <v>1239660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v>23716</v>
      </c>
      <c r="H123" s="466"/>
      <c r="I123" s="467"/>
      <c r="J123" s="467"/>
      <c r="K123" s="1692">
        <f>SUM(C123:J123)</f>
        <v>23716</v>
      </c>
      <c r="L123" s="466">
        <v>24000</v>
      </c>
    </row>
    <row r="124" spans="1:14" ht="14.25" thickTop="1" thickBot="1" x14ac:dyDescent="0.25">
      <c r="A124" s="1526" t="s">
        <v>206</v>
      </c>
      <c r="B124" s="615">
        <v>2540</v>
      </c>
      <c r="C124" s="466">
        <v>305759</v>
      </c>
      <c r="D124" s="466">
        <v>34514</v>
      </c>
      <c r="E124" s="466">
        <v>313272</v>
      </c>
      <c r="F124" s="466">
        <v>555880</v>
      </c>
      <c r="G124" s="466">
        <v>67155</v>
      </c>
      <c r="H124" s="466"/>
      <c r="I124" s="467"/>
      <c r="J124" s="467"/>
      <c r="K124" s="1692">
        <f>SUM(C124:J124)</f>
        <v>1276580</v>
      </c>
      <c r="L124" s="466">
        <v>1423189</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305759</v>
      </c>
      <c r="D127" s="1692">
        <f t="shared" ref="D127:L127" si="14">SUM(D122:D126)</f>
        <v>34514</v>
      </c>
      <c r="E127" s="1692">
        <f t="shared" si="14"/>
        <v>313272</v>
      </c>
      <c r="F127" s="1692">
        <f t="shared" si="14"/>
        <v>555880</v>
      </c>
      <c r="G127" s="1692">
        <f t="shared" si="14"/>
        <v>90871</v>
      </c>
      <c r="H127" s="1692">
        <f t="shared" si="14"/>
        <v>0</v>
      </c>
      <c r="I127" s="1692">
        <f t="shared" si="14"/>
        <v>0</v>
      </c>
      <c r="J127" s="1692">
        <f t="shared" si="14"/>
        <v>0</v>
      </c>
      <c r="K127" s="1692">
        <f t="shared" si="14"/>
        <v>1300296</v>
      </c>
      <c r="L127" s="1692">
        <f t="shared" si="14"/>
        <v>1447189</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305759</v>
      </c>
      <c r="D129" s="1699">
        <f t="shared" ref="D129:L129" si="15">SUM(D120,D127,D128)</f>
        <v>34514</v>
      </c>
      <c r="E129" s="1699">
        <f t="shared" si="15"/>
        <v>313272</v>
      </c>
      <c r="F129" s="1699">
        <f t="shared" si="15"/>
        <v>555880</v>
      </c>
      <c r="G129" s="1699">
        <f t="shared" si="15"/>
        <v>90871</v>
      </c>
      <c r="H129" s="1699">
        <f t="shared" si="15"/>
        <v>0</v>
      </c>
      <c r="I129" s="1699">
        <f t="shared" si="15"/>
        <v>0</v>
      </c>
      <c r="J129" s="1699">
        <f t="shared" si="15"/>
        <v>0</v>
      </c>
      <c r="K129" s="1699">
        <f t="shared" si="15"/>
        <v>1300296</v>
      </c>
      <c r="L129" s="1699">
        <f t="shared" si="15"/>
        <v>1447189</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2000</v>
      </c>
    </row>
    <row r="151" spans="1:14" ht="12.75" customHeight="1" thickTop="1" thickBot="1" x14ac:dyDescent="0.25">
      <c r="A151" s="2189" t="s">
        <v>641</v>
      </c>
      <c r="B151" s="2171"/>
      <c r="C151" s="1692">
        <f>SUM(C129,C130,C139,C149,C150)</f>
        <v>305759</v>
      </c>
      <c r="D151" s="1692">
        <f t="shared" ref="D151:K151" si="16">SUM(D129,D130,D139,D149,D150)</f>
        <v>34514</v>
      </c>
      <c r="E151" s="1692">
        <f t="shared" si="16"/>
        <v>313272</v>
      </c>
      <c r="F151" s="1692">
        <f t="shared" si="16"/>
        <v>555880</v>
      </c>
      <c r="G151" s="1692">
        <f t="shared" si="16"/>
        <v>90871</v>
      </c>
      <c r="H151" s="1692">
        <f t="shared" si="16"/>
        <v>0</v>
      </c>
      <c r="I151" s="1692">
        <f t="shared" si="16"/>
        <v>0</v>
      </c>
      <c r="J151" s="1692">
        <f t="shared" si="16"/>
        <v>0</v>
      </c>
      <c r="K151" s="1692">
        <f t="shared" si="16"/>
        <v>1300296</v>
      </c>
      <c r="L151" s="1692">
        <f>SUM(L129,L130,L139,L149,L150)</f>
        <v>1449189</v>
      </c>
    </row>
    <row r="152" spans="1:14" ht="12.75" customHeight="1" thickTop="1" x14ac:dyDescent="0.2">
      <c r="A152" s="2192" t="s">
        <v>1240</v>
      </c>
      <c r="B152" s="2193"/>
      <c r="C152" s="619"/>
      <c r="D152" s="619"/>
      <c r="E152" s="619"/>
      <c r="F152" s="619"/>
      <c r="G152" s="619"/>
      <c r="H152" s="619"/>
      <c r="I152" s="619"/>
      <c r="J152" s="617"/>
      <c r="K152" s="1706">
        <f>'Revenues 9-14'!D275-'Expenditures 15-22'!K151</f>
        <v>9223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148218</v>
      </c>
      <c r="I169" s="617"/>
      <c r="J169" s="617"/>
      <c r="K169" s="1693">
        <f>SUM(C169:H169)</f>
        <v>148218</v>
      </c>
      <c r="L169" s="657">
        <v>148219</v>
      </c>
    </row>
    <row r="170" spans="1:14" ht="33.75" customHeight="1" x14ac:dyDescent="0.2">
      <c r="A170" s="670" t="s">
        <v>1769</v>
      </c>
      <c r="B170" s="672" t="s">
        <v>31</v>
      </c>
      <c r="C170" s="617"/>
      <c r="D170" s="617"/>
      <c r="E170" s="617"/>
      <c r="F170" s="617"/>
      <c r="G170" s="617"/>
      <c r="H170" s="569">
        <v>989503</v>
      </c>
      <c r="I170" s="617"/>
      <c r="J170" s="617"/>
      <c r="K170" s="1693">
        <f>SUM(C170:J170)</f>
        <v>989503</v>
      </c>
      <c r="L170" s="569">
        <v>3704503</v>
      </c>
    </row>
    <row r="171" spans="1:14" ht="15.75" customHeight="1" x14ac:dyDescent="0.2">
      <c r="A171" s="622" t="s">
        <v>790</v>
      </c>
      <c r="B171" s="673" t="s">
        <v>86</v>
      </c>
      <c r="C171" s="617"/>
      <c r="D171" s="617"/>
      <c r="E171" s="466"/>
      <c r="F171" s="617"/>
      <c r="G171" s="617"/>
      <c r="H171" s="569">
        <v>69716</v>
      </c>
      <c r="I171" s="477"/>
      <c r="J171" s="617"/>
      <c r="K171" s="1693">
        <f>SUM(C171:J171)</f>
        <v>69716</v>
      </c>
      <c r="L171" s="569">
        <v>90266</v>
      </c>
    </row>
    <row r="172" spans="1:14" ht="12.75" customHeight="1" thickBot="1" x14ac:dyDescent="0.25">
      <c r="A172" s="1690" t="s">
        <v>659</v>
      </c>
      <c r="B172" s="1691" t="s">
        <v>513</v>
      </c>
      <c r="C172" s="617"/>
      <c r="D172" s="617"/>
      <c r="E172" s="1699">
        <f>SUM(E168,E169,E170,E171)</f>
        <v>0</v>
      </c>
      <c r="F172" s="617"/>
      <c r="G172" s="617"/>
      <c r="H172" s="1699">
        <f>SUM(H168,H169,H170,H171)</f>
        <v>1207437</v>
      </c>
      <c r="I172" s="639"/>
      <c r="J172" s="617"/>
      <c r="K172" s="1699">
        <f>SUM(K168,K169,K170,K171)</f>
        <v>1207437</v>
      </c>
      <c r="L172" s="1699">
        <f>SUM(L168,L169,L170,L171)</f>
        <v>3942988</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1207437</v>
      </c>
      <c r="I174" s="639"/>
      <c r="J174" s="617"/>
      <c r="K174" s="1699">
        <f>SUM(K160,K172,K173)</f>
        <v>1207437</v>
      </c>
      <c r="L174" s="1699">
        <f>SUM(L160,L172,L173)</f>
        <v>3942988</v>
      </c>
    </row>
    <row r="175" spans="1:14" ht="13.5" thickTop="1" x14ac:dyDescent="0.2">
      <c r="A175" s="2199" t="s">
        <v>1053</v>
      </c>
      <c r="B175" s="2200"/>
      <c r="C175" s="617"/>
      <c r="D175" s="617"/>
      <c r="E175" s="617"/>
      <c r="F175" s="617"/>
      <c r="G175" s="617"/>
      <c r="H175" s="619"/>
      <c r="I175" s="617"/>
      <c r="J175" s="617"/>
      <c r="K175" s="1706">
        <f>'Revenues 9-14'!E275-'Expenditures 15-22'!K174</f>
        <v>-90069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335275</v>
      </c>
      <c r="D182" s="466">
        <v>14809</v>
      </c>
      <c r="E182" s="466">
        <v>216562</v>
      </c>
      <c r="F182" s="466">
        <v>82820</v>
      </c>
      <c r="G182" s="466"/>
      <c r="H182" s="466"/>
      <c r="I182" s="467"/>
      <c r="J182" s="467"/>
      <c r="K182" s="1693">
        <f>SUM(C182:J182)</f>
        <v>649466</v>
      </c>
      <c r="L182" s="466">
        <v>650111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335275</v>
      </c>
      <c r="D184" s="1699">
        <f t="shared" ref="D184:J184" si="17">SUM(D180,D182,D183)</f>
        <v>14809</v>
      </c>
      <c r="E184" s="1699">
        <f t="shared" si="17"/>
        <v>216562</v>
      </c>
      <c r="F184" s="1699">
        <f t="shared" si="17"/>
        <v>82820</v>
      </c>
      <c r="G184" s="1699">
        <f t="shared" si="17"/>
        <v>0</v>
      </c>
      <c r="H184" s="1699">
        <f t="shared" si="17"/>
        <v>0</v>
      </c>
      <c r="I184" s="1699">
        <f t="shared" si="17"/>
        <v>0</v>
      </c>
      <c r="J184" s="1699">
        <f t="shared" si="17"/>
        <v>0</v>
      </c>
      <c r="K184" s="1699">
        <f>SUM(K180,K182,K183)</f>
        <v>649466</v>
      </c>
      <c r="L184" s="1699">
        <f>SUM(L180, L182:L183)</f>
        <v>650111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500</v>
      </c>
    </row>
    <row r="210" spans="1:14" ht="12.75" customHeight="1" thickTop="1" thickBot="1" x14ac:dyDescent="0.25">
      <c r="A210" s="1714" t="s">
        <v>295</v>
      </c>
      <c r="B210" s="1715"/>
      <c r="C210" s="1692">
        <f>SUM(C184,C185)</f>
        <v>335275</v>
      </c>
      <c r="D210" s="1692">
        <f>SUM(D184,D185)</f>
        <v>14809</v>
      </c>
      <c r="E210" s="1692">
        <f>SUM(E184,E185,E196)</f>
        <v>216562</v>
      </c>
      <c r="F210" s="1692">
        <f>SUM(F184,F185)</f>
        <v>82820</v>
      </c>
      <c r="G210" s="1692">
        <f>SUM(G184,G185)</f>
        <v>0</v>
      </c>
      <c r="H210" s="1692">
        <f>SUM(H184,H185,H196,H208,H209)</f>
        <v>0</v>
      </c>
      <c r="I210" s="1692">
        <f>SUM(I184,I185)</f>
        <v>0</v>
      </c>
      <c r="J210" s="1692">
        <f>SUM(J184,J185)</f>
        <v>0</v>
      </c>
      <c r="K210" s="1693">
        <f>SUM(K184,K185,K196,K208,K209)</f>
        <v>649466</v>
      </c>
      <c r="L210" s="1692">
        <f>SUM(L184,L185,L196,L208,L209)</f>
        <v>650611</v>
      </c>
    </row>
    <row r="211" spans="1:14" ht="13.5" thickTop="1" x14ac:dyDescent="0.2">
      <c r="A211" s="2199" t="s">
        <v>1053</v>
      </c>
      <c r="B211" s="2200"/>
      <c r="C211" s="619"/>
      <c r="D211" s="619"/>
      <c r="E211" s="619"/>
      <c r="F211" s="619"/>
      <c r="G211" s="619"/>
      <c r="H211" s="619"/>
      <c r="I211" s="617"/>
      <c r="J211" s="617"/>
      <c r="K211" s="1706">
        <f>'Revenues 9-14'!F275-'Expenditures 15-22'!K210</f>
        <v>242124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58278</v>
      </c>
      <c r="E215" s="617"/>
      <c r="F215" s="617"/>
      <c r="G215" s="617"/>
      <c r="H215" s="617"/>
      <c r="I215" s="617"/>
      <c r="J215" s="617"/>
      <c r="K215" s="1693">
        <f>D215</f>
        <v>58278</v>
      </c>
      <c r="L215" s="466">
        <v>60402</v>
      </c>
    </row>
    <row r="216" spans="1:14" x14ac:dyDescent="0.2">
      <c r="A216" s="1526" t="s">
        <v>165</v>
      </c>
      <c r="B216" s="615" t="s">
        <v>1024</v>
      </c>
      <c r="C216" s="617"/>
      <c r="D216" s="467">
        <v>11149</v>
      </c>
      <c r="E216" s="617"/>
      <c r="F216" s="617"/>
      <c r="G216" s="617"/>
      <c r="H216" s="617"/>
      <c r="I216" s="617"/>
      <c r="J216" s="617"/>
      <c r="K216" s="1693">
        <f t="shared" ref="K216:K228" si="19">D216</f>
        <v>11149</v>
      </c>
      <c r="L216" s="466">
        <v>11178</v>
      </c>
    </row>
    <row r="217" spans="1:14" x14ac:dyDescent="0.2">
      <c r="A217" s="1526" t="s">
        <v>166</v>
      </c>
      <c r="B217" s="615">
        <v>1200</v>
      </c>
      <c r="C217" s="617"/>
      <c r="D217" s="466">
        <v>76491</v>
      </c>
      <c r="E217" s="617"/>
      <c r="F217" s="617"/>
      <c r="G217" s="617"/>
      <c r="H217" s="617"/>
      <c r="I217" s="617"/>
      <c r="J217" s="617"/>
      <c r="K217" s="1693">
        <f t="shared" si="19"/>
        <v>76491</v>
      </c>
      <c r="L217" s="466">
        <v>78495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4</v>
      </c>
      <c r="E219" s="617"/>
      <c r="F219" s="617"/>
      <c r="G219" s="617"/>
      <c r="H219" s="617"/>
      <c r="I219" s="617"/>
      <c r="J219" s="617"/>
      <c r="K219" s="1693">
        <f t="shared" si="19"/>
        <v>4</v>
      </c>
      <c r="L219" s="466">
        <v>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388</v>
      </c>
      <c r="E222" s="617"/>
      <c r="F222" s="617"/>
      <c r="G222" s="617"/>
      <c r="H222" s="617"/>
      <c r="I222" s="617"/>
      <c r="J222" s="617"/>
      <c r="K222" s="1693">
        <f t="shared" si="19"/>
        <v>388</v>
      </c>
      <c r="L222" s="466">
        <v>668</v>
      </c>
    </row>
    <row r="223" spans="1:14" x14ac:dyDescent="0.2">
      <c r="A223" s="1526" t="s">
        <v>1020</v>
      </c>
      <c r="B223" s="615">
        <v>1500</v>
      </c>
      <c r="C223" s="617"/>
      <c r="D223" s="466">
        <v>13984</v>
      </c>
      <c r="E223" s="617"/>
      <c r="F223" s="617"/>
      <c r="G223" s="617"/>
      <c r="H223" s="617"/>
      <c r="I223" s="617"/>
      <c r="J223" s="617"/>
      <c r="K223" s="1693">
        <f t="shared" si="19"/>
        <v>13984</v>
      </c>
      <c r="L223" s="466">
        <v>15622</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841</v>
      </c>
      <c r="E226" s="617"/>
      <c r="F226" s="617"/>
      <c r="G226" s="617"/>
      <c r="H226" s="617"/>
      <c r="I226" s="617"/>
      <c r="J226" s="617"/>
      <c r="K226" s="1693">
        <f t="shared" si="19"/>
        <v>841</v>
      </c>
      <c r="L226" s="466">
        <v>862</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161135</v>
      </c>
      <c r="E229" s="617"/>
      <c r="F229" s="617"/>
      <c r="G229" s="617"/>
      <c r="H229" s="617"/>
      <c r="I229" s="617"/>
      <c r="J229" s="617"/>
      <c r="K229" s="1692">
        <f>SUM(K215:K228)</f>
        <v>161135</v>
      </c>
      <c r="L229" s="1692">
        <f>SUM(L215:L228)</f>
        <v>167228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3589</v>
      </c>
      <c r="E233" s="617"/>
      <c r="F233" s="617"/>
      <c r="G233" s="617"/>
      <c r="H233" s="617"/>
      <c r="I233" s="617"/>
      <c r="J233" s="617"/>
      <c r="K233" s="1693">
        <f t="shared" si="20"/>
        <v>3589</v>
      </c>
      <c r="L233" s="466">
        <v>3588</v>
      </c>
    </row>
    <row r="234" spans="1:12" x14ac:dyDescent="0.2">
      <c r="A234" s="1526" t="s">
        <v>207</v>
      </c>
      <c r="B234" s="615">
        <v>2130</v>
      </c>
      <c r="C234" s="617"/>
      <c r="D234" s="466">
        <v>17027</v>
      </c>
      <c r="E234" s="617"/>
      <c r="F234" s="617"/>
      <c r="G234" s="617"/>
      <c r="H234" s="617"/>
      <c r="I234" s="617"/>
      <c r="J234" s="617"/>
      <c r="K234" s="1693">
        <f t="shared" si="20"/>
        <v>17027</v>
      </c>
      <c r="L234" s="466">
        <v>17794</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20616</v>
      </c>
      <c r="E238" s="617"/>
      <c r="F238" s="617"/>
      <c r="G238" s="617"/>
      <c r="H238" s="617"/>
      <c r="I238" s="617"/>
      <c r="J238" s="617"/>
      <c r="K238" s="1692">
        <f>SUM(K232:K237)</f>
        <v>20616</v>
      </c>
      <c r="L238" s="1692">
        <f>SUM(L232:L237)</f>
        <v>21382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90</v>
      </c>
      <c r="E240" s="617"/>
      <c r="F240" s="617"/>
      <c r="G240" s="617"/>
      <c r="H240" s="617"/>
      <c r="I240" s="617"/>
      <c r="J240" s="617"/>
      <c r="K240" s="1694">
        <f>D240</f>
        <v>90</v>
      </c>
      <c r="L240" s="481">
        <v>107</v>
      </c>
    </row>
    <row r="241" spans="1:12" x14ac:dyDescent="0.2">
      <c r="A241" s="1526" t="s">
        <v>869</v>
      </c>
      <c r="B241" s="615">
        <v>2220</v>
      </c>
      <c r="C241" s="617"/>
      <c r="D241" s="466">
        <v>866</v>
      </c>
      <c r="E241" s="617"/>
      <c r="F241" s="617"/>
      <c r="G241" s="617"/>
      <c r="H241" s="617"/>
      <c r="I241" s="617"/>
      <c r="J241" s="617"/>
      <c r="K241" s="1694">
        <f>D241</f>
        <v>866</v>
      </c>
      <c r="L241" s="466">
        <v>872</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956</v>
      </c>
      <c r="E243" s="617"/>
      <c r="F243" s="617"/>
      <c r="G243" s="617"/>
      <c r="H243" s="617"/>
      <c r="I243" s="617"/>
      <c r="J243" s="617"/>
      <c r="K243" s="1692">
        <f>SUM(K240:K242)</f>
        <v>956</v>
      </c>
      <c r="L243" s="1692">
        <f>SUM(L240:L242)</f>
        <v>979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1716</v>
      </c>
      <c r="E245" s="617"/>
      <c r="F245" s="617"/>
      <c r="G245" s="617"/>
      <c r="H245" s="617"/>
      <c r="I245" s="617"/>
      <c r="J245" s="617"/>
      <c r="K245" s="1694">
        <f>D245</f>
        <v>1716</v>
      </c>
      <c r="L245" s="481">
        <v>1718</v>
      </c>
    </row>
    <row r="246" spans="1:12" x14ac:dyDescent="0.2">
      <c r="A246" s="1526" t="s">
        <v>872</v>
      </c>
      <c r="B246" s="615">
        <v>2320</v>
      </c>
      <c r="C246" s="617"/>
      <c r="D246" s="466">
        <v>13291</v>
      </c>
      <c r="E246" s="617"/>
      <c r="F246" s="617"/>
      <c r="G246" s="617"/>
      <c r="H246" s="617"/>
      <c r="I246" s="617"/>
      <c r="J246" s="617"/>
      <c r="K246" s="1694">
        <f t="shared" ref="K246:K256" si="21">D246</f>
        <v>13291</v>
      </c>
      <c r="L246" s="466">
        <v>13337</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15007</v>
      </c>
      <c r="E257" s="617"/>
      <c r="F257" s="617"/>
      <c r="G257" s="617"/>
      <c r="H257" s="617"/>
      <c r="I257" s="617"/>
      <c r="J257" s="617"/>
      <c r="K257" s="1692">
        <f>SUM(K245:K256)</f>
        <v>15007</v>
      </c>
      <c r="L257" s="1692">
        <f>SUM(L245:L256)</f>
        <v>15055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32970</v>
      </c>
      <c r="E259" s="617"/>
      <c r="F259" s="617"/>
      <c r="G259" s="617"/>
      <c r="H259" s="617"/>
      <c r="I259" s="617"/>
      <c r="J259" s="617"/>
      <c r="K259" s="1694">
        <f>D259</f>
        <v>32970</v>
      </c>
      <c r="L259" s="481">
        <v>34064</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32970</v>
      </c>
      <c r="E261" s="617"/>
      <c r="F261" s="617"/>
      <c r="G261" s="617"/>
      <c r="H261" s="617"/>
      <c r="I261" s="617"/>
      <c r="J261" s="617"/>
      <c r="K261" s="1692">
        <f>SUM(K259:K260)</f>
        <v>32970</v>
      </c>
      <c r="L261" s="1692">
        <f>SUM(L259:L260)</f>
        <v>34064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8302</v>
      </c>
      <c r="E264" s="617"/>
      <c r="F264" s="617"/>
      <c r="G264" s="617"/>
      <c r="H264" s="617"/>
      <c r="I264" s="617"/>
      <c r="J264" s="617"/>
      <c r="K264" s="1694">
        <f t="shared" ref="K264:K269" si="22">D264</f>
        <v>8302</v>
      </c>
      <c r="L264" s="466">
        <v>8466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67676</v>
      </c>
      <c r="E266" s="617"/>
      <c r="F266" s="617"/>
      <c r="G266" s="617"/>
      <c r="H266" s="617"/>
      <c r="I266" s="617"/>
      <c r="J266" s="617"/>
      <c r="K266" s="1694">
        <f t="shared" si="22"/>
        <v>67676</v>
      </c>
      <c r="L266" s="466">
        <v>71073</v>
      </c>
    </row>
    <row r="267" spans="1:14" x14ac:dyDescent="0.2">
      <c r="A267" s="1526" t="s">
        <v>1010</v>
      </c>
      <c r="B267" s="615">
        <v>2550</v>
      </c>
      <c r="C267" s="617"/>
      <c r="D267" s="466">
        <v>59279</v>
      </c>
      <c r="E267" s="617"/>
      <c r="F267" s="617"/>
      <c r="G267" s="617"/>
      <c r="H267" s="617"/>
      <c r="I267" s="617"/>
      <c r="J267" s="617"/>
      <c r="K267" s="1694">
        <f t="shared" si="22"/>
        <v>59279</v>
      </c>
      <c r="L267" s="466">
        <v>62901</v>
      </c>
    </row>
    <row r="268" spans="1:14" x14ac:dyDescent="0.2">
      <c r="A268" s="1526" t="s">
        <v>102</v>
      </c>
      <c r="B268" s="615">
        <v>2560</v>
      </c>
      <c r="C268" s="617"/>
      <c r="D268" s="466">
        <v>12396</v>
      </c>
      <c r="E268" s="617"/>
      <c r="F268" s="617"/>
      <c r="G268" s="617"/>
      <c r="H268" s="617"/>
      <c r="I268" s="617"/>
      <c r="J268" s="617"/>
      <c r="K268" s="1694">
        <f t="shared" si="22"/>
        <v>12396</v>
      </c>
      <c r="L268" s="466">
        <v>12999</v>
      </c>
    </row>
    <row r="269" spans="1:14" x14ac:dyDescent="0.2">
      <c r="A269" s="1526" t="s">
        <v>103</v>
      </c>
      <c r="B269" s="615">
        <v>2570</v>
      </c>
      <c r="C269" s="617"/>
      <c r="D269" s="466">
        <v>367</v>
      </c>
      <c r="E269" s="617"/>
      <c r="F269" s="617"/>
      <c r="G269" s="617"/>
      <c r="H269" s="617"/>
      <c r="I269" s="617"/>
      <c r="J269" s="617"/>
      <c r="K269" s="1694">
        <f t="shared" si="22"/>
        <v>367</v>
      </c>
      <c r="L269" s="466">
        <v>389</v>
      </c>
    </row>
    <row r="270" spans="1:14" ht="12.75" customHeight="1" thickBot="1" x14ac:dyDescent="0.25">
      <c r="A270" s="1690" t="s">
        <v>743</v>
      </c>
      <c r="B270" s="1697" t="s">
        <v>35</v>
      </c>
      <c r="C270" s="617"/>
      <c r="D270" s="1692">
        <f>SUM(D263:D269)</f>
        <v>148020</v>
      </c>
      <c r="E270" s="617"/>
      <c r="F270" s="617"/>
      <c r="G270" s="617"/>
      <c r="H270" s="617"/>
      <c r="I270" s="617"/>
      <c r="J270" s="617"/>
      <c r="K270" s="1692">
        <f>SUM(K263:K269)</f>
        <v>148020</v>
      </c>
      <c r="L270" s="1692">
        <f>SUM(L263:L269)</f>
        <v>155828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2417</v>
      </c>
      <c r="E278" s="617"/>
      <c r="F278" s="617"/>
      <c r="G278" s="617"/>
      <c r="H278" s="617"/>
      <c r="I278" s="617"/>
      <c r="J278" s="617"/>
      <c r="K278" s="1707">
        <f>D278</f>
        <v>2417</v>
      </c>
      <c r="L278" s="657">
        <v>3942</v>
      </c>
    </row>
    <row r="279" spans="1:12" ht="12.75" customHeight="1" thickBot="1" x14ac:dyDescent="0.25">
      <c r="A279" s="1720" t="s">
        <v>865</v>
      </c>
      <c r="B279" s="1703">
        <v>2000</v>
      </c>
      <c r="C279" s="617"/>
      <c r="D279" s="1699">
        <f>SUM(D238,D243,D257,D261,D270,D277,D278)</f>
        <v>219986</v>
      </c>
      <c r="E279" s="617"/>
      <c r="F279" s="617"/>
      <c r="G279" s="617"/>
      <c r="H279" s="617"/>
      <c r="I279" s="617"/>
      <c r="J279" s="617"/>
      <c r="K279" s="1699">
        <f>SUM(K238,K243,K257,K261,K270,K277,K278)</f>
        <v>219986</v>
      </c>
      <c r="L279" s="1699">
        <f>SUM(L238,L243,L257,L261,L270,L277,L278)</f>
        <v>231250</v>
      </c>
    </row>
    <row r="280" spans="1:12" ht="15.75" customHeight="1" thickTop="1" thickBot="1" x14ac:dyDescent="0.25">
      <c r="A280" s="1646" t="s">
        <v>930</v>
      </c>
      <c r="B280" s="1635">
        <v>3000</v>
      </c>
      <c r="C280" s="617"/>
      <c r="D280" s="576">
        <v>7284</v>
      </c>
      <c r="E280" s="617"/>
      <c r="F280" s="617"/>
      <c r="G280" s="617"/>
      <c r="H280" s="617"/>
      <c r="I280" s="617"/>
      <c r="J280" s="617"/>
      <c r="K280" s="1701">
        <f>D280</f>
        <v>7284</v>
      </c>
      <c r="L280" s="576">
        <v>7367</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388405</v>
      </c>
      <c r="E295" s="617"/>
      <c r="F295" s="617"/>
      <c r="G295" s="617"/>
      <c r="H295" s="1692">
        <f>H293</f>
        <v>0</v>
      </c>
      <c r="I295" s="617"/>
      <c r="J295" s="617"/>
      <c r="K295" s="1692">
        <f>SUM(K229,K279,K280,K285,K293,K294)</f>
        <v>388405</v>
      </c>
      <c r="L295" s="1692">
        <f>SUM(L229,L279,L280,L285,L293,L294)</f>
        <v>405845</v>
      </c>
    </row>
    <row r="296" spans="1:14" ht="13.5" thickTop="1" x14ac:dyDescent="0.2">
      <c r="A296" s="2199" t="s">
        <v>1053</v>
      </c>
      <c r="B296" s="2200"/>
      <c r="C296" s="617"/>
      <c r="D296" s="619"/>
      <c r="E296" s="617"/>
      <c r="F296" s="617"/>
      <c r="G296" s="617"/>
      <c r="H296" s="688"/>
      <c r="I296" s="617"/>
      <c r="J296" s="617"/>
      <c r="K296" s="1706">
        <f>'Revenues 9-14'!G275-'Expenditures 15-22'!K295</f>
        <v>156333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123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5" t="s">
        <v>1053</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schemas.microsoft.com/sharepoint/v3"/>
    <ds:schemaRef ds:uri="http://www.w3.org/XML/1998/namespace"/>
    <ds:schemaRef ds:uri="http://schemas.microsoft.com/office/infopath/2007/PartnerControls"/>
    <ds:schemaRef ds:uri="http://schemas.openxmlformats.org/package/2006/metadata/core-properties"/>
    <ds:schemaRef ds:uri="4d435f69-8686-490b-bd6d-b153bf22ab50"/>
    <ds:schemaRef ds:uri="http://purl.org/dc/dcmitype/"/>
    <ds:schemaRef ds:uri="d21dc803-237d-4c68-8692-8d731fd29118"/>
    <ds:schemaRef ds:uri="6ce3111e-7420-4802-b50a-75d4e9a0b9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2018-10-09T16:55:46Z</cp:lastPrinted>
  <dcterms:created xsi:type="dcterms:W3CDTF">2003-10-29T19:06:34Z</dcterms:created>
  <dcterms:modified xsi:type="dcterms:W3CDTF">2018-10-09T18:06:41Z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