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1570" windowHeight="79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31'!$A$1:$F$41</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s="1"/>
  <c r="D81" i="36" s="1"/>
  <c r="F74" i="34" l="1"/>
  <c r="F60" i="34"/>
  <c r="F59"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D367" i="29"/>
  <c r="C367" i="29"/>
  <c r="J367" i="29"/>
  <c r="I367" i="29"/>
  <c r="L357" i="29"/>
  <c r="L285" i="29" l="1"/>
  <c r="D285" i="29"/>
  <c r="L160" i="29"/>
  <c r="K160" i="29"/>
  <c r="L137" i="29"/>
  <c r="H137" i="29"/>
  <c r="E137" i="29"/>
  <c r="E139" i="29" s="1"/>
  <c r="E15" i="4" l="1"/>
  <c r="F35" i="181"/>
  <c r="G35" i="181" s="1"/>
  <c r="E35" i="181"/>
  <c r="F34" i="181"/>
  <c r="G34" i="181" s="1"/>
  <c r="E34" i="181"/>
  <c r="F33" i="181"/>
  <c r="G33" i="181" s="1"/>
  <c r="E33" i="181"/>
  <c r="F32" i="181"/>
  <c r="G32" i="181" s="1"/>
  <c r="E32" i="181"/>
  <c r="F31" i="181"/>
  <c r="G31" i="181" s="1"/>
  <c r="E31" i="181"/>
  <c r="F30" i="181"/>
  <c r="G30" i="181" s="1"/>
  <c r="E30" i="181"/>
  <c r="F29" i="181"/>
  <c r="G29" i="181" s="1"/>
  <c r="E29" i="181"/>
  <c r="E28" i="181"/>
  <c r="F28" i="181" s="1"/>
  <c r="G28" i="181" s="1"/>
  <c r="F27" i="181"/>
  <c r="G27" i="181" s="1"/>
  <c r="E27" i="181"/>
  <c r="F26" i="181"/>
  <c r="G26" i="181" s="1"/>
  <c r="E26" i="181"/>
  <c r="F25" i="181"/>
  <c r="G25" i="181" s="1"/>
  <c r="E25" i="181"/>
  <c r="F24" i="181"/>
  <c r="G24" i="181" s="1"/>
  <c r="E24" i="181"/>
  <c r="E23" i="181"/>
  <c r="F23" i="181" s="1"/>
  <c r="G23" i="181" s="1"/>
  <c r="F22" i="181"/>
  <c r="G22" i="181" s="1"/>
  <c r="E22" i="181"/>
  <c r="F21" i="181"/>
  <c r="G21" i="181" s="1"/>
  <c r="E21" i="181"/>
  <c r="F20" i="181"/>
  <c r="G20" i="181" s="1"/>
  <c r="E20" i="181"/>
  <c r="F36" i="181"/>
  <c r="G36" i="181" s="1"/>
  <c r="E36" i="181"/>
  <c r="E19" i="181"/>
  <c r="F19" i="181" s="1"/>
  <c r="G19" i="181" s="1"/>
  <c r="F18" i="181"/>
  <c r="G18" i="181" s="1"/>
  <c r="E18" i="181"/>
  <c r="D37" i="181" l="1"/>
  <c r="D80" i="36" l="1"/>
  <c r="B7797" i="106"/>
  <c r="E37" i="181"/>
  <c r="E17" i="181"/>
  <c r="E16" i="181"/>
  <c r="F16" i="181" s="1"/>
  <c r="G16" i="181" s="1"/>
  <c r="F17" i="181" l="1"/>
  <c r="G17" i="181" s="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c r="B5116" i="106"/>
  <c r="D5116" i="106"/>
  <c r="B5117" i="106"/>
  <c r="D5117" i="106"/>
  <c r="B5118" i="106"/>
  <c r="D5118" i="106" s="1"/>
  <c r="B5119" i="106"/>
  <c r="D5119" i="106" s="1"/>
  <c r="B5122" i="106"/>
  <c r="D5122" i="106" s="1"/>
  <c r="B5123" i="106"/>
  <c r="D5123" i="106" s="1"/>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s="1"/>
  <c r="B6353" i="106"/>
  <c r="D6353" i="106"/>
  <c r="B6354" i="106"/>
  <c r="D6354" i="106"/>
  <c r="B6355" i="106"/>
  <c r="D6355" i="106"/>
  <c r="B6356" i="106"/>
  <c r="D6356" i="106"/>
  <c r="B6358" i="106"/>
  <c r="D6358" i="106"/>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L13" i="11" l="1"/>
  <c r="B2060" i="106" s="1"/>
  <c r="D2060" i="106" s="1"/>
  <c r="K24" i="12"/>
  <c r="G352" i="29"/>
  <c r="K350" i="29"/>
  <c r="C342" i="29"/>
  <c r="B7216" i="106" s="1"/>
  <c r="D7216" i="106" s="1"/>
  <c r="B1410" i="106"/>
  <c r="D1410" i="106" s="1"/>
  <c r="G210" i="29"/>
  <c r="K184" i="29"/>
  <c r="F13" i="4" s="1"/>
  <c r="B2596" i="106" s="1"/>
  <c r="D2596" i="106" s="1"/>
  <c r="B1329" i="106"/>
  <c r="D1329" i="106" s="1"/>
  <c r="F61" i="34"/>
  <c r="H4" i="4"/>
  <c r="B2655" i="106" s="1"/>
  <c r="D2655" i="106" s="1"/>
  <c r="G109" i="5"/>
  <c r="B6024" i="106" s="1"/>
  <c r="D6024" i="106" s="1"/>
  <c r="D4" i="4"/>
  <c r="B2564" i="106" s="1"/>
  <c r="D2564" i="106" s="1"/>
  <c r="C172" i="5"/>
  <c r="B5214" i="106" s="1"/>
  <c r="D5214" i="106" s="1"/>
  <c r="B5096" i="106"/>
  <c r="D5096" i="106" s="1"/>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L16" i="11" l="1"/>
  <c r="B2061" i="106" s="1"/>
  <c r="D2061" i="106" s="1"/>
  <c r="B2031" i="106"/>
  <c r="D2031" i="106" s="1"/>
  <c r="B7733" i="106"/>
  <c r="D7733" i="106" s="1"/>
  <c r="K26" i="12"/>
  <c r="B7743" i="106" s="1"/>
  <c r="D7743" i="106" s="1"/>
  <c r="D19" i="7"/>
  <c r="B1775" i="106" s="1"/>
  <c r="D1775" i="106" s="1"/>
  <c r="C114" i="29"/>
  <c r="B757" i="106" s="1"/>
  <c r="D757" i="106" s="1"/>
  <c r="B3649" i="106"/>
  <c r="D3649" i="106" s="1"/>
  <c r="G367" i="29"/>
  <c r="B3650" i="106" s="1"/>
  <c r="D3650" i="106" s="1"/>
  <c r="B3670" i="106"/>
  <c r="D3670" i="106" s="1"/>
  <c r="K352" i="29"/>
  <c r="K342" i="29"/>
  <c r="F13" i="34" s="1"/>
  <c r="B1365" i="106"/>
  <c r="D1365" i="106" s="1"/>
  <c r="F65" i="34"/>
  <c r="H367" i="29"/>
  <c r="B3660" i="106" s="1"/>
  <c r="D3660" i="106" s="1"/>
  <c r="G4" i="4"/>
  <c r="B2603" i="106" s="1"/>
  <c r="D2603" i="106" s="1"/>
  <c r="F275" i="5"/>
  <c r="B5653" i="106"/>
  <c r="D5653" i="106" s="1"/>
  <c r="C173" i="5"/>
  <c r="B5223" i="106" s="1"/>
  <c r="D522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B7224" i="106"/>
  <c r="D7224" i="106" s="1"/>
  <c r="J17" i="4"/>
  <c r="J19" i="4" s="1"/>
  <c r="B6229" i="106" s="1"/>
  <c r="D6229" i="106" s="1"/>
  <c r="G41" i="108"/>
  <c r="G44" i="108" s="1"/>
  <c r="G45" i="108" s="1"/>
  <c r="E41" i="108"/>
  <c r="E44" i="108" s="1"/>
  <c r="E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J20" i="4"/>
  <c r="J78" i="4" s="1"/>
  <c r="B6227" i="106"/>
  <c r="D62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<sst xmlns="http://schemas.openxmlformats.org/spreadsheetml/2006/main" count="5049" uniqueCount="2115">
  <si>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</si>
  <si>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</si>
  <si>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</si>
  <si>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</si>
  <si>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</si>
  <si>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</si>
  <si>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</si>
  <si>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</si>
  <si>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</si>
  <si>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</si>
  <si>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</si>
  <si>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</si>
  <si>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</si>
  <si>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</si>
  <si>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</si>
  <si>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</si>
  <si>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</si>
  <si>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</si>
  <si>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</si>
  <si>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</si>
  <si>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</si>
  <si>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</si>
  <si>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</si>
  <si>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</si>
  <si>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</si>
  <si>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</si>
  <si>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</si>
  <si>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</si>
  <si>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</si>
  <si>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</si>
  <si>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</si>
  <si>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</si>
  <si>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</si>
  <si>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</si>
  <si>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</si>
  <si>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</si>
  <si>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</si>
  <si>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</si>
  <si>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</si>
  <si>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</si>
  <si>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</si>
  <si>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</si>
  <si>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</si>
  <si>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</si>
  <si>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</si>
  <si>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</si>
  <si>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</si>
  <si>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</si>
  <si>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</si>
  <si>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</si>
  <si>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</si>
  <si>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</si>
  <si>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</si>
  <si>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</si>
  <si>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</si>
  <si>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</si>
  <si>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</si>
  <si>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</si>
  <si>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</si>
  <si>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</si>
  <si>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</si>
  <si>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</si>
  <si>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</si>
  <si>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</si>
  <si>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</si>
  <si>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</si>
  <si>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</si>
  <si>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</si>
  <si>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</si>
  <si>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</si>
  <si>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</si>
  <si>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</si>
  <si>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</si>
  <si>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</si>
  <si>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</si>
  <si>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</si>
  <si>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</si>
  <si>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</si>
  <si>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</si>
  <si>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</si>
  <si>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</si>
  <si>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</si>
  <si>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</si>
  <si>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</si>
  <si>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</si>
  <si>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</si>
  <si>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</si>
  <si>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</si>
  <si>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</si>
  <si>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</si>
  <si>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</si>
  <si>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</si>
  <si>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</si>
  <si>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</si>
  <si>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</si>
  <si>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</si>
  <si>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</si>
  <si>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</si>
  <si>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</si>
  <si>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</si>
  <si>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</si>
  <si>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</si>
  <si>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</si>
  <si>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</si>
  <si>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</si>
  <si>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</si>
  <si>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</si>
  <si>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</si>
  <si>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</si>
  <si>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</si>
  <si>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</si>
  <si>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</si>
  <si>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</si>
  <si>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</si>
  <si>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</si>
  <si>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</si>
  <si>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</si>
  <si>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</si>
  <si>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</si>
  <si>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</si>
  <si>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</si>
  <si>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</si>
  <si>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</si>
  <si>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</si>
  <si>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</si>
  <si>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</si>
  <si>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</si>
  <si>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</si>
  <si>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</si>
  <si>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</si>
  <si>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</si>
  <si>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</si>
  <si>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</si>
  <si>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</si>
  <si>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</si>
  <si>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</si>
  <si>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</si>
  <si>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</si>
  <si>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</si>
  <si>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</si>
  <si>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</si>
  <si>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</si>
  <si>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</si>
  <si>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</si>
  <si>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</si>
  <si>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</si>
  <si>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</si>
  <si>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</si>
  <si>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</si>
  <si>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</si>
  <si>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</si>
  <si>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</si>
  <si>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</si>
  <si>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</si>
  <si>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</si>
  <si>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</si>
  <si>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</si>
  <si>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</si>
  <si>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</si>
  <si>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</si>
  <si>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</si>
  <si>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</si>
  <si>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</si>
  <si>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</si>
  <si>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</si>
  <si>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</si>
  <si>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</si>
  <si>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</si>
  <si>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</si>
  <si>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</si>
  <si>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</si>
  <si>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</si>
  <si>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</si>
  <si>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</si>
  <si>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</si>
  <si>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</si>
  <si>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</si>
  <si>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</si>
  <si>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</si>
  <si>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</si>
  <si>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</si>
  <si>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</si>
  <si>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</si>
  <si>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</si>
  <si>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</si>
  <si>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</si>
  <si>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</si>
  <si>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</si>
  <si>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</si>
  <si>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</si>
  <si>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</si>
  <si>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</si>
  <si>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</si>
  <si>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</si>
  <si>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</si>
  <si>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</si>
  <si>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</si>
  <si>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</si>
  <si>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</si>
  <si>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</si>
  <si>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</si>
  <si>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</si>
  <si>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</si>
  <si>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</si>
  <si>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</si>
  <si>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</si>
  <si>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</si>
  <si>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</si>
  <si>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</si>
  <si>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</si>
  <si>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</si>
  <si>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</si>
  <si>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</si>
  <si>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</si>
  <si>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</si>
  <si>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</si>
  <si>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</si>
  <si>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</si>
  <si>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</si>
  <si>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</si>
  <si>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</si>
  <si>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</si>
  <si>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</si>
  <si>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</si>
  <si>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</si>
  <si>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</si>
  <si>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</si>
  <si>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</si>
  <si>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</si>
  <si>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</si>
  <si>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</si>
  <si>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</si>
  <si>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</si>
  <si>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</si>
  <si>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</si>
  <si>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</si>
  <si>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</si>
  <si>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</si>
  <si>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</si>
  <si>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</si>
  <si>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</si>
  <si>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</si>
  <si>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</si>
  <si>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</si>
  <si>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</si>
  <si>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</si>
  <si>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</si>
  <si>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</si>
  <si>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</si>
  <si>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</si>
  <si>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</si>
  <si>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</si>
  <si>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</si>
  <si>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</si>
  <si>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</si>
  <si>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</si>
  <si>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</si>
  <si>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</si>
  <si>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</si>
  <si>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</si>
  <si>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</si>
  <si>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</si>
  <si>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</si>
  <si>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</si>
  <si>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</si>
  <si>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</si>
  <si>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</si>
  <si>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</si>
  <si>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</si>
  <si>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</si>
  <si>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</si>
  <si>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</si>
  <si>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</si>
  <si>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</si>
  <si>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</si>
  <si>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</si>
  <si>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</si>
  <si>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</si>
  <si>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</si>
  <si>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</si>
  <si>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</si>
  <si>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</si>
  <si>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</si>
  <si>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</si>
  <si>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</si>
  <si>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</si>
  <si>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</si>
  <si>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</si>
  <si>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</si>
  <si>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</si>
  <si>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</si>
  <si>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</si>
  <si>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</si>
  <si>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</si>
  <si>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</si>
  <si>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</si>
  <si>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</si>
  <si>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</si>
  <si>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</si>
  <si>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</si>
  <si>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</si>
  <si>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</si>
  <si>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</si>
  <si>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</si>
  <si>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</si>
  <si>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</si>
  <si>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</si>
  <si>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</si>
  <si>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</si>
  <si>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</si>
  <si>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</si>
  <si>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</si>
  <si>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</si>
  <si>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</si>
  <si>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</si>
  <si>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</si>
  <si>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</si>
  <si>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</si>
  <si>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</si>
  <si>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</si>
  <si>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</si>
  <si>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</si>
  <si>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</si>
  <si>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</si>
  <si>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</si>
  <si>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</si>
  <si>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</si>
  <si>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</si>
  <si>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</si>
  <si>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</si>
  <si>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</si>
  <si>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</si>
  <si>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</si>
  <si>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</si>
  <si>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</si>
  <si>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</si>
  <si>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</si>
  <si>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</si>
  <si>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</si>
  <si>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</si>
  <si>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</si>
  <si>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</si>
  <si>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</si>
  <si>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</si>
  <si>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</si>
  <si>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</si>
  <si>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</si>
  <si>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</si>
  <si>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</si>
  <si>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</si>
  <si>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</si>
  <si>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</si>
  <si>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</si>
  <si>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</si>
  <si>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</si>
  <si>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</si>
  <si>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</si>
  <si>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</si>
  <si>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</si>
  <si>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</si>
  <si>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</si>
  <si>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</si>
  <si>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</si>
  <si>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</si>
  <si>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</si>
  <si>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</si>
  <si>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</si>
  <si>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</si>
  <si>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</si>
  <si>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</si>
  <si>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</si>
  <si>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</si>
  <si>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</si>
  <si>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</si>
  <si>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</si>
  <si>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</si>
  <si>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</si>
  <si>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</si>
  <si>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</si>
  <si>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</si>
  <si>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</si>
  <si>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</si>
  <si>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</si>
  <si>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</si>
  <si>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</si>
  <si>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</si>
  <si>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</si>
  <si>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</si>
  <si>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</si>
  <si>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</si>
  <si>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</si>
  <si>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</si>
  <si>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</si>
  <si>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</si>
  <si>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</si>
  <si>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</si>
  <si>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</si>
  <si>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</si>
  <si>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</si>
  <si>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</si>
  <si>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</si>
  <si>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</si>
  <si>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</si>
  <si>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</si>
  <si>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</si>
  <si>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</si>
  <si>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</si>
  <si>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</si>
  <si>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</si>
  <si>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</si>
  <si>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</si>
  <si>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</si>
  <si>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</si>
  <si>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</si>
  <si>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</si>
  <si>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</si>
  <si>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</si>
  <si>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</si>
  <si>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</si>
  <si>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</si>
  <si>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</si>
  <si>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</si>
  <si>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</si>
  <si>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</si>
  <si>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</si>
  <si>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</si>
  <si>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</si>
  <si>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</si>
  <si>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</si>
  <si>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</si>
  <si>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</si>
  <si>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</si>
  <si>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</si>
  <si>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</si>
  <si>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</si>
  <si>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</si>
  <si>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</si>
  <si>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</si>
  <si>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</si>
  <si>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</si>
  <si>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</si>
  <si>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</si>
  <si>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</si>
  <si>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</si>
  <si>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</si>
  <si>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</si>
  <si>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</si>
  <si>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</si>
  <si>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</si>
  <si>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</si>
  <si>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</si>
  <si>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</si>
  <si>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</si>
  <si>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</si>
  <si>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</si>
  <si>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</si>
  <si>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</si>
  <si>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</si>
  <si>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</si>
  <si>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</si>
  <si>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</si>
  <si>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</si>
  <si>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</si>
  <si>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</si>
  <si>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</si>
  <si>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</si>
  <si>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</si>
  <si>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</si>
  <si>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</si>
  <si>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</si>
  <si>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</si>
  <si>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</si>
  <si>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</si>
  <si>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</si>
  <si>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</si>
  <si>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</si>
  <si>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</si>
  <si>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</si>
  <si>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</si>
  <si>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</si>
  <si>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</si>
  <si>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</si>
  <si>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</si>
  <si>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</si>
  <si>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</si>
  <si>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</si>
  <si>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</si>
  <si>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</si>
  <si>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</si>
  <si>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</si>
  <si>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</si>
  <si>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</si>
  <si>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</si>
  <si>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</si>
  <si>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</si>
  <si>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</si>
  <si>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</si>
  <si>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</si>
  <si>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</si>
  <si>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</si>
  <si>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</si>
  <si>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</si>
  <si>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</si>
  <si>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</si>
  <si>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</si>
  <si>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</si>
  <si>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</si>
  <si>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</si>
  <si>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</si>
  <si>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</si>
  <si>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</si>
  <si>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</si>
  <si>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</si>
  <si>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</si>
  <si>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</si>
  <si>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</si>
  <si>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</si>
  <si>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</si>
  <si>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</si>
  <si>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</si>
  <si>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</si>
  <si>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</si>
  <si>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</si>
  <si>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</si>
  <si>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</si>
  <si>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</si>
  <si>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</si>
  <si>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</si>
  <si>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</si>
  <si>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</si>
  <si>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</si>
  <si>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</si>
  <si>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</si>
  <si>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</si>
  <si>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</si>
  <si>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</si>
  <si>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</si>
  <si>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</si>
  <si>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</si>
  <si>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</si>
  <si>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</si>
  <si>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</si>
  <si>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</si>
  <si>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</si>
  <si>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</si>
  <si>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</si>
  <si>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</si>
  <si>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</si>
  <si>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</si>
  <si>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</si>
  <si>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</si>
  <si>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</si>
  <si>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</si>
  <si>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</si>
  <si>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</si>
  <si>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</si>
  <si>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</si>
  <si>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</si>
  <si>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</si>
  <si>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</si>
  <si>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</si>
  <si>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</si>
  <si>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</si>
  <si>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</si>
  <si>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</si>
  <si>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</si>
  <si>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</si>
  <si>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</si>
  <si>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</si>
  <si>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</si>
  <si>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</si>
  <si>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</si>
  <si>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</si>
  <si>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</si>
  <si>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</si>
  <si>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</si>
  <si>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</si>
  <si>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</si>
  <si>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</si>
  <si>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</si>
  <si>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</si>
  <si>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</si>
  <si>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</si>
  <si>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</si>
  <si>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</si>
  <si>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</si>
  <si>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</si>
  <si>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</si>
  <si>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</si>
  <si>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</si>
  <si>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</si>
  <si>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</si>
  <si>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</si>
  <si>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</si>
  <si>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</si>
  <si>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</si>
  <si>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</si>
  <si>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</si>
  <si>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</si>
  <si>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</si>
  <si>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</si>
  <si>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</si>
  <si>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</si>
  <si>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</si>
  <si>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</si>
  <si>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</si>
  <si>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</si>
  <si>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</si>
  <si>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</si>
  <si>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</si>
  <si>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</si>
  <si>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</si>
  <si>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</si>
  <si>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</si>
  <si>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</si>
  <si>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</si>
  <si>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</si>
  <si>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</si>
  <si>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</si>
  <si>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</si>
  <si>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</si>
  <si>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</si>
  <si>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</si>
  <si>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</si>
  <si>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</si>
  <si>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</si>
  <si>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</si>
  <si>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</si>
  <si>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</si>
  <si>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</si>
  <si>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</si>
  <si>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</si>
  <si>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</si>
  <si>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</si>
  <si>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</si>
  <si>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</si>
  <si>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</si>
  <si>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</si>
  <si>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</si>
  <si>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</si>
  <si>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</si>
  <si>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</si>
  <si>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</si>
  <si>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</si>
  <si>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</si>
  <si>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</si>
  <si>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</si>
  <si>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</si>
  <si>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</si>
  <si>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</si>
  <si>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</si>
  <si>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</si>
  <si>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</si>
  <si>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</si>
  <si>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</si>
  <si>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</si>
  <si>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</si>
  <si>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</si>
  <si>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</si>
  <si>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</si>
  <si>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</si>
  <si>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</si>
  <si>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</si>
  <si>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</si>
  <si>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</si>
  <si>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</si>
  <si>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</si>
  <si>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</si>
  <si>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</si>
  <si>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</si>
  <si>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</si>
  <si>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</si>
  <si>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</si>
  <si>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</si>
  <si>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</si>
  <si>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</si>
  <si>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</si>
  <si>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</si>
  <si>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</si>
  <si>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</si>
  <si>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</si>
  <si>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</si>
  <si>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</si>
  <si>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</si>
  <si>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</si>
  <si>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</si>
  <si>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</si>
  <si>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</si>
  <si>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</si>
  <si>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</si>
  <si>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</si>
  <si>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</si>
  <si>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</si>
  <si>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</si>
  <si>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</si>
  <si>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</si>
  <si>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</si>
  <si>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</si>
  <si>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</si>
  <si>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</si>
  <si>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</si>
  <si>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</si>
  <si>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</si>
  <si>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</si>
  <si>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</si>
  <si>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</si>
  <si>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</si>
  <si>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</si>
  <si>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</si>
  <si>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</si>
  <si>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</si>
  <si>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</si>
  <si>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</si>
  <si>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</si>
  <si>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</si>
  <si>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</si>
  <si>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</si>
  <si>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</si>
  <si>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</si>
  <si>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</si>
  <si>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</si>
  <si>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</si>
  <si>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</si>
  <si>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</si>
  <si>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</si>
  <si>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</si>
  <si>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</si>
  <si>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</si>
  <si>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</si>
  <si>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</si>
  <si>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</si>
  <si>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</si>
  <si>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</si>
  <si>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</si>
  <si>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</si>
  <si>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</si>
  <si>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</si>
  <si>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</si>
  <si>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</si>
  <si>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</si>
  <si>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</si>
  <si>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</si>
  <si>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</si>
  <si>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</si>
  <si>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</si>
  <si>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</si>
  <si>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</si>
  <si>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</si>
  <si>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</si>
  <si>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</si>
  <si>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</si>
  <si>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</si>
  <si>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</si>
  <si>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</si>
  <si>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</si>
  <si>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</si>
  <si>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</si>
  <si>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</si>
  <si>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</si>
  <si>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</si>
  <si>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</si>
  <si>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</si>
  <si>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</si>
  <si>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</si>
  <si>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</si>
  <si>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</si>
  <si>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</si>
  <si>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</si>
  <si>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</si>
  <si>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</si>
  <si>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</si>
  <si>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</si>
  <si>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</si>
  <si>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</si>
  <si>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</si>
  <si>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</si>
  <si>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</si>
  <si>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</si>
  <si>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</si>
  <si>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</si>
  <si>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</si>
  <si>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</si>
  <si>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</si>
  <si>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</si>
  <si>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</si>
  <si>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</si>
  <si>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</si>
  <si>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</si>
  <si>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</si>
  <si>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</si>
  <si>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</si>
  <si>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</si>
  <si>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</si>
  <si>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</si>
  <si>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</si>
  <si>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</si>
  <si>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</si>
  <si>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</si>
  <si>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</si>
  <si>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</si>
  <si>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</si>
  <si>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</si>
  <si>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</si>
  <si>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</si>
  <si>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</si>
  <si>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</si>
  <si>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</si>
  <si>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</si>
  <si>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</si>
  <si>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</si>
  <si>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</si>
  <si>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</si>
  <si>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</si>
  <si>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</si>
  <si>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</si>
  <si>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</si>
  <si>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</si>
  <si>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</si>
  <si>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</si>
  <si>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</si>
  <si>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</si>
  <si>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</si>
  <si>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</si>
  <si>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</si>
  <si>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</si>
  <si>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</si>
  <si>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</si>
  <si>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</si>
  <si>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</si>
  <si>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</si>
  <si>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</si>
  <si>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</si>
  <si>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</si>
  <si>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</si>
  <si>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</si>
  <si>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</si>
  <si>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</si>
  <si>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</si>
  <si>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</si>
  <si>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</si>
  <si>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</si>
  <si>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</si>
  <si>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</si>
  <si>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</si>
  <si>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</si>
  <si>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</si>
  <si>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</si>
  <si>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</si>
  <si>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</si>
  <si>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</si>
  <si>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</si>
  <si>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</si>
  <si>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</si>
  <si>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</si>
  <si>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</si>
  <si>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</si>
  <si>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</si>
  <si>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</si>
  <si>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</si>
  <si>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</si>
  <si>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</si>
  <si>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</si>
  <si>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</si>
  <si>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</si>
  <si>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</si>
  <si>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</si>
  <si>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</si>
  <si>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</si>
  <si>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</si>
  <si>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</si>
  <si>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</si>
  <si>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</si>
  <si>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</si>
  <si>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</si>
  <si>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</si>
  <si>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</si>
  <si>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</si>
  <si>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</si>
  <si>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</si>
  <si>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</si>
  <si>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</si>
  <si>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</si>
  <si>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</si>
  <si>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</si>
  <si>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</si>
  <si>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</si>
  <si>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</si>
  <si>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</si>
  <si>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</si>
  <si>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</si>
  <si>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</si>
  <si>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</si>
  <si>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</si>
  <si>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</si>
  <si>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</si>
  <si>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</si>
  <si>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</si>
  <si>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</si>
  <si>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</si>
  <si>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</si>
  <si>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</si>
  <si>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</si>
  <si>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</si>
  <si>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</si>
  <si>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</si>
  <si>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</si>
  <si>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</si>
  <si>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</si>
  <si>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</si>
  <si>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</si>
  <si>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</si>
  <si>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</si>
  <si>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</si>
  <si>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</si>
  <si>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</si>
  <si>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</si>
  <si>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</si>
  <si>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</si>
  <si>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</si>
  <si>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</si>
  <si>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</si>
  <si>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</si>
  <si>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</si>
  <si>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</si>
  <si>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</si>
  <si>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</si>
  <si>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</si>
  <si>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</si>
  <si>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</si>
  <si>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</si>
  <si>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</si>
  <si>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</si>
  <si>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</si>
  <si>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</si>
  <si>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</si>
  <si>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</si>
  <si>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</si>
  <si>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</si>
  <si>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</si>
  <si>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</si>
  <si>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</si>
  <si>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</si>
  <si>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</si>
  <si>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</si>
  <si>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</si>
  <si>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</si>
  <si>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</si>
  <si>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</si>
  <si>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</si>
  <si>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</si>
  <si>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</si>
  <si>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</si>
  <si>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</si>
  <si>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</si>
  <si>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</si>
  <si>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</si>
  <si>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</si>
  <si>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</si>
  <si>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</si>
  <si>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</si>
  <si>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</si>
  <si>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</si>
  <si>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</si>
  <si>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</si>
  <si>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</si>
  <si>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</si>
  <si>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</si>
  <si>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</si>
  <si>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</si>
  <si>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</si>
  <si>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</si>
  <si>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</si>
  <si>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</si>
  <si>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</si>
  <si>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</si>
  <si>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</si>
  <si>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</si>
  <si>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</si>
  <si>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</si>
  <si>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</si>
  <si>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</si>
  <si>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</si>
  <si>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</si>
  <si>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</si>
  <si>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</si>
  <si>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</si>
  <si>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</si>
  <si>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</si>
  <si>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</si>
  <si>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</si>
  <si>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</si>
  <si>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</si>
  <si>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</si>
  <si>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</si>
  <si>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</si>
  <si>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</si>
  <si>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</si>
  <si>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</si>
  <si>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</si>
  <si>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</si>
  <si>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</si>
  <si>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</si>
  <si>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</si>
  <si>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</si>
  <si>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</si>
  <si>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</si>
  <si>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</si>
  <si>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</si>
  <si>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</si>
  <si>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</si>
  <si>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</si>
  <si>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</si>
  <si>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</si>
  <si>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</si>
  <si>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</si>
  <si>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</si>
  <si>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</si>
  <si>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</si>
  <si>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</si>
  <si>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</si>
  <si>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</si>
  <si>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</si>
  <si>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</si>
  <si>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</si>
  <si>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</si>
  <si>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</si>
  <si>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</si>
  <si>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</si>
  <si>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</si>
  <si>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</si>
  <si>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</si>
  <si>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</si>
  <si>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</si>
  <si>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</si>
  <si>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</si>
  <si>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</si>
  <si>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</si>
  <si>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</si>
  <si>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</si>
  <si>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</si>
  <si>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</si>
  <si>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</si>
  <si>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</si>
  <si>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</si>
  <si>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</si>
  <si>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</si>
  <si>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</si>
  <si>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</si>
  <si>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</si>
  <si>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</si>
  <si>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</si>
  <si>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</si>
  <si>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</si>
  <si>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</si>
  <si>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</si>
  <si>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</si>
  <si>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</si>
  <si>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</si>
  <si>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</si>
  <si>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</si>
  <si>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</si>
  <si>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</si>
  <si>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</si>
  <si>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</si>
  <si>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</si>
  <si>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</si>
  <si>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</si>
  <si>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</si>
  <si>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</si>
  <si>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</si>
  <si>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</si>
  <si>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</si>
  <si>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</si>
  <si>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</si>
  <si>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</si>
  <si>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</si>
  <si>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</si>
  <si>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</si>
  <si>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</si>
  <si>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</si>
  <si>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</si>
  <si>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</si>
  <si>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</si>
  <si>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</si>
  <si>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</si>
  <si>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</si>
  <si>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</si>
  <si>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</si>
  <si>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</si>
  <si>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</si>
  <si>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</si>
  <si>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</si>
  <si>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</si>
  <si>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</si>
  <si>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</si>
  <si>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</si>
  <si>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</si>
  <si>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</si>
  <si>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</si>
  <si>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</si>
  <si>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</si>
  <si>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</si>
  <si>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</si>
  <si>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</si>
  <si>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</si>
  <si>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</si>
  <si>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</si>
  <si>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</si>
  <si>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</si>
  <si>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</si>
  <si>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</si>
  <si>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</si>
  <si>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</si>
  <si>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</si>
  <si>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</si>
  <si>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</si>
  <si>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</si>
  <si>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</si>
  <si>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</si>
  <si>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</si>
  <si>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</si>
  <si>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</si>
  <si>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</si>
  <si>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</si>
  <si>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</si>
  <si>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</si>
  <si>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</si>
  <si>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</si>
  <si>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</si>
  <si>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</si>
  <si>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</si>
  <si>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</si>
  <si>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</si>
  <si>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</si>
  <si>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</si>
  <si>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</si>
  <si>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</si>
  <si>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</si>
  <si>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</si>
  <si>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</si>
  <si>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</si>
  <si>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</si>
  <si>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</si>
  <si>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</si>
  <si>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</si>
  <si>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</si>
  <si>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</si>
  <si>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</si>
  <si>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</si>
  <si>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</si>
  <si>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</si>
  <si>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</si>
  <si>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</si>
  <si>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</si>
  <si>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</si>
  <si>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</si>
  <si>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</si>
  <si>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</si>
  <si>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</si>
  <si>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</si>
  <si>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</si>
  <si>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</si>
  <si>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</si>
  <si>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</si>
  <si>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</si>
  <si>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</si>
  <si>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</si>
  <si>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</si>
  <si>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</si>
  <si>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</si>
  <si>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</si>
  <si>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</si>
  <si>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</si>
  <si>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</si>
  <si>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</si>
  <si>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</si>
  <si>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</si>
  <si>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</si>
  <si>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</si>
  <si>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</si>
  <si>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</si>
  <si>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</si>
  <si>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</si>
  <si>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</si>
  <si>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</si>
  <si>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</si>
  <si>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</si>
  <si>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</si>
  <si>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</si>
  <si>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</si>
  <si>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</si>
  <si>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</si>
  <si>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</si>
  <si>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</si>
  <si>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</si>
  <si>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</si>
  <si>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</si>
  <si>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</si>
  <si>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</si>
  <si>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</si>
  <si>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</si>
  <si>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</si>
  <si>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</si>
  <si>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</si>
  <si>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</si>
  <si>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</si>
  <si>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</si>
  <si>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</si>
  <si>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</si>
  <si>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</si>
  <si>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</si>
  <si>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</si>
  <si>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</si>
  <si>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</si>
  <si>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</si>
  <si>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</si>
  <si>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</si>
  <si>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</si>
  <si>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</si>
  <si>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</si>
  <si>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</si>
  <si>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</si>
  <si>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</si>
  <si>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</si>
  <si>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</si>
  <si>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</si>
  <si>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</si>
  <si>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</si>
  <si>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</si>
  <si>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</si>
  <si>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</si>
  <si>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</si>
  <si>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</si>
  <si>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</si>
  <si>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</si>
  <si>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</si>
  <si>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</si>
  <si>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</si>
  <si>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</si>
  <si>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</si>
  <si>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</si>
  <si>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</si>
  <si>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</si>
  <si>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</si>
  <si>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</si>
  <si>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</si>
  <si>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</si>
  <si>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</si>
  <si>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</si>
  <si>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</si>
  <si>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</si>
  <si>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</si>
  <si>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</si>
  <si>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</si>
  <si>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</si>
  <si>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</si>
  <si>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</si>
  <si>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</si>
  <si>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</si>
  <si>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</si>
  <si>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</si>
  <si>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</si>
  <si>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</si>
  <si>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</si>
  <si>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</si>
  <si>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</si>
  <si>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</si>
  <si>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</si>
  <si>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</si>
  <si>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</si>
  <si>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</si>
  <si>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</si>
  <si>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</si>
  <si>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</si>
  <si>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</si>
  <si>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</si>
  <si>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</si>
  <si>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</si>
  <si>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</si>
  <si>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</si>
  <si>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</si>
  <si>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</si>
  <si>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</si>
  <si>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</si>
  <si>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</si>
  <si>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</si>
  <si>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</si>
  <si>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</si>
  <si>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</si>
  <si>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</si>
  <si>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</si>
  <si>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</si>
  <si>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</si>
  <si>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</si>
  <si>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</si>
  <si>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</si>
  <si>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</si>
  <si>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</si>
  <si>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</si>
  <si>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</si>
  <si>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</si>
  <si>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</si>
  <si>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</si>
  <si>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</si>
  <si>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</si>
  <si>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</si>
  <si>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</si>
  <si>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</si>
  <si>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</si>
  <si>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</si>
  <si>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</si>
  <si>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</si>
  <si>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</si>
  <si>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</si>
  <si>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</si>
  <si>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</si>
  <si>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</si>
  <si>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</si>
  <si>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</si>
  <si>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</si>
  <si>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</si>
  <si>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</si>
  <si>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</si>
  <si>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</si>
  <si>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</si>
  <si>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</si>
  <si>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</si>
  <si>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</si>
  <si>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</si>
  <si>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</si>
  <si>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</si>
  <si>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</si>
  <si>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</si>
  <si>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</si>
  <si>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</si>
  <si>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</si>
  <si>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</si>
  <si>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</si>
  <si>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</si>
  <si>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</si>
  <si>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</si>
  <si>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</si>
  <si>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</si>
  <si>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</si>
  <si>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</si>
  <si>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</si>
  <si>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</si>
  <si>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</si>
  <si>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</si>
  <si>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</si>
  <si>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</si>
  <si>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</si>
  <si>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</si>
  <si>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</si>
  <si>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</si>
  <si>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</si>
  <si>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</si>
  <si>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</si>
  <si>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</si>
  <si>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</si>
  <si>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</si>
  <si>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</si>
  <si>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</si>
  <si>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</si>
  <si>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</si>
  <si>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</si>
  <si>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</si>
  <si>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</si>
  <si>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</si>
  <si>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</si>
  <si>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</si>
  <si>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</si>
  <si>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</si>
  <si>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</si>
  <si>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</si>
  <si>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</si>
  <si>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</si>
  <si>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</si>
  <si>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</si>
  <si>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</si>
  <si>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</si>
  <si>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</si>
  <si>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</si>
  <si>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</si>
  <si>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</si>
  <si>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</si>
  <si>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</si>
  <si>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</si>
  <si>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</si>
  <si>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</si>
  <si>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</si>
  <si>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</si>
  <si>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</si>
  <si>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</si>
  <si>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</si>
  <si>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</si>
  <si>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</si>
  <si>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</si>
  <si>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</si>
  <si>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</si>
  <si>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</si>
  <si>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</si>
  <si>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</si>
  <si>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</si>
  <si>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</si>
  <si>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</si>
  <si>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</si>
  <si>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</si>
  <si>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</si>
  <si>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</si>
  <si>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</si>
  <si>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</si>
  <si>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</si>
  <si>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</si>
  <si>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</si>
  <si>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</si>
  <si>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</si>
  <si>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</si>
  <si>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</si>
  <si>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</si>
  <si>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</si>
  <si>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</si>
  <si>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</si>
  <si>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</si>
  <si>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</si>
  <si>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</si>
  <si>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</si>
  <si>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</si>
  <si>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</si>
  <si>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</si>
  <si>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</si>
  <si>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</si>
  <si>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</si>
  <si>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</si>
  <si>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</si>
  <si>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</si>
  <si>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</si>
  <si>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</si>
  <si>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</si>
  <si>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</si>
  <si>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</si>
  <si>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</si>
  <si>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</si>
  <si>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</si>
  <si>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</si>
  <si>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</si>
  <si>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</si>
  <si>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</si>
  <si>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</si>
  <si>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</si>
  <si>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</si>
  <si>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</si>
  <si>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</si>
  <si>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</si>
  <si>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</si>
  <si>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</si>
  <si>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</si>
  <si>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</si>
  <si>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</si>
  <si>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</si>
  <si>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</si>
  <si>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</si>
  <si>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</si>
  <si>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</si>
  <si>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</si>
  <si>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</si>
  <si>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</si>
  <si>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</si>
  <si>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</si>
  <si>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</si>
  <si>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</si>
  <si>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</si>
  <si>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</si>
  <si>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</si>
  <si>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</si>
  <si>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</si>
  <si>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</si>
  <si>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</si>
  <si>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</si>
  <si>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</si>
  <si>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</si>
  <si>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</si>
  <si>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</si>
  <si>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</si>
  <si>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</si>
  <si>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</si>
  <si>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</si>
  <si>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</si>
  <si>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</si>
  <si>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</si>
  <si>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</si>
  <si>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</si>
  <si>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</si>
  <si>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</si>
  <si>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</si>
  <si>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</si>
  <si>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</si>
  <si>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</si>
  <si>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</si>
  <si>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</si>
  <si>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</si>
  <si>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</si>
  <si>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</si>
  <si>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</si>
  <si>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</si>
  <si>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</si>
  <si>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</si>
  <si>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</si>
  <si>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</si>
  <si>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</si>
  <si>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</si>
  <si>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</si>
  <si>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</si>
  <si>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</si>
  <si>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</si>
  <si>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</si>
  <si>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</si>
  <si>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</si>
  <si>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</si>
  <si>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</si>
  <si>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</si>
  <si>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</si>
  <si>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</si>
  <si>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</si>
  <si>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</si>
  <si>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</si>
  <si>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</si>
  <si>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</si>
  <si>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</si>
  <si>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</si>
  <si>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</si>
  <si>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</si>
  <si>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</si>
  <si>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</si>
  <si>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</si>
  <si>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</si>
  <si>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</si>
  <si>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</si>
  <si>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</si>
  <si>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</si>
  <si>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</si>
  <si>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</si>
  <si>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</si>
  <si>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</si>
  <si>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</si>
  <si>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</si>
  <si>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</si>
  <si>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</si>
  <si>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</si>
  <si>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</si>
  <si>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</si>
  <si>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</si>
  <si>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</si>
  <si>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</si>
  <si>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</si>
  <si>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</si>
  <si>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</si>
  <si>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</si>
  <si>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</si>
  <si>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</si>
  <si>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</si>
  <si>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</si>
  <si>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</si>
  <si>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</si>
  <si>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</si>
  <si>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</si>
  <si>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</si>
  <si>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</si>
  <si>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</si>
  <si>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</si>
  <si>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</si>
  <si>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</si>
  <si>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</si>
  <si>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</si>
  <si>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</si>
  <si>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</si>
  <si>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</si>
  <si>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</si>
  <si>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</si>
  <si>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</si>
  <si>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</si>
  <si>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</si>
  <si>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</si>
  <si>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</si>
  <si>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</si>
  <si>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</si>
  <si>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</si>
  <si>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</si>
  <si>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</si>
  <si>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</si>
  <si>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</si>
  <si>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</si>
  <si>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</si>
  <si>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</si>
  <si>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</si>
  <si>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</si>
  <si>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</si>
  <si>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</si>
  <si>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</si>
  <si>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</si>
  <si>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</si>
  <si>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</si>
  <si>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</si>
  <si>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</si>
  <si>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</si>
  <si>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</si>
  <si>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</si>
  <si>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</si>
  <si>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</si>
  <si>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</si>
  <si>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</si>
  <si>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</si>
  <si>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</si>
  <si>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</si>
  <si>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</si>
  <si>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</si>
  <si>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</si>
  <si>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</si>
  <si>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</si>
  <si>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</si>
  <si>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</si>
  <si>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</si>
  <si>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</si>
  <si>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</si>
  <si>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</si>
  <si>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</si>
  <si>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</si>
  <si>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</si>
  <si>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</si>
  <si>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</si>
  <si>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</si>
  <si>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</si>
  <si>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</si>
  <si>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</si>
  <si>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</si>
  <si>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</si>
  <si>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</si>
  <si>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</si>
  <si>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</si>
  <si>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</si>
  <si>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</si>
  <si>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</si>
  <si>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</si>
  <si>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</si>
  <si>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</si>
  <si>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</si>
  <si>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</si>
  <si>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</si>
  <si>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</si>
  <si>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</si>
  <si>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</si>
  <si>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</si>
  <si>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</si>
  <si>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</si>
  <si>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</si>
  <si>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</si>
  <si>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</si>
  <si>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</si>
  <si>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</si>
  <si>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</si>
  <si>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</si>
  <si>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</si>
  <si>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</si>
  <si>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</si>
  <si>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</si>
  <si>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</si>
  <si>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</si>
  <si>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</si>
  <si>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</si>
  <si>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</si>
  <si>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</si>
  <si>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</si>
  <si>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</si>
  <si>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</si>
  <si>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</si>
  <si>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</si>
  <si>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</si>
  <si>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</si>
  <si>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</si>
  <si>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</si>
  <si>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</si>
  <si>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</si>
  <si>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</si>
  <si>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</si>
  <si>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</si>
  <si>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</si>
  <si>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</si>
  <si>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</si>
  <si>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</si>
  <si>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</si>
  <si>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</si>
  <si>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</si>
  <si>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</si>
  <si>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</si>
  <si>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</si>
  <si>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</si>
  <si>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</si>
  <si>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</si>
  <si>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</si>
  <si>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</si>
  <si>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</si>
  <si>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</si>
  <si>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</si>
  <si>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</si>
  <si>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</si>
  <si>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</si>
  <si>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</si>
  <si>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</si>
  <si>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</si>
  <si>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</si>
  <si>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</si>
  <si>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</si>
  <si>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</si>
  <si>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</si>
  <si>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</si>
  <si>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</si>
  <si>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</si>
  <si>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</si>
  <si>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</si>
  <si>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</si>
  <si>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</si>
  <si>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</si>
  <si>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</si>
  <si>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</si>
  <si>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</si>
  <si>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</si>
  <si>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</si>
  <si>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</si>
  <si>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</si>
  <si>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</si>
  <si>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</si>
  <si>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</si>
  <si>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</si>
  <si>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</si>
  <si>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</si>
  <si>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</si>
  <si>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</si>
  <si>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</si>
  <si>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</si>
  <si>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</si>
  <si>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</si>
  <si>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</si>
  <si>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</si>
  <si>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</si>
  <si>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</si>
  <si>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</si>
  <si>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</si>
  <si>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</si>
  <si>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</si>
  <si>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</si>
  <si>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</si>
  <si>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</si>
  <si>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</si>
  <si>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</si>
  <si>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</si>
  <si>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</si>
  <si>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</si>
  <si>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</si>
  <si>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</si>
  <si>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</si>
  <si>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</si>
  <si>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</si>
  <si>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</si>
  <si>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</si>
  <si>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</si>
  <si>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</si>
  <si>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</si>
  <si>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</si>
  <si>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</si>
  <si>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</si>
  <si>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</si>
  <si>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</si>
  <si>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</si>
  <si>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</si>
  <si>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</si>
  <si>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</si>
  <si>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</si>
  <si>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</si>
  <si>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</si>
  <si>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</si>
  <si>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</si>
  <si>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</si>
  <si>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</si>
  <si>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</si>
  <si>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</si>
  <si>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</si>
  <si>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</si>
  <si>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</si>
  <si>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</si>
  <si>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</si>
  <si>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</si>
  <si>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</si>
  <si>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</si>
  <si>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</si>
  <si>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</si>
  <si>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</si>
  <si>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</si>
  <si>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</si>
  <si>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</si>
  <si>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</si>
  <si>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</si>
  <si>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</si>
  <si>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</si>
  <si>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</si>
  <si>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</si>
  <si>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</si>
  <si>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</si>
  <si>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</si>
  <si>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</si>
  <si>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</si>
  <si>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</si>
  <si>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</si>
  <si>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</si>
  <si>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</si>
  <si>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</si>
  <si>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</si>
  <si>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</si>
  <si>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</si>
  <si>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</si>
  <si>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</si>
  <si>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</si>
  <si>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</si>
  <si>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</si>
  <si>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</si>
  <si>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</si>
  <si>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</si>
  <si>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</si>
  <si>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</si>
  <si>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</si>
  <si>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</si>
  <si>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</si>
  <si>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</si>
  <si>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</si>
  <si>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</si>
  <si>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</si>
  <si>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</si>
  <si>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</si>
  <si>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</si>
  <si>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</si>
  <si>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</si>
  <si>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</si>
  <si>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</si>
  <si>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</si>
  <si>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</si>
  <si>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</si>
  <si>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</si>
  <si>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</si>
  <si>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</si>
  <si>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</si>
  <si>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</si>
  <si>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</si>
  <si>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</si>
  <si>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</si>
  <si>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</si>
  <si>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</si>
  <si>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</si>
  <si>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</si>
  <si>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</si>
  <si>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</si>
  <si>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</si>
  <si>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</si>
  <si>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</si>
  <si>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</si>
  <si>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</si>
  <si>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</si>
  <si>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</si>
  <si>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</si>
  <si>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</si>
  <si>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</si>
  <si>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</si>
  <si>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</si>
  <si>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</si>
  <si>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</si>
  <si>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</si>
  <si>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</si>
  <si>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</si>
  <si>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</si>
  <si>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</si>
  <si>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</si>
  <si>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</si>
  <si>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</si>
  <si>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</si>
  <si>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</si>
  <si>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</si>
  <si>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</si>
  <si>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</si>
  <si>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</si>
  <si>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</si>
  <si>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</si>
  <si>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</si>
  <si>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</si>
  <si>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</si>
  <si>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</si>
  <si>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</si>
  <si>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</si>
  <si>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</si>
  <si>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</si>
  <si>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</si>
  <si>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</si>
  <si>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</si>
  <si>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</si>
  <si>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</si>
  <si>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</si>
  <si>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</si>
  <si>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</si>
  <si>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</si>
  <si>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</si>
  <si>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</si>
  <si>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</si>
  <si>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</si>
  <si>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</si>
  <si>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</si>
  <si>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</si>
  <si>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</si>
  <si>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</si>
  <si>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</si>
  <si>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</si>
  <si>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</si>
  <si>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</si>
  <si>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</si>
  <si>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</si>
  <si>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</si>
  <si>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</si>
  <si>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</si>
  <si>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</si>
  <si>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</si>
  <si>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</si>
  <si>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</si>
  <si>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</si>
  <si>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</si>
  <si>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</si>
  <si>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</si>
  <si>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</si>
  <si>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</si>
  <si>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</si>
  <si>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</si>
  <si>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</si>
  <si>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</si>
  <si>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</si>
  <si>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</si>
  <si>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</si>
  <si>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</si>
  <si>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</si>
  <si>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</si>
  <si>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</si>
  <si>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</si>
  <si>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</si>
  <si>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</si>
  <si>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</si>
  <si>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</si>
  <si>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</si>
  <si>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</si>
  <si>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</si>
  <si>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</si>
  <si>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</si>
  <si>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</si>
  <si>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</si>
  <si>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</si>
  <si>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</si>
  <si>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</si>
  <si>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</si>
  <si>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</si>
  <si>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</si>
  <si>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</si>
  <si>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</si>
  <si>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</si>
  <si>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</si>
  <si>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</si>
  <si>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</si>
  <si>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</si>
  <si>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</si>
  <si>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</si>
  <si>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</si>
  <si>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</si>
  <si>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</si>
  <si>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</si>
  <si>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</si>
  <si>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</si>
  <si>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</si>
  <si>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</si>
  <si>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</si>
  <si>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</si>
  <si>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</si>
  <si>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</si>
  <si>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</si>
  <si>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</si>
  <si>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</si>
  <si>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</si>
  <si>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</si>
  <si>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</si>
  <si>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</si>
  <si>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</si>
  <si>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</si>
  <si>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</si>
  <si>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</si>
  <si>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</si>
  <si>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</si>
  <si>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</si>
  <si>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</si>
  <si>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</si>
  <si>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</si>
  <si>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</si>
  <si>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</si>
  <si>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</si>
  <si>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</si>
  <si>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</si>
  <si>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</si>
  <si>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</si>
  <si>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</si>
  <si>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</si>
  <si>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</si>
  <si>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</si>
  <si>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</si>
  <si>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</si>
  <si>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</si>
  <si>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</si>
  <si>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</si>
  <si>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</si>
  <si>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</si>
  <si>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</si>
  <si>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</si>
  <si>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</si>
  <si>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</si>
  <si>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</si>
  <si>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</si>
  <si>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</si>
  <si>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</si>
  <si>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</si>
  <si>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</si>
  <si>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</si>
  <si>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</si>
  <si>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</si>
  <si>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</si>
  <si>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</si>
  <si>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</si>
  <si>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</si>
  <si>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</si>
  <si>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</si>
  <si>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</si>
  <si>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</si>
  <si>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</si>
  <si>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</si>
  <si>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</si>
  <si>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</si>
  <si>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</si>
  <si>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</si>
  <si>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</si>
  <si>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</si>
  <si>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</si>
  <si>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</si>
  <si>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</si>
  <si>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</si>
  <si>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</si>
  <si>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</si>
  <si>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</si>
  <si>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</si>
  <si>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</si>
  <si>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</si>
  <si>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</si>
  <si>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</si>
  <si>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</si>
  <si>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</si>
  <si>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</si>
  <si>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</si>
  <si>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</si>
  <si>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</si>
  <si>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</si>
  <si>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</si>
  <si>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</si>
  <si>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</si>
  <si>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</si>
  <si>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</si>
  <si>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</si>
  <si>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</si>
  <si>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</si>
  <si>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</si>
  <si>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</si>
  <si>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Pehlman and Dold, P.C.</t>
  </si>
  <si>
    <t>100 North Amos Avenue</t>
  </si>
  <si>
    <t>Springfield</t>
  </si>
  <si>
    <t>IL</t>
  </si>
  <si>
    <t>(217) 787-0563</t>
  </si>
  <si>
    <t>(217) 787-9266</t>
  </si>
  <si>
    <t>060-004845</t>
  </si>
  <si>
    <t>x</t>
  </si>
  <si>
    <t>Sangamon</t>
  </si>
  <si>
    <t>810 4th Street</t>
  </si>
  <si>
    <t>Pawnee</t>
  </si>
  <si>
    <t>galexander@pawneeschools.org</t>
  </si>
  <si>
    <t>62558-9680</t>
  </si>
  <si>
    <t>Gary Alexander, Superintendent</t>
  </si>
  <si>
    <t>(217) 625-2471</t>
  </si>
  <si>
    <t>(217) 625-2251</t>
  </si>
  <si>
    <t>Dorinda L Fitzgerald</t>
  </si>
  <si>
    <t>dfitzgerald@p-dcpas.com</t>
  </si>
  <si>
    <t>Part C, 23 - Other than cash basis, the Auditor's Report was qualified due to the District not maintaining a formal record system to track assets accounted for in the General Fixed Asset Account Group.</t>
  </si>
  <si>
    <t>2013 General Obligation Bonds</t>
  </si>
  <si>
    <t>2018 General Obligation Bonds</t>
  </si>
  <si>
    <t>Prairie State Insurance Cooperative</t>
  </si>
  <si>
    <t>Sangamon Area Special Education District</t>
  </si>
  <si>
    <t>CMS Joint Purchasing Agreement</t>
  </si>
  <si>
    <t xml:space="preserve">Regional Office of Career and Technical Education </t>
  </si>
  <si>
    <t>Truant Alternative - TAOEP</t>
  </si>
  <si>
    <t>Tort - Insurance Payments - Purchased Service</t>
  </si>
  <si>
    <t>Education Fund - Acct 1614 - Cafeteria Pop Rebates</t>
  </si>
  <si>
    <t>Education Fund - Acct 1790 - Misc Pupil Reimbursements/PE Uniforms</t>
  </si>
  <si>
    <t>Education Fund - Acct 1993 - Preschool Fees $10,363,  Graduation Fees  $1,300</t>
  </si>
  <si>
    <t>Education Fund - Acct 1999 - UCB Royalties  $212, Misc Refunds and Reimbursements  $1,331</t>
  </si>
  <si>
    <t>Operations and Maintenance Fund - Acct 1999 - Salvage Income  $277, Misc Refunds and Reimbursement  $95</t>
  </si>
  <si>
    <t>Transportation Fund - Acct 1999 - Fuel Reimbursement</t>
  </si>
  <si>
    <t>Education Fund - Acct 3999 - Library Annual Per Capita Grant</t>
  </si>
  <si>
    <t>Debt Service Fund - Function 5400, Object 600 - Bank fees on bond payments</t>
  </si>
  <si>
    <t>PDF in Opinion Page with signature</t>
  </si>
  <si>
    <t xml:space="preserve">Pawnee CUSD 11                      </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</si>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</sst>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1085850</xdr:colOff>
          <xdr:row>4</xdr:row>
          <xdr:rowOff>76200</xdr:rowOff>
        </xdr:from>
        <xdr:to>
          <xdr:col>1</xdr:col>
          <xdr:colOff>2000250</xdr:colOff>
          <xdr:row>8</xdr:row>
          <xdr:rowOff>114300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L32" sqref="L3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2084</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2084</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51084011026</v>
      </c>
      <c r="B13" s="2035"/>
      <c r="C13" s="2035"/>
      <c r="D13" s="2035"/>
      <c r="E13" s="2035"/>
      <c r="F13" s="2035"/>
      <c r="G13" s="2035"/>
      <c r="H13" s="2036"/>
      <c r="I13" s="31"/>
      <c r="J13" s="30"/>
      <c r="K13" s="28"/>
      <c r="L13" s="30"/>
      <c r="M13" s="30"/>
      <c r="N13" s="30"/>
      <c r="O13" s="30"/>
      <c r="P13" s="30"/>
      <c r="Q13" s="30"/>
      <c r="R13" s="30"/>
      <c r="S13" s="30"/>
      <c r="T13" s="2039" t="s">
        <v>2077</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2085</v>
      </c>
      <c r="B15" s="2037"/>
      <c r="C15" s="2037"/>
      <c r="D15" s="2037"/>
      <c r="E15" s="2037"/>
      <c r="F15" s="2037"/>
      <c r="G15" s="2037"/>
      <c r="H15" s="2038"/>
      <c r="T15" s="2043" t="s">
        <v>2093</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2113</v>
      </c>
      <c r="B17" s="1994"/>
      <c r="C17" s="1994"/>
      <c r="D17" s="1994"/>
      <c r="E17" s="1994"/>
      <c r="F17" s="1994"/>
      <c r="G17" s="1994"/>
      <c r="H17" s="2019"/>
      <c r="T17" s="2050" t="s">
        <v>2078</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2086</v>
      </c>
      <c r="B19" s="1979"/>
      <c r="C19" s="1979"/>
      <c r="D19" s="1979"/>
      <c r="E19" s="1979"/>
      <c r="F19" s="1979"/>
      <c r="G19" s="1979"/>
      <c r="H19" s="1959"/>
      <c r="I19" s="30"/>
      <c r="J19" s="99"/>
      <c r="K19" s="40"/>
      <c r="L19" s="38"/>
      <c r="M19" s="112" t="s">
        <v>333</v>
      </c>
      <c r="P19" s="27"/>
      <c r="Q19" s="27"/>
      <c r="R19" s="27"/>
      <c r="S19" s="31"/>
      <c r="T19" s="2033" t="s">
        <v>2079</v>
      </c>
      <c r="U19" s="1958"/>
      <c r="V19" s="1958"/>
      <c r="W19" s="1959"/>
      <c r="X19" s="2048" t="s">
        <v>2080</v>
      </c>
      <c r="Y19" s="2049"/>
      <c r="Z19" s="2046">
        <v>62702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2087</v>
      </c>
      <c r="B21" s="1958"/>
      <c r="C21" s="1958"/>
      <c r="D21" s="1958"/>
      <c r="E21" s="1958"/>
      <c r="F21" s="1958"/>
      <c r="G21" s="1958"/>
      <c r="H21" s="1959"/>
      <c r="I21" s="2013" t="s">
        <v>699</v>
      </c>
      <c r="J21" s="2008"/>
      <c r="K21" s="2008"/>
      <c r="L21" s="2008"/>
      <c r="M21" s="2008"/>
      <c r="N21" s="2008"/>
      <c r="O21" s="2008"/>
      <c r="P21" s="2008"/>
      <c r="Q21" s="2008"/>
      <c r="R21" s="2008"/>
      <c r="S21" s="2014"/>
      <c r="T21" s="2057" t="s">
        <v>2081</v>
      </c>
      <c r="U21" s="2058"/>
      <c r="V21" s="2058"/>
      <c r="W21" s="2058"/>
      <c r="X21" s="2063" t="s">
        <v>2082</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t="s">
        <v>2088</v>
      </c>
      <c r="B23" s="2011"/>
      <c r="C23" s="2011"/>
      <c r="D23" s="2011"/>
      <c r="E23" s="2011"/>
      <c r="F23" s="2011"/>
      <c r="G23" s="2011"/>
      <c r="H23" s="2012"/>
      <c r="T23" s="1993" t="s">
        <v>2083</v>
      </c>
      <c r="U23" s="2056"/>
      <c r="V23" s="2056"/>
      <c r="W23" s="2056"/>
      <c r="X23" s="2060">
        <v>43466</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t="s">
        <v>2089</v>
      </c>
      <c r="B25" s="1958"/>
      <c r="C25" s="1958"/>
      <c r="D25" s="1958"/>
      <c r="E25" s="1958"/>
      <c r="F25" s="1958"/>
      <c r="G25" s="1958"/>
      <c r="H25" s="1959"/>
      <c r="I25" s="113"/>
      <c r="J25" s="1982"/>
      <c r="K25" s="1982"/>
      <c r="L25" s="1982"/>
      <c r="M25" s="1982"/>
      <c r="N25" s="1982"/>
      <c r="O25" s="1982"/>
      <c r="P25" s="1982"/>
      <c r="Q25" s="1982"/>
      <c r="R25" s="1982"/>
      <c r="S25" s="1983"/>
      <c r="T25" s="2053" t="s">
        <v>2094</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2084</v>
      </c>
      <c r="C29" s="124" t="s">
        <v>874</v>
      </c>
      <c r="D29" s="114"/>
      <c r="E29" s="136"/>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2090</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2088</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2091</v>
      </c>
      <c r="B42" s="1977"/>
      <c r="C42" s="1978"/>
      <c r="D42" s="1976" t="s">
        <v>2092</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sqref="A1:D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2095</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t="s">
        <v>2112</v>
      </c>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75886632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53">
        <f>ROUND(D10+F10+H10,5)</f>
        <v>2.5399999999999999E-2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5207634</v>
      </c>
      <c r="E16" s="356"/>
      <c r="F16" s="1754">
        <f>SUM('Acct Summary 7-8'!C17,'Acct Summary 7-8'!D17,'Acct Summary 7-8'!F17)</f>
        <v>5201368</v>
      </c>
      <c r="G16" s="356"/>
      <c r="H16" s="1754">
        <f>SUM(D16-F16)</f>
        <v>6266</v>
      </c>
      <c r="I16" s="222"/>
      <c r="J16" s="1754">
        <f>SUM('Acct Summary 7-8'!C81,'Acct Summary 7-8'!D81,'Acct Summary 7-8'!F81,'Acct Summary 7-8'!I81)</f>
        <v>5486513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10472355.216</v>
      </c>
      <c r="I31" s="368"/>
      <c r="J31" s="222"/>
      <c r="K31" s="222"/>
      <c r="L31" s="222"/>
      <c r="M31" s="222"/>
    </row>
    <row r="32" spans="1:13" ht="13.35" customHeight="1" x14ac:dyDescent="0.2">
      <c r="B32" s="369" t="s">
        <v>2084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850000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D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 xml:space="preserve">Pawnee CUSD 11                      </v>
      </c>
      <c r="E7" s="391"/>
      <c r="G7" s="252"/>
      <c r="H7" s="387"/>
      <c r="I7" s="387"/>
      <c r="J7" s="387"/>
      <c r="K7" s="387"/>
      <c r="L7" s="329"/>
      <c r="M7" s="329"/>
      <c r="N7" s="329"/>
      <c r="O7" s="329"/>
      <c r="P7" s="329"/>
    </row>
    <row r="8" spans="1:18" ht="12.75" x14ac:dyDescent="0.2">
      <c r="A8" s="329"/>
      <c r="B8" s="329"/>
      <c r="C8" s="389" t="s">
        <v>1187</v>
      </c>
      <c r="D8" s="392">
        <f>COVER!A13</f>
        <v>51084011026</v>
      </c>
      <c r="E8" s="393"/>
      <c r="G8" s="329"/>
      <c r="H8" s="329"/>
      <c r="I8" s="329"/>
      <c r="J8" s="329"/>
      <c r="K8" s="329"/>
      <c r="L8" s="329"/>
      <c r="M8" s="329"/>
      <c r="N8" s="329"/>
      <c r="O8" s="329"/>
      <c r="P8" s="329"/>
    </row>
    <row r="9" spans="1:18" ht="12.75" x14ac:dyDescent="0.2">
      <c r="A9" s="329"/>
      <c r="B9" s="329"/>
      <c r="C9" s="389" t="s">
        <v>737</v>
      </c>
      <c r="D9" s="394" t="str">
        <f>COVER!A15</f>
        <v>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5486513</v>
      </c>
      <c r="I12" s="404"/>
      <c r="J12" s="404"/>
      <c r="K12" s="405">
        <f>TRUNC((H12/H13*100000),5)/100000</f>
        <v>1.0535519584999999</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5207634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5201368</v>
      </c>
      <c r="I17" s="404"/>
      <c r="J17" s="416"/>
      <c r="K17" s="405">
        <f>TRUNC((H17/H18*100000),5)/100000</f>
        <v>0.99879676640000004</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5207634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5491038</v>
      </c>
      <c r="I24" s="422"/>
      <c r="J24" s="422"/>
      <c r="K24" s="423">
        <f>TRUNC(((H24/H25*100000)/100000),2)</f>
        <v>380.04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14448.24444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1638392.38488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850000</v>
      </c>
      <c r="I32" s="420"/>
      <c r="J32" s="420"/>
      <c r="K32" s="423">
        <f>TRUNC(100-((((H32/H33*100))*100)/100),2)</f>
        <v>91.88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10472355.216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sqref="A1:D1"/>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2800069</v>
      </c>
      <c r="D4" s="466">
        <v>756790</v>
      </c>
      <c r="E4" s="466">
        <v>82829</v>
      </c>
      <c r="F4" s="466">
        <v>251683</v>
      </c>
      <c r="G4" s="466">
        <v>140846</v>
      </c>
      <c r="H4" s="466">
        <v>14412</v>
      </c>
      <c r="I4" s="466">
        <v>15335</v>
      </c>
      <c r="J4" s="467">
        <v>120972</v>
      </c>
      <c r="K4" s="466">
        <v>261026</v>
      </c>
      <c r="L4" s="466">
        <v>189247</v>
      </c>
      <c r="M4" s="468"/>
      <c r="N4" s="469"/>
    </row>
    <row r="5" spans="1:14" x14ac:dyDescent="0.2">
      <c r="A5" s="463" t="s">
        <v>1049</v>
      </c>
      <c r="B5" s="470">
        <v>120</v>
      </c>
      <c r="C5" s="465">
        <v>577490</v>
      </c>
      <c r="D5" s="466"/>
      <c r="E5" s="466"/>
      <c r="F5" s="466">
        <v>210000</v>
      </c>
      <c r="G5" s="466"/>
      <c r="H5" s="466"/>
      <c r="I5" s="466">
        <v>879671</v>
      </c>
      <c r="J5" s="467"/>
      <c r="K5" s="471">
        <v>245100</v>
      </c>
      <c r="L5" s="472">
        <v>806</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3377559</v>
      </c>
      <c r="D13" s="1758">
        <f t="shared" ref="D13:L13" si="0">SUM(D4:D12)</f>
        <v>756790</v>
      </c>
      <c r="E13" s="1758">
        <f t="shared" si="0"/>
        <v>82829</v>
      </c>
      <c r="F13" s="1758">
        <f t="shared" si="0"/>
        <v>461683</v>
      </c>
      <c r="G13" s="1758">
        <f t="shared" si="0"/>
        <v>140846</v>
      </c>
      <c r="H13" s="1758">
        <f t="shared" si="0"/>
        <v>14412</v>
      </c>
      <c r="I13" s="1758">
        <f t="shared" si="0"/>
        <v>895006</v>
      </c>
      <c r="J13" s="1758">
        <f t="shared" si="0"/>
        <v>120972</v>
      </c>
      <c r="K13" s="1758">
        <f t="shared" si="0"/>
        <v>506126</v>
      </c>
      <c r="L13" s="1758">
        <f t="shared" si="0"/>
        <v>190053</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68728</v>
      </c>
      <c r="N16" s="484"/>
    </row>
    <row r="17" spans="1:14" s="485" customFormat="1" ht="12.75" customHeight="1" x14ac:dyDescent="0.2">
      <c r="A17" s="482" t="s">
        <v>1470</v>
      </c>
      <c r="B17" s="483">
        <v>230</v>
      </c>
      <c r="C17" s="477"/>
      <c r="D17" s="477"/>
      <c r="E17" s="477"/>
      <c r="F17" s="477"/>
      <c r="G17" s="477"/>
      <c r="H17" s="477"/>
      <c r="I17" s="477"/>
      <c r="J17" s="477"/>
      <c r="K17" s="477"/>
      <c r="L17" s="477"/>
      <c r="M17" s="467">
        <v>8892310</v>
      </c>
      <c r="N17" s="484"/>
    </row>
    <row r="18" spans="1:14" s="485" customFormat="1" ht="12.75" customHeight="1" x14ac:dyDescent="0.2">
      <c r="A18" s="482" t="s">
        <v>1471</v>
      </c>
      <c r="B18" s="483">
        <v>240</v>
      </c>
      <c r="C18" s="477"/>
      <c r="D18" s="477"/>
      <c r="E18" s="477"/>
      <c r="F18" s="477"/>
      <c r="G18" s="477"/>
      <c r="H18" s="477"/>
      <c r="I18" s="477"/>
      <c r="J18" s="477"/>
      <c r="K18" s="477"/>
      <c r="L18" s="477"/>
      <c r="M18" s="467">
        <v>726464</v>
      </c>
      <c r="N18" s="484"/>
    </row>
    <row r="19" spans="1:14" s="485" customFormat="1" ht="12.75" customHeight="1" x14ac:dyDescent="0.2">
      <c r="A19" s="482" t="s">
        <v>1472</v>
      </c>
      <c r="B19" s="483">
        <v>250</v>
      </c>
      <c r="C19" s="477"/>
      <c r="D19" s="477"/>
      <c r="E19" s="477"/>
      <c r="F19" s="477"/>
      <c r="G19" s="477"/>
      <c r="H19" s="477"/>
      <c r="I19" s="477"/>
      <c r="J19" s="477"/>
      <c r="K19" s="477"/>
      <c r="L19" s="477"/>
      <c r="M19" s="467">
        <v>1082611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82829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767171</v>
      </c>
    </row>
    <row r="23" spans="1:14" ht="13.5" customHeight="1" thickBot="1" x14ac:dyDescent="0.25">
      <c r="A23" s="1757" t="s">
        <v>664</v>
      </c>
      <c r="B23" s="1762"/>
      <c r="C23" s="468"/>
      <c r="D23" s="468"/>
      <c r="E23" s="468"/>
      <c r="F23" s="468"/>
      <c r="G23" s="468"/>
      <c r="H23" s="468"/>
      <c r="I23" s="468"/>
      <c r="J23" s="468"/>
      <c r="K23" s="468"/>
      <c r="L23" s="468"/>
      <c r="M23" s="1709">
        <f>SUM(M15:M22)</f>
        <v>10770113</v>
      </c>
      <c r="N23" s="1709">
        <f>SUM(N21:N22)</f>
        <v>850000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4525</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190053</v>
      </c>
      <c r="M33" s="468"/>
      <c r="N33" s="469"/>
    </row>
    <row r="34" spans="1:14" ht="13.5" customHeight="1" thickBot="1" x14ac:dyDescent="0.25">
      <c r="A34" s="1759" t="s">
        <v>675</v>
      </c>
      <c r="B34" s="1760"/>
      <c r="C34" s="1761">
        <f>SUM(C25:C33)</f>
        <v>4525</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190053</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850000</v>
      </c>
    </row>
    <row r="37" spans="1:14" ht="13.5" thickBot="1" x14ac:dyDescent="0.25">
      <c r="A37" s="1757" t="s">
        <v>674</v>
      </c>
      <c r="B37" s="1762"/>
      <c r="C37" s="477"/>
      <c r="D37" s="477"/>
      <c r="E37" s="477"/>
      <c r="F37" s="477"/>
      <c r="G37" s="477"/>
      <c r="H37" s="477"/>
      <c r="I37" s="477"/>
      <c r="J37" s="477"/>
      <c r="K37" s="477"/>
      <c r="L37" s="480"/>
      <c r="M37" s="468"/>
      <c r="N37" s="1709">
        <f>SUM(N36:N36)</f>
        <v>850000</v>
      </c>
    </row>
    <row r="38" spans="1:14" s="329" customFormat="1" ht="13.5" customHeight="1" thickTop="1" x14ac:dyDescent="0.2">
      <c r="A38" s="496" t="s">
        <v>440</v>
      </c>
      <c r="B38" s="483">
        <v>714</v>
      </c>
      <c r="C38" s="466">
        <v>14521</v>
      </c>
      <c r="D38" s="466"/>
      <c r="E38" s="466"/>
      <c r="F38" s="466"/>
      <c r="G38" s="466"/>
      <c r="H38" s="466">
        <v>14412</v>
      </c>
      <c r="I38" s="466"/>
      <c r="J38" s="467"/>
      <c r="K38" s="466">
        <v>506126</v>
      </c>
      <c r="L38" s="481"/>
      <c r="M38" s="497"/>
      <c r="N38" s="497"/>
    </row>
    <row r="39" spans="1:14" s="329" customFormat="1" ht="13.5" customHeight="1" x14ac:dyDescent="0.2">
      <c r="A39" s="496" t="s">
        <v>360</v>
      </c>
      <c r="B39" s="483">
        <v>730</v>
      </c>
      <c r="C39" s="466">
        <v>3358513</v>
      </c>
      <c r="D39" s="466">
        <v>756790</v>
      </c>
      <c r="E39" s="466">
        <v>82829</v>
      </c>
      <c r="F39" s="466">
        <v>461683</v>
      </c>
      <c r="G39" s="466">
        <v>140846</v>
      </c>
      <c r="H39" s="466"/>
      <c r="I39" s="466">
        <v>895006</v>
      </c>
      <c r="J39" s="467">
        <v>120972</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10770113</v>
      </c>
      <c r="N40" s="497"/>
    </row>
    <row r="41" spans="1:14" ht="13.5" customHeight="1" thickBot="1" x14ac:dyDescent="0.25">
      <c r="A41" s="1757" t="s">
        <v>676</v>
      </c>
      <c r="B41" s="1727"/>
      <c r="C41" s="1709">
        <f>(SUM(C34,C37,C38,C39))</f>
        <v>3377559</v>
      </c>
      <c r="D41" s="1709">
        <f t="shared" ref="D41:L41" si="2">SUM(D34,D37,D38:D39)</f>
        <v>756790</v>
      </c>
      <c r="E41" s="1709">
        <f t="shared" si="2"/>
        <v>82829</v>
      </c>
      <c r="F41" s="1709">
        <f t="shared" si="2"/>
        <v>461683</v>
      </c>
      <c r="G41" s="1709">
        <f t="shared" si="2"/>
        <v>140846</v>
      </c>
      <c r="H41" s="1709">
        <f t="shared" si="2"/>
        <v>14412</v>
      </c>
      <c r="I41" s="1709">
        <f t="shared" si="2"/>
        <v>895006</v>
      </c>
      <c r="J41" s="1709">
        <f t="shared" si="2"/>
        <v>120972</v>
      </c>
      <c r="K41" s="1709">
        <f t="shared" si="2"/>
        <v>506126</v>
      </c>
      <c r="L41" s="1709">
        <f t="shared" si="2"/>
        <v>190053</v>
      </c>
      <c r="M41" s="1709">
        <f>SUM(M40)</f>
        <v>10770113</v>
      </c>
      <c r="N41" s="1709">
        <f>SUM(N37)</f>
        <v>850000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notes to the financial statments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sqref="A1:D1"/>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2" t="s">
        <v>1579</v>
      </c>
      <c r="B4" s="1953">
        <v>1000</v>
      </c>
      <c r="C4" s="1763">
        <f>'Revenues 9-14'!C109</f>
        <v>3248917</v>
      </c>
      <c r="D4" s="1763">
        <f>'Revenues 9-14'!D109</f>
        <v>519039</v>
      </c>
      <c r="E4" s="1763">
        <f>'Revenues 9-14'!E109</f>
        <v>192357</v>
      </c>
      <c r="F4" s="1763">
        <f>'Revenues 9-14'!F109</f>
        <v>149380</v>
      </c>
      <c r="G4" s="1763">
        <f>'Revenues 9-14'!G109</f>
        <v>286103</v>
      </c>
      <c r="H4" s="1763">
        <f>'Revenues 9-14'!H109</f>
        <v>10273</v>
      </c>
      <c r="I4" s="1763">
        <f>'Revenues 9-14'!I109</f>
        <v>40907</v>
      </c>
      <c r="J4" s="1763">
        <f>'Revenues 9-14'!J109</f>
        <v>531754</v>
      </c>
      <c r="K4" s="1763">
        <f>'Revenues 9-14'!K109</f>
        <v>37250</v>
      </c>
      <c r="L4" s="347"/>
    </row>
    <row r="5" spans="1:13" ht="15.75" customHeight="1" x14ac:dyDescent="0.2">
      <c r="A5" s="1598" t="s">
        <v>1580</v>
      </c>
      <c r="B5" s="1599">
        <v>2000</v>
      </c>
      <c r="C5" s="1764">
        <f>'Revenues 9-14'!C114</f>
        <v>127550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807503</v>
      </c>
      <c r="D6" s="1764">
        <f>'Revenues 9-14'!D173</f>
        <v>0</v>
      </c>
      <c r="E6" s="1764">
        <f>'Revenues 9-14'!E173</f>
        <v>0</v>
      </c>
      <c r="F6" s="1764">
        <f>'Revenues 9-14'!F173</f>
        <v>27950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286388</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4470358</v>
      </c>
      <c r="D8" s="1709">
        <f t="shared" ref="D8:K8" si="0">SUM(D4:D7)</f>
        <v>519039</v>
      </c>
      <c r="E8" s="1709">
        <f t="shared" si="0"/>
        <v>192357</v>
      </c>
      <c r="F8" s="1709">
        <f t="shared" si="0"/>
        <v>177330</v>
      </c>
      <c r="G8" s="1709">
        <f t="shared" si="0"/>
        <v>286103</v>
      </c>
      <c r="H8" s="1709">
        <f t="shared" si="0"/>
        <v>10273</v>
      </c>
      <c r="I8" s="1709">
        <f t="shared" si="0"/>
        <v>40907</v>
      </c>
      <c r="J8" s="1709">
        <f t="shared" si="0"/>
        <v>531754</v>
      </c>
      <c r="K8" s="1709">
        <f t="shared" si="0"/>
        <v>37250</v>
      </c>
      <c r="L8" s="347"/>
    </row>
    <row r="9" spans="1:13" ht="15.75" thickTop="1" x14ac:dyDescent="0.2">
      <c r="A9" s="514" t="s">
        <v>1752</v>
      </c>
      <c r="B9" s="515">
        <v>3998</v>
      </c>
      <c r="C9" s="481">
        <v>3059063</v>
      </c>
      <c r="D9" s="516"/>
      <c r="E9" s="481"/>
      <c r="F9" s="481"/>
      <c r="G9" s="517"/>
      <c r="H9" s="481"/>
      <c r="I9" s="509" t="s">
        <v>1231</v>
      </c>
      <c r="J9" s="478"/>
      <c r="K9" s="481"/>
      <c r="L9" s="347"/>
    </row>
    <row r="10" spans="1:13" s="519" customFormat="1" ht="13.5" thickBot="1" x14ac:dyDescent="0.25">
      <c r="A10" s="1757" t="s">
        <v>1235</v>
      </c>
      <c r="B10" s="1730"/>
      <c r="C10" s="1709">
        <f>SUM(C8:C9)</f>
        <v>7529421</v>
      </c>
      <c r="D10" s="1709">
        <f t="shared" ref="D10:K10" si="1">SUM(D8:D9)</f>
        <v>519039</v>
      </c>
      <c r="E10" s="1709">
        <f t="shared" si="1"/>
        <v>192357</v>
      </c>
      <c r="F10" s="1709">
        <f t="shared" si="1"/>
        <v>177330</v>
      </c>
      <c r="G10" s="1709">
        <f t="shared" si="1"/>
        <v>286103</v>
      </c>
      <c r="H10" s="1709">
        <f t="shared" si="1"/>
        <v>10273</v>
      </c>
      <c r="I10" s="1709">
        <f t="shared" si="1"/>
        <v>40907</v>
      </c>
      <c r="J10" s="1709">
        <f t="shared" si="1"/>
        <v>531754</v>
      </c>
      <c r="K10" s="1709">
        <f t="shared" si="1"/>
        <v>37250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3">
        <f>'Expenditures 15-22'!K33</f>
        <v>3180770</v>
      </c>
      <c r="D12" s="520" t="s">
        <v>1231</v>
      </c>
      <c r="E12" s="468" t="s">
        <v>1231</v>
      </c>
      <c r="F12" s="468" t="s">
        <v>1231</v>
      </c>
      <c r="G12" s="1763">
        <f>'Expenditures 15-22'!K229</f>
        <v>111632</v>
      </c>
      <c r="H12" s="521"/>
      <c r="I12" s="468" t="s">
        <v>1231</v>
      </c>
      <c r="J12" s="468" t="s">
        <v>1231</v>
      </c>
      <c r="K12" s="521" t="s">
        <v>1231</v>
      </c>
      <c r="L12" s="347"/>
    </row>
    <row r="13" spans="1:13" ht="15.75" customHeight="1" x14ac:dyDescent="0.2">
      <c r="A13" s="1598" t="s">
        <v>477</v>
      </c>
      <c r="B13" s="1600">
        <v>2000</v>
      </c>
      <c r="C13" s="1764">
        <f>'Expenditures 15-22'!K74</f>
        <v>884959</v>
      </c>
      <c r="D13" s="1764">
        <f>'Expenditures 15-22'!K129</f>
        <v>477523</v>
      </c>
      <c r="E13" s="469" t="s">
        <v>1231</v>
      </c>
      <c r="F13" s="1764">
        <f>'Expenditures 15-22'!K184</f>
        <v>120836</v>
      </c>
      <c r="G13" s="1764">
        <f>'Expenditures 15-22'!K279</f>
        <v>137192</v>
      </c>
      <c r="H13" s="1764">
        <f>'Expenditures 15-22'!K303</f>
        <v>9994</v>
      </c>
      <c r="I13" s="468" t="s">
        <v>1231</v>
      </c>
      <c r="J13" s="1764">
        <f>'Expenditures 15-22'!K330</f>
        <v>532371</v>
      </c>
      <c r="K13" s="1768">
        <f>'Expenditures 15-22'!K352</f>
        <v>109331</v>
      </c>
      <c r="L13" s="347"/>
    </row>
    <row r="14" spans="1:13" ht="15.75" customHeight="1" x14ac:dyDescent="0.2">
      <c r="A14" s="1598" t="s">
        <v>469</v>
      </c>
      <c r="B14" s="1600">
        <v>3000</v>
      </c>
      <c r="C14" s="1764">
        <f>'Expenditures 15-22'!K75</f>
        <v>29512</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507768</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198913</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4603009</v>
      </c>
      <c r="D17" s="1709">
        <f t="shared" si="2"/>
        <v>477523</v>
      </c>
      <c r="E17" s="1709">
        <f t="shared" si="2"/>
        <v>198913</v>
      </c>
      <c r="F17" s="1709">
        <f t="shared" si="2"/>
        <v>120836</v>
      </c>
      <c r="G17" s="1709">
        <f t="shared" si="2"/>
        <v>248824</v>
      </c>
      <c r="H17" s="1709">
        <f t="shared" si="2"/>
        <v>9994</v>
      </c>
      <c r="I17" s="468"/>
      <c r="J17" s="1709">
        <f>SUM(J12:J16)</f>
        <v>532371</v>
      </c>
      <c r="K17" s="1709">
        <f>SUM(K12:K16)</f>
        <v>109331</v>
      </c>
      <c r="L17" s="347"/>
    </row>
    <row r="18" spans="1:12" ht="15" customHeight="1" thickTop="1" x14ac:dyDescent="0.2">
      <c r="A18" s="1765" t="s">
        <v>1753</v>
      </c>
      <c r="B18" s="1766">
        <v>4180</v>
      </c>
      <c r="C18" s="1763">
        <f t="shared" ref="C18:H18" si="3">C9</f>
        <v>3059063</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7662072</v>
      </c>
      <c r="D19" s="1709">
        <f t="shared" si="4"/>
        <v>477523</v>
      </c>
      <c r="E19" s="1709">
        <f t="shared" si="4"/>
        <v>198913</v>
      </c>
      <c r="F19" s="1709">
        <f t="shared" si="4"/>
        <v>120836</v>
      </c>
      <c r="G19" s="1709">
        <f t="shared" si="4"/>
        <v>248824</v>
      </c>
      <c r="H19" s="1709">
        <f t="shared" si="4"/>
        <v>9994</v>
      </c>
      <c r="I19" s="468"/>
      <c r="J19" s="1709">
        <f>SUM(J17:J18)</f>
        <v>532371</v>
      </c>
      <c r="K19" s="1709">
        <f>SUM(K17:K18)</f>
        <v>109331</v>
      </c>
      <c r="L19" s="347"/>
    </row>
    <row r="20" spans="1:12" ht="16.5" thickTop="1" thickBot="1" x14ac:dyDescent="0.25">
      <c r="A20" s="2142" t="s">
        <v>1754</v>
      </c>
      <c r="B20" s="2143"/>
      <c r="C20" s="1767">
        <f>C8-C17</f>
        <v>-132651</v>
      </c>
      <c r="D20" s="1767">
        <f t="shared" ref="D20:K20" si="5">D8-D17</f>
        <v>41516</v>
      </c>
      <c r="E20" s="1767">
        <f t="shared" si="5"/>
        <v>-6556</v>
      </c>
      <c r="F20" s="1767">
        <f t="shared" si="5"/>
        <v>56494</v>
      </c>
      <c r="G20" s="1767">
        <f t="shared" si="5"/>
        <v>37279</v>
      </c>
      <c r="H20" s="1767">
        <f t="shared" si="5"/>
        <v>279</v>
      </c>
      <c r="I20" s="1767">
        <f t="shared" si="5"/>
        <v>40907</v>
      </c>
      <c r="J20" s="1767">
        <f t="shared" si="5"/>
        <v>-617</v>
      </c>
      <c r="K20" s="1767">
        <f t="shared" si="5"/>
        <v>-72081</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v>8290</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v>850000</v>
      </c>
      <c r="L33" s="524"/>
    </row>
    <row r="34" spans="1:12" s="485" customFormat="1" x14ac:dyDescent="0.2">
      <c r="A34" s="1511" t="s">
        <v>1058</v>
      </c>
      <c r="B34" s="525">
        <v>7220</v>
      </c>
      <c r="C34" s="467"/>
      <c r="D34" s="467"/>
      <c r="E34" s="467"/>
      <c r="F34" s="467"/>
      <c r="G34" s="477"/>
      <c r="H34" s="478"/>
      <c r="I34" s="478"/>
      <c r="J34" s="478"/>
      <c r="K34" s="478">
        <v>16210</v>
      </c>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4">
        <f>SUM(C24:C43)</f>
        <v>8290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866210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8290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4">
        <f t="shared" ref="C76:K76" si="7">SUM(C47:C75)</f>
        <v>0</v>
      </c>
      <c r="D76" s="1724">
        <f t="shared" si="7"/>
        <v>0</v>
      </c>
      <c r="E76" s="1724">
        <f t="shared" si="7"/>
        <v>0</v>
      </c>
      <c r="F76" s="1724">
        <f t="shared" si="7"/>
        <v>0</v>
      </c>
      <c r="G76" s="1724">
        <f t="shared" si="7"/>
        <v>0</v>
      </c>
      <c r="H76" s="1724">
        <f t="shared" si="7"/>
        <v>0</v>
      </c>
      <c r="I76" s="1724">
        <f t="shared" si="7"/>
        <v>8290</v>
      </c>
      <c r="J76" s="1724">
        <f t="shared" si="7"/>
        <v>0</v>
      </c>
      <c r="K76" s="1724">
        <f t="shared" si="7"/>
        <v>0</v>
      </c>
      <c r="L76" s="524"/>
    </row>
    <row r="77" spans="1:12" ht="14.25" thickTop="1" thickBot="1" x14ac:dyDescent="0.25">
      <c r="A77" s="2134" t="s">
        <v>1239</v>
      </c>
      <c r="B77" s="2135"/>
      <c r="C77" s="1724">
        <f t="shared" ref="C77:K77" si="8">C44-C76</f>
        <v>8290</v>
      </c>
      <c r="D77" s="1724">
        <f t="shared" si="8"/>
        <v>0</v>
      </c>
      <c r="E77" s="1724">
        <f t="shared" si="8"/>
        <v>0</v>
      </c>
      <c r="F77" s="1724">
        <f t="shared" si="8"/>
        <v>0</v>
      </c>
      <c r="G77" s="1724">
        <f t="shared" si="8"/>
        <v>0</v>
      </c>
      <c r="H77" s="1724">
        <f t="shared" si="8"/>
        <v>0</v>
      </c>
      <c r="I77" s="1724">
        <f t="shared" si="8"/>
        <v>-8290</v>
      </c>
      <c r="J77" s="1724">
        <f t="shared" si="8"/>
        <v>0</v>
      </c>
      <c r="K77" s="1724">
        <f t="shared" si="8"/>
        <v>866210</v>
      </c>
      <c r="L77" s="347"/>
    </row>
    <row r="78" spans="1:12" ht="21.75" customHeight="1" thickTop="1" thickBot="1" x14ac:dyDescent="0.25">
      <c r="A78" s="2138" t="s">
        <v>618</v>
      </c>
      <c r="B78" s="2139"/>
      <c r="C78" s="1723">
        <f t="shared" ref="C78:K78" si="9">C20+C77</f>
        <v>-124361</v>
      </c>
      <c r="D78" s="1723">
        <f t="shared" si="9"/>
        <v>41516</v>
      </c>
      <c r="E78" s="1723">
        <f t="shared" si="9"/>
        <v>-6556</v>
      </c>
      <c r="F78" s="1723">
        <f t="shared" si="9"/>
        <v>56494</v>
      </c>
      <c r="G78" s="1723">
        <f t="shared" si="9"/>
        <v>37279</v>
      </c>
      <c r="H78" s="1723">
        <f t="shared" si="9"/>
        <v>279</v>
      </c>
      <c r="I78" s="1723">
        <f t="shared" si="9"/>
        <v>32617</v>
      </c>
      <c r="J78" s="1723">
        <f t="shared" si="9"/>
        <v>-617</v>
      </c>
      <c r="K78" s="1723">
        <f t="shared" si="9"/>
        <v>794129</v>
      </c>
      <c r="L78" s="533"/>
    </row>
    <row r="79" spans="1:12" ht="13.5" thickTop="1" x14ac:dyDescent="0.2">
      <c r="A79" s="1516" t="s">
        <v>2073</v>
      </c>
      <c r="B79" s="534"/>
      <c r="C79" s="478">
        <v>3497395</v>
      </c>
      <c r="D79" s="535">
        <v>715274</v>
      </c>
      <c r="E79" s="535">
        <v>89385</v>
      </c>
      <c r="F79" s="535">
        <v>405189</v>
      </c>
      <c r="G79" s="535">
        <v>103567</v>
      </c>
      <c r="H79" s="535">
        <v>14133</v>
      </c>
      <c r="I79" s="535">
        <v>862389</v>
      </c>
      <c r="J79" s="535">
        <v>121589</v>
      </c>
      <c r="K79" s="535">
        <v>-288003</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09">
        <f>(SUM(C78:C80))</f>
        <v>3373034</v>
      </c>
      <c r="D81" s="1709">
        <f>SUM(D78:D80)</f>
        <v>756790</v>
      </c>
      <c r="E81" s="1709">
        <f t="shared" ref="E81:K81" si="10">SUM(E78:E80)</f>
        <v>82829</v>
      </c>
      <c r="F81" s="1709">
        <f t="shared" si="10"/>
        <v>461683</v>
      </c>
      <c r="G81" s="1709">
        <f t="shared" si="10"/>
        <v>140846</v>
      </c>
      <c r="H81" s="1709">
        <f t="shared" si="10"/>
        <v>14412</v>
      </c>
      <c r="I81" s="1709">
        <f t="shared" si="10"/>
        <v>895006</v>
      </c>
      <c r="J81" s="1709">
        <f t="shared" si="10"/>
        <v>120972</v>
      </c>
      <c r="K81" s="1709">
        <f t="shared" si="10"/>
        <v>506126</v>
      </c>
      <c r="L81" s="347"/>
    </row>
    <row r="82" spans="1:12" ht="0.75" customHeight="1" thickTop="1" thickBot="1" x14ac:dyDescent="0.25">
      <c r="A82" s="536" t="s">
        <v>361</v>
      </c>
      <c r="B82" s="537"/>
      <c r="C82" s="538">
        <f>(C81-C79)</f>
        <v>-124361</v>
      </c>
      <c r="D82" s="538">
        <f t="shared" ref="D82:K82" si="11">(D81-D79)</f>
        <v>41516</v>
      </c>
      <c r="E82" s="538">
        <f t="shared" si="11"/>
        <v>-6556</v>
      </c>
      <c r="F82" s="538">
        <f t="shared" si="11"/>
        <v>56494</v>
      </c>
      <c r="G82" s="538">
        <f t="shared" si="11"/>
        <v>37279</v>
      </c>
      <c r="H82" s="538">
        <f t="shared" si="11"/>
        <v>279</v>
      </c>
      <c r="I82" s="538">
        <f t="shared" si="11"/>
        <v>32617</v>
      </c>
      <c r="J82" s="538">
        <f t="shared" si="11"/>
        <v>-617</v>
      </c>
      <c r="K82" s="538">
        <f t="shared" si="11"/>
        <v>794129</v>
      </c>
    </row>
    <row r="83" spans="1:12" ht="14.25" hidden="1" thickTop="1" thickBot="1" x14ac:dyDescent="0.25">
      <c r="A83" s="539" t="s">
        <v>362</v>
      </c>
      <c r="B83" s="464"/>
      <c r="C83" s="540">
        <f>C82/C81</f>
        <v>-3.6869180684214867E-2</v>
      </c>
      <c r="D83" s="540">
        <f t="shared" ref="D83:K83" si="12">D82/D81</f>
        <v>5.4858018737034053E-2</v>
      </c>
      <c r="E83" s="540">
        <f t="shared" si="12"/>
        <v>-7.9151021985053541E-2</v>
      </c>
      <c r="F83" s="540">
        <f t="shared" si="12"/>
        <v>0.12236534591916964</v>
      </c>
      <c r="G83" s="540">
        <f t="shared" si="12"/>
        <v>0.26467915311758944</v>
      </c>
      <c r="H83" s="540">
        <f t="shared" si="12"/>
        <v>1.935886761032473E-2</v>
      </c>
      <c r="I83" s="540">
        <f t="shared" si="12"/>
        <v>3.644333110616018E-2</v>
      </c>
      <c r="J83" s="540">
        <f t="shared" si="12"/>
        <v>-5.1003538008795425E-3</v>
      </c>
      <c r="K83" s="540">
        <f t="shared" si="12"/>
        <v>1.5690341930665486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notes to the financial statments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D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1370606</v>
      </c>
      <c r="D5" s="481">
        <v>372415</v>
      </c>
      <c r="E5" s="466">
        <v>192145</v>
      </c>
      <c r="F5" s="548">
        <v>148966</v>
      </c>
      <c r="G5" s="466">
        <v>97064</v>
      </c>
      <c r="H5" s="466"/>
      <c r="I5" s="466">
        <v>37241</v>
      </c>
      <c r="J5" s="467">
        <v>513821</v>
      </c>
      <c r="K5" s="466">
        <v>37241</v>
      </c>
    </row>
    <row r="6" spans="1:12" ht="15" x14ac:dyDescent="0.2">
      <c r="A6" s="463" t="s">
        <v>1761</v>
      </c>
      <c r="B6" s="470">
        <v>1130</v>
      </c>
      <c r="C6" s="466">
        <v>37241</v>
      </c>
      <c r="D6" s="466"/>
      <c r="E6" s="475"/>
      <c r="F6" s="475"/>
      <c r="G6" s="468"/>
      <c r="H6" s="468"/>
      <c r="I6" s="468"/>
      <c r="J6" s="468"/>
      <c r="K6" s="468"/>
    </row>
    <row r="7" spans="1:12" x14ac:dyDescent="0.2">
      <c r="A7" s="463" t="s">
        <v>112</v>
      </c>
      <c r="B7" s="549">
        <v>1140</v>
      </c>
      <c r="C7" s="466">
        <v>29793</v>
      </c>
      <c r="D7" s="466"/>
      <c r="E7" s="468"/>
      <c r="F7" s="467"/>
      <c r="G7" s="467"/>
      <c r="H7" s="467"/>
      <c r="I7" s="468"/>
      <c r="J7" s="468"/>
      <c r="K7" s="468"/>
    </row>
    <row r="8" spans="1:12" x14ac:dyDescent="0.2">
      <c r="A8" s="463" t="s">
        <v>433</v>
      </c>
      <c r="B8" s="470">
        <v>1150</v>
      </c>
      <c r="C8" s="475"/>
      <c r="D8" s="475"/>
      <c r="E8" s="477"/>
      <c r="F8" s="477"/>
      <c r="G8" s="481">
        <v>131988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1437640</v>
      </c>
      <c r="D12" s="1728">
        <f t="shared" si="0"/>
        <v>372415</v>
      </c>
      <c r="E12" s="1728">
        <f t="shared" si="0"/>
        <v>192145</v>
      </c>
      <c r="F12" s="1728">
        <f t="shared" si="0"/>
        <v>148966</v>
      </c>
      <c r="G12" s="1728">
        <f t="shared" si="0"/>
        <v>229052</v>
      </c>
      <c r="H12" s="1728">
        <f t="shared" si="0"/>
        <v>0</v>
      </c>
      <c r="I12" s="1728">
        <f t="shared" si="0"/>
        <v>37241</v>
      </c>
      <c r="J12" s="1728">
        <f t="shared" si="0"/>
        <v>513821</v>
      </c>
      <c r="K12" s="1709">
        <f t="shared" si="0"/>
        <v>37241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1608351</v>
      </c>
      <c r="D16" s="466">
        <v>141000</v>
      </c>
      <c r="E16" s="466"/>
      <c r="F16" s="466"/>
      <c r="G16" s="466">
        <v>57000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1608351</v>
      </c>
      <c r="D18" s="1731">
        <f t="shared" ref="D18:K18" si="1">SUM(D14:D17)</f>
        <v>141000</v>
      </c>
      <c r="E18" s="1731">
        <f t="shared" si="1"/>
        <v>0</v>
      </c>
      <c r="F18" s="1731">
        <f t="shared" si="1"/>
        <v>0</v>
      </c>
      <c r="G18" s="1731">
        <f t="shared" si="1"/>
        <v>57000</v>
      </c>
      <c r="H18" s="1731">
        <f t="shared" si="1"/>
        <v>0</v>
      </c>
      <c r="I18" s="1731">
        <f t="shared" si="1"/>
        <v>0</v>
      </c>
      <c r="J18" s="1731">
        <f t="shared" si="1"/>
        <v>0</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660</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660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17356</v>
      </c>
      <c r="D65" s="466">
        <v>82</v>
      </c>
      <c r="E65" s="466">
        <v>212</v>
      </c>
      <c r="F65" s="467">
        <v>33</v>
      </c>
      <c r="G65" s="466">
        <v>51</v>
      </c>
      <c r="H65" s="466"/>
      <c r="I65" s="466">
        <v>3666</v>
      </c>
      <c r="J65" s="467">
        <v>123</v>
      </c>
      <c r="K65" s="466">
        <v>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17356</v>
      </c>
      <c r="D67" s="1709">
        <f t="shared" ref="D67:K67" si="2">SUM(D65:D66)</f>
        <v>82</v>
      </c>
      <c r="E67" s="1709">
        <f t="shared" si="2"/>
        <v>212</v>
      </c>
      <c r="F67" s="1709">
        <f t="shared" si="2"/>
        <v>33</v>
      </c>
      <c r="G67" s="1709">
        <f t="shared" si="2"/>
        <v>51</v>
      </c>
      <c r="H67" s="1709">
        <f t="shared" si="2"/>
        <v>0</v>
      </c>
      <c r="I67" s="1709">
        <f t="shared" si="2"/>
        <v>3666</v>
      </c>
      <c r="J67" s="1709">
        <f t="shared" si="2"/>
        <v>123</v>
      </c>
      <c r="K67" s="1709">
        <f t="shared" si="2"/>
        <v>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55718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659</v>
      </c>
      <c r="D71" s="468"/>
      <c r="E71" s="468"/>
      <c r="F71" s="468"/>
      <c r="G71" s="468"/>
      <c r="H71" s="468"/>
      <c r="I71" s="468"/>
      <c r="J71" s="468"/>
      <c r="K71" s="468"/>
    </row>
    <row r="72" spans="1:11" ht="12.75" customHeight="1" x14ac:dyDescent="0.2">
      <c r="A72" s="463" t="s">
        <v>24</v>
      </c>
      <c r="B72" s="470">
        <v>1614</v>
      </c>
      <c r="C72" s="551">
        <v>2825</v>
      </c>
      <c r="D72" s="468"/>
      <c r="E72" s="468"/>
      <c r="F72" s="468"/>
      <c r="G72" s="468"/>
      <c r="H72" s="468"/>
      <c r="I72" s="468"/>
      <c r="J72" s="468"/>
      <c r="K72" s="468"/>
    </row>
    <row r="73" spans="1:11" ht="12.75" customHeight="1" x14ac:dyDescent="0.2">
      <c r="A73" s="463" t="s">
        <v>1055</v>
      </c>
      <c r="B73" s="470">
        <v>1620</v>
      </c>
      <c r="C73" s="551">
        <v>3273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62475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19912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15856</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2122</v>
      </c>
      <c r="D81" s="466"/>
      <c r="E81" s="468"/>
      <c r="F81" s="468"/>
      <c r="G81" s="468"/>
      <c r="H81" s="468"/>
      <c r="I81" s="468"/>
      <c r="J81" s="468"/>
      <c r="K81" s="468"/>
    </row>
    <row r="82" spans="1:11" ht="12.75" customHeight="1" thickBot="1" x14ac:dyDescent="0.25">
      <c r="A82" s="1729" t="s">
        <v>259</v>
      </c>
      <c r="B82" s="1730"/>
      <c r="C82" s="1728">
        <f>SUM(C77:C81)</f>
        <v>37890</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54457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54457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1170</v>
      </c>
      <c r="E95" s="521"/>
      <c r="F95" s="521"/>
      <c r="G95" s="521"/>
      <c r="H95" s="521"/>
      <c r="I95" s="521"/>
      <c r="J95" s="521"/>
      <c r="K95" s="521"/>
    </row>
    <row r="96" spans="1:11" ht="12.75" customHeight="1" x14ac:dyDescent="0.2">
      <c r="A96" s="463" t="s">
        <v>409</v>
      </c>
      <c r="B96" s="470">
        <v>1920</v>
      </c>
      <c r="C96" s="551">
        <v>590</v>
      </c>
      <c r="D96" s="551">
        <v>4000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2850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10273</v>
      </c>
      <c r="I103" s="468"/>
      <c r="J103" s="510"/>
      <c r="K103" s="510"/>
    </row>
    <row r="104" spans="1:12" ht="12.75" customHeight="1" x14ac:dyDescent="0.2">
      <c r="A104" s="463" t="s">
        <v>885</v>
      </c>
      <c r="B104" s="470">
        <v>1991</v>
      </c>
      <c r="C104" s="489">
        <v>13442</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11663</v>
      </c>
      <c r="D106" s="489"/>
      <c r="E106" s="467"/>
      <c r="F106" s="467">
        <v>308</v>
      </c>
      <c r="G106" s="467"/>
      <c r="H106" s="467"/>
      <c r="I106" s="521"/>
      <c r="J106" s="467"/>
      <c r="K106" s="467"/>
    </row>
    <row r="107" spans="1:12" ht="12.75" customHeight="1" x14ac:dyDescent="0.2">
      <c r="A107" s="463" t="s">
        <v>80</v>
      </c>
      <c r="B107" s="470">
        <v>1999</v>
      </c>
      <c r="C107" s="551">
        <v>1543</v>
      </c>
      <c r="D107" s="466">
        <v>372</v>
      </c>
      <c r="E107" s="466"/>
      <c r="F107" s="466">
        <v>73</v>
      </c>
      <c r="G107" s="466"/>
      <c r="H107" s="466"/>
      <c r="I107" s="466"/>
      <c r="J107" s="467">
        <v>17810</v>
      </c>
      <c r="K107" s="466"/>
    </row>
    <row r="108" spans="1:12" ht="12.75" customHeight="1" thickBot="1" x14ac:dyDescent="0.25">
      <c r="A108" s="1729" t="s">
        <v>508</v>
      </c>
      <c r="B108" s="1733"/>
      <c r="C108" s="1728">
        <f>SUM(C95:C107)</f>
        <v>30088</v>
      </c>
      <c r="D108" s="1728">
        <f t="shared" ref="D108:K108" si="3">SUM(D95:D107)</f>
        <v>5542</v>
      </c>
      <c r="E108" s="1728">
        <f t="shared" si="3"/>
        <v>0</v>
      </c>
      <c r="F108" s="1728">
        <f t="shared" si="3"/>
        <v>381</v>
      </c>
      <c r="G108" s="1728">
        <f t="shared" si="3"/>
        <v>0</v>
      </c>
      <c r="H108" s="1728">
        <f t="shared" si="3"/>
        <v>10273</v>
      </c>
      <c r="I108" s="1728">
        <f t="shared" si="3"/>
        <v>0</v>
      </c>
      <c r="J108" s="1728">
        <f t="shared" si="3"/>
        <v>17810</v>
      </c>
      <c r="K108" s="1709">
        <f t="shared" si="3"/>
        <v>0</v>
      </c>
    </row>
    <row r="109" spans="1:12" ht="14.25" thickTop="1" thickBot="1" x14ac:dyDescent="0.25">
      <c r="A109" s="1734" t="s">
        <v>266</v>
      </c>
      <c r="B109" s="1735" t="s">
        <v>591</v>
      </c>
      <c r="C109" s="1736">
        <f t="shared" ref="C109:K109" si="4">SUM(C12,C18,C40,C63,C67,C75,C82,C93,C108,)</f>
        <v>3248917</v>
      </c>
      <c r="D109" s="1736">
        <f t="shared" si="4"/>
        <v>519039</v>
      </c>
      <c r="E109" s="1736">
        <f t="shared" si="4"/>
        <v>192357</v>
      </c>
      <c r="F109" s="1736">
        <f t="shared" si="4"/>
        <v>149380</v>
      </c>
      <c r="G109" s="1736">
        <f t="shared" si="4"/>
        <v>286103</v>
      </c>
      <c r="H109" s="1736">
        <f t="shared" si="4"/>
        <v>10273</v>
      </c>
      <c r="I109" s="1736">
        <f t="shared" si="4"/>
        <v>40907</v>
      </c>
      <c r="J109" s="1736">
        <f t="shared" si="4"/>
        <v>531754</v>
      </c>
      <c r="K109" s="1723">
        <f t="shared" si="4"/>
        <v>37250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12577</v>
      </c>
      <c r="D111" s="481"/>
      <c r="E111" s="561"/>
      <c r="F111" s="481"/>
      <c r="G111" s="481"/>
      <c r="H111" s="561"/>
      <c r="I111" s="468"/>
      <c r="J111" s="468"/>
      <c r="K111" s="468"/>
    </row>
    <row r="112" spans="1:12" ht="12.75" customHeight="1" x14ac:dyDescent="0.2">
      <c r="A112" s="463" t="s">
        <v>878</v>
      </c>
      <c r="B112" s="470">
        <v>2200</v>
      </c>
      <c r="C112" s="551">
        <v>114973</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127550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454143</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454143</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39378</v>
      </c>
      <c r="D125" s="561"/>
      <c r="E125" s="468"/>
      <c r="F125" s="466"/>
      <c r="G125" s="468"/>
      <c r="H125" s="468"/>
      <c r="I125" s="468"/>
      <c r="J125" s="468"/>
      <c r="K125" s="468"/>
    </row>
    <row r="126" spans="1:11" ht="12.75" customHeight="1" x14ac:dyDescent="0.2">
      <c r="A126" s="463" t="s">
        <v>922</v>
      </c>
      <c r="B126" s="562">
        <v>3110</v>
      </c>
      <c r="C126" s="551">
        <v>14917</v>
      </c>
      <c r="D126" s="466"/>
      <c r="E126" s="468"/>
      <c r="F126" s="466"/>
      <c r="G126" s="468"/>
      <c r="H126" s="468"/>
      <c r="I126" s="468"/>
      <c r="J126" s="468"/>
      <c r="K126" s="468"/>
    </row>
    <row r="127" spans="1:11" ht="12.75" customHeight="1" x14ac:dyDescent="0.2">
      <c r="A127" s="463" t="s">
        <v>107</v>
      </c>
      <c r="B127" s="562">
        <v>3120</v>
      </c>
      <c r="C127" s="466">
        <v>75807</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307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130409</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2740</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2740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1444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7211</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6942</v>
      </c>
      <c r="G151" s="467"/>
      <c r="H151" s="468"/>
      <c r="I151" s="468"/>
      <c r="J151" s="468"/>
      <c r="K151" s="468"/>
    </row>
    <row r="152" spans="1:11" ht="12.75" customHeight="1" x14ac:dyDescent="0.2">
      <c r="A152" s="463" t="s">
        <v>1117</v>
      </c>
      <c r="B152" s="562">
        <v>3510</v>
      </c>
      <c r="C152" s="551"/>
      <c r="D152" s="466"/>
      <c r="E152" s="561"/>
      <c r="F152" s="466">
        <v>21008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27950</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210056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0" t="s">
        <v>418</v>
      </c>
      <c r="B172" s="2161"/>
      <c r="C172" s="1743">
        <f t="shared" ref="C172:K172" si="6">SUM(C131,C140,C144,C145:C149,C154,C155:C170,C171)</f>
        <v>353360</v>
      </c>
      <c r="D172" s="1743">
        <f t="shared" si="6"/>
        <v>0</v>
      </c>
      <c r="E172" s="1743">
        <f t="shared" si="6"/>
        <v>0</v>
      </c>
      <c r="F172" s="1743">
        <f t="shared" si="6"/>
        <v>27950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807503</v>
      </c>
      <c r="D173" s="1736">
        <f>SUM(D121,D172)</f>
        <v>0</v>
      </c>
      <c r="E173" s="1736">
        <f>SUM(E121,E172)</f>
        <v>0</v>
      </c>
      <c r="F173" s="1736">
        <f t="shared" ref="F173:K173" si="7">SUM(F121,F172)</f>
        <v>27950</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84351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21870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v>3069</v>
      </c>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109290</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123598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123598</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2000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2000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3209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3209</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15766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16046</v>
      </c>
      <c r="D270" s="576"/>
      <c r="E270" s="468"/>
      <c r="F270" s="576"/>
      <c r="G270" s="576"/>
      <c r="H270" s="468"/>
      <c r="I270" s="468"/>
      <c r="J270" s="468"/>
      <c r="K270" s="468"/>
    </row>
    <row r="271" spans="1:11" ht="12.75" customHeight="1" thickTop="1" thickBot="1" x14ac:dyDescent="0.25">
      <c r="A271" s="463" t="s">
        <v>395</v>
      </c>
      <c r="B271" s="470">
        <v>4992</v>
      </c>
      <c r="C271" s="575">
        <v>16479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286388</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286388</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4470358</v>
      </c>
      <c r="D275" s="1736">
        <f t="shared" si="12"/>
        <v>519039</v>
      </c>
      <c r="E275" s="1736">
        <f t="shared" si="12"/>
        <v>192357</v>
      </c>
      <c r="F275" s="1736">
        <f t="shared" si="12"/>
        <v>177330</v>
      </c>
      <c r="G275" s="1736">
        <f t="shared" si="12"/>
        <v>286103</v>
      </c>
      <c r="H275" s="1736">
        <f t="shared" si="12"/>
        <v>10273</v>
      </c>
      <c r="I275" s="1736">
        <f t="shared" si="12"/>
        <v>40907</v>
      </c>
      <c r="J275" s="1736">
        <f t="shared" si="12"/>
        <v>531754</v>
      </c>
      <c r="K275" s="1723">
        <f t="shared" si="12"/>
        <v>37250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notes to the financial statments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sqref="A1:D1"/>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2024358</v>
      </c>
      <c r="D5" s="466">
        <v>234089</v>
      </c>
      <c r="E5" s="466">
        <v>5722</v>
      </c>
      <c r="F5" s="466">
        <v>50926</v>
      </c>
      <c r="G5" s="466"/>
      <c r="H5" s="466">
        <v>365</v>
      </c>
      <c r="I5" s="467"/>
      <c r="J5" s="467"/>
      <c r="K5" s="1692">
        <f>SUM(C5:J5)</f>
        <v>2315460</v>
      </c>
      <c r="L5" s="466">
        <v>2325684</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v>127156</v>
      </c>
      <c r="D7" s="467">
        <v>12734</v>
      </c>
      <c r="E7" s="467">
        <v>2344</v>
      </c>
      <c r="F7" s="467">
        <v>5089</v>
      </c>
      <c r="G7" s="467">
        <v>1240</v>
      </c>
      <c r="H7" s="467"/>
      <c r="I7" s="467"/>
      <c r="J7" s="467"/>
      <c r="K7" s="1692">
        <f t="shared" ref="K7:K32" si="0">SUM(C7:J7)</f>
        <v>148563</v>
      </c>
      <c r="L7" s="466">
        <v>114377</v>
      </c>
    </row>
    <row r="8" spans="1:14" x14ac:dyDescent="0.2">
      <c r="A8" s="1526" t="s">
        <v>166</v>
      </c>
      <c r="B8" s="615">
        <v>1200</v>
      </c>
      <c r="C8" s="466">
        <v>164290</v>
      </c>
      <c r="D8" s="466">
        <v>34259</v>
      </c>
      <c r="E8" s="466"/>
      <c r="F8" s="466"/>
      <c r="G8" s="466"/>
      <c r="H8" s="466"/>
      <c r="I8" s="467"/>
      <c r="J8" s="467"/>
      <c r="K8" s="1692">
        <f t="shared" si="0"/>
        <v>198549</v>
      </c>
      <c r="L8" s="466">
        <v>146661</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11010</v>
      </c>
      <c r="D10" s="466">
        <v>924</v>
      </c>
      <c r="E10" s="466">
        <v>3198</v>
      </c>
      <c r="F10" s="466">
        <v>56264</v>
      </c>
      <c r="G10" s="466">
        <v>1100</v>
      </c>
      <c r="H10" s="466"/>
      <c r="I10" s="467"/>
      <c r="J10" s="467"/>
      <c r="K10" s="1692">
        <f t="shared" si="0"/>
        <v>72496</v>
      </c>
      <c r="L10" s="466">
        <v>74877</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v>213697</v>
      </c>
      <c r="D13" s="466">
        <v>28622</v>
      </c>
      <c r="E13" s="466">
        <v>1816</v>
      </c>
      <c r="F13" s="466">
        <v>17685</v>
      </c>
      <c r="G13" s="466">
        <v>1166</v>
      </c>
      <c r="H13" s="466"/>
      <c r="I13" s="467"/>
      <c r="J13" s="467"/>
      <c r="K13" s="1692">
        <f t="shared" si="0"/>
        <v>262986</v>
      </c>
      <c r="L13" s="466">
        <v>261604</v>
      </c>
    </row>
    <row r="14" spans="1:14" x14ac:dyDescent="0.2">
      <c r="A14" s="1526" t="s">
        <v>1020</v>
      </c>
      <c r="B14" s="615">
        <v>1500</v>
      </c>
      <c r="C14" s="466">
        <v>116114</v>
      </c>
      <c r="D14" s="466">
        <v>371</v>
      </c>
      <c r="E14" s="466">
        <v>25077</v>
      </c>
      <c r="F14" s="466">
        <v>18292</v>
      </c>
      <c r="G14" s="466">
        <v>15181</v>
      </c>
      <c r="H14" s="466">
        <v>1846</v>
      </c>
      <c r="I14" s="467"/>
      <c r="J14" s="467"/>
      <c r="K14" s="1692">
        <f t="shared" si="0"/>
        <v>176881</v>
      </c>
      <c r="L14" s="466">
        <v>180440</v>
      </c>
    </row>
    <row r="15" spans="1:14" x14ac:dyDescent="0.2">
      <c r="A15" s="1526" t="s">
        <v>1021</v>
      </c>
      <c r="B15" s="615">
        <v>1600</v>
      </c>
      <c r="C15" s="466">
        <v>5788</v>
      </c>
      <c r="D15" s="466">
        <v>47</v>
      </c>
      <c r="E15" s="466"/>
      <c r="F15" s="466"/>
      <c r="G15" s="466"/>
      <c r="H15" s="466"/>
      <c r="I15" s="467"/>
      <c r="J15" s="467"/>
      <c r="K15" s="1692">
        <f t="shared" si="0"/>
        <v>5835</v>
      </c>
      <c r="L15" s="466">
        <v>4359</v>
      </c>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2662413</v>
      </c>
      <c r="D33" s="1691">
        <f t="shared" ref="D33:L33" si="1">SUM(D5:D32)</f>
        <v>311046</v>
      </c>
      <c r="E33" s="1691">
        <f t="shared" si="1"/>
        <v>38157</v>
      </c>
      <c r="F33" s="1691">
        <f t="shared" si="1"/>
        <v>148256</v>
      </c>
      <c r="G33" s="1691">
        <f t="shared" si="1"/>
        <v>18687</v>
      </c>
      <c r="H33" s="1691">
        <f t="shared" si="1"/>
        <v>2211</v>
      </c>
      <c r="I33" s="1691">
        <f t="shared" si="1"/>
        <v>0</v>
      </c>
      <c r="J33" s="1691">
        <f t="shared" si="1"/>
        <v>0</v>
      </c>
      <c r="K33" s="1691">
        <f t="shared" si="1"/>
        <v>3180770</v>
      </c>
      <c r="L33" s="1691">
        <f t="shared" si="1"/>
        <v>3108002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v>43347</v>
      </c>
      <c r="D37" s="466">
        <v>7527</v>
      </c>
      <c r="E37" s="466"/>
      <c r="F37" s="466">
        <v>1000</v>
      </c>
      <c r="G37" s="466"/>
      <c r="H37" s="466"/>
      <c r="I37" s="467"/>
      <c r="J37" s="467"/>
      <c r="K37" s="1692">
        <f t="shared" si="2"/>
        <v>51874</v>
      </c>
      <c r="L37" s="466">
        <v>51125</v>
      </c>
    </row>
    <row r="38" spans="1:14" x14ac:dyDescent="0.2">
      <c r="A38" s="1526" t="s">
        <v>207</v>
      </c>
      <c r="B38" s="615">
        <v>2130</v>
      </c>
      <c r="C38" s="466">
        <v>21516</v>
      </c>
      <c r="D38" s="466">
        <v>9762</v>
      </c>
      <c r="E38" s="466"/>
      <c r="F38" s="466">
        <v>424</v>
      </c>
      <c r="G38" s="466"/>
      <c r="H38" s="466"/>
      <c r="I38" s="467"/>
      <c r="J38" s="467"/>
      <c r="K38" s="1692">
        <f t="shared" si="2"/>
        <v>31702</v>
      </c>
      <c r="L38" s="466">
        <v>17797</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c r="F40" s="466"/>
      <c r="G40" s="466"/>
      <c r="H40" s="466"/>
      <c r="I40" s="467"/>
      <c r="J40" s="467"/>
      <c r="K40" s="1692">
        <f t="shared" si="2"/>
        <v>0</v>
      </c>
      <c r="L40" s="466"/>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64863</v>
      </c>
      <c r="D42" s="1691">
        <f t="shared" ref="D42:L42" si="3">SUM(D36:D41)</f>
        <v>17289</v>
      </c>
      <c r="E42" s="1691">
        <f t="shared" si="3"/>
        <v>0</v>
      </c>
      <c r="F42" s="1691">
        <f t="shared" si="3"/>
        <v>1424</v>
      </c>
      <c r="G42" s="1691">
        <f t="shared" si="3"/>
        <v>0</v>
      </c>
      <c r="H42" s="1691">
        <f t="shared" si="3"/>
        <v>0</v>
      </c>
      <c r="I42" s="1691">
        <f t="shared" si="3"/>
        <v>0</v>
      </c>
      <c r="J42" s="1691">
        <f t="shared" si="3"/>
        <v>0</v>
      </c>
      <c r="K42" s="1691">
        <f t="shared" si="3"/>
        <v>83576</v>
      </c>
      <c r="L42" s="1691">
        <f t="shared" si="3"/>
        <v>68922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v>6171</v>
      </c>
      <c r="E44" s="481">
        <v>24104</v>
      </c>
      <c r="F44" s="481"/>
      <c r="G44" s="481"/>
      <c r="H44" s="481"/>
      <c r="I44" s="467"/>
      <c r="J44" s="467"/>
      <c r="K44" s="1693">
        <f>SUM(C44:J44)</f>
        <v>30275</v>
      </c>
      <c r="L44" s="481">
        <v>37246</v>
      </c>
    </row>
    <row r="45" spans="1:14" x14ac:dyDescent="0.2">
      <c r="A45" s="1526" t="s">
        <v>869</v>
      </c>
      <c r="B45" s="615">
        <v>2220</v>
      </c>
      <c r="C45" s="466">
        <v>43601</v>
      </c>
      <c r="D45" s="466">
        <v>10604</v>
      </c>
      <c r="E45" s="466">
        <v>341</v>
      </c>
      <c r="F45" s="466">
        <v>4308</v>
      </c>
      <c r="G45" s="466"/>
      <c r="H45" s="466"/>
      <c r="I45" s="467"/>
      <c r="J45" s="467"/>
      <c r="K45" s="1693">
        <f>SUM(C45:J45)</f>
        <v>58854</v>
      </c>
      <c r="L45" s="466">
        <v>59123</v>
      </c>
    </row>
    <row r="46" spans="1:14" x14ac:dyDescent="0.2">
      <c r="A46" s="1526" t="s">
        <v>870</v>
      </c>
      <c r="B46" s="615">
        <v>2230</v>
      </c>
      <c r="C46" s="466"/>
      <c r="D46" s="466"/>
      <c r="E46" s="466"/>
      <c r="F46" s="466">
        <v>650</v>
      </c>
      <c r="G46" s="466"/>
      <c r="H46" s="466"/>
      <c r="I46" s="467"/>
      <c r="J46" s="467"/>
      <c r="K46" s="1693">
        <f>SUM(C46:J46)</f>
        <v>650</v>
      </c>
      <c r="L46" s="466">
        <v>650</v>
      </c>
    </row>
    <row r="47" spans="1:14" ht="12.75" customHeight="1" thickBot="1" x14ac:dyDescent="0.25">
      <c r="A47" s="1689" t="s">
        <v>582</v>
      </c>
      <c r="B47" s="1690" t="s">
        <v>32</v>
      </c>
      <c r="C47" s="1691">
        <f>SUM(C44:C46)</f>
        <v>43601</v>
      </c>
      <c r="D47" s="1691">
        <f t="shared" ref="D47:K47" si="4">SUM(D44:D46)</f>
        <v>16775</v>
      </c>
      <c r="E47" s="1691">
        <f t="shared" si="4"/>
        <v>24445</v>
      </c>
      <c r="F47" s="1691">
        <f t="shared" si="4"/>
        <v>4958</v>
      </c>
      <c r="G47" s="1691">
        <f t="shared" si="4"/>
        <v>0</v>
      </c>
      <c r="H47" s="1691">
        <f t="shared" si="4"/>
        <v>0</v>
      </c>
      <c r="I47" s="1691">
        <f t="shared" si="4"/>
        <v>0</v>
      </c>
      <c r="J47" s="1691">
        <f t="shared" si="4"/>
        <v>0</v>
      </c>
      <c r="K47" s="1691">
        <f t="shared" si="4"/>
        <v>89779</v>
      </c>
      <c r="L47" s="1691">
        <f>SUM(L44:L46)</f>
        <v>97019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625</v>
      </c>
      <c r="D49" s="481"/>
      <c r="E49" s="481">
        <v>24131</v>
      </c>
      <c r="F49" s="481">
        <v>1953</v>
      </c>
      <c r="G49" s="481"/>
      <c r="H49" s="481">
        <v>10426</v>
      </c>
      <c r="I49" s="467"/>
      <c r="J49" s="467"/>
      <c r="K49" s="1693">
        <f>SUM(C49:J49)</f>
        <v>37135</v>
      </c>
      <c r="L49" s="481">
        <v>38507</v>
      </c>
    </row>
    <row r="50" spans="1:14" x14ac:dyDescent="0.2">
      <c r="A50" s="1526" t="s">
        <v>872</v>
      </c>
      <c r="B50" s="615">
        <v>2320</v>
      </c>
      <c r="C50" s="466">
        <v>123865</v>
      </c>
      <c r="D50" s="466">
        <v>11810</v>
      </c>
      <c r="E50" s="466"/>
      <c r="F50" s="466">
        <v>320</v>
      </c>
      <c r="G50" s="466"/>
      <c r="H50" s="466">
        <v>841</v>
      </c>
      <c r="I50" s="467"/>
      <c r="J50" s="467"/>
      <c r="K50" s="1693">
        <f>SUM(C50:J50)</f>
        <v>136836</v>
      </c>
      <c r="L50" s="466">
        <v>140364</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124490</v>
      </c>
      <c r="D53" s="1691">
        <f t="shared" ref="D53:L53" si="5">SUM(D49:D52)</f>
        <v>11810</v>
      </c>
      <c r="E53" s="1691">
        <f t="shared" si="5"/>
        <v>24131</v>
      </c>
      <c r="F53" s="1691">
        <f t="shared" si="5"/>
        <v>2273</v>
      </c>
      <c r="G53" s="1691">
        <f t="shared" si="5"/>
        <v>0</v>
      </c>
      <c r="H53" s="1691">
        <f t="shared" si="5"/>
        <v>11267</v>
      </c>
      <c r="I53" s="1691">
        <f t="shared" si="5"/>
        <v>0</v>
      </c>
      <c r="J53" s="1691">
        <f t="shared" si="5"/>
        <v>0</v>
      </c>
      <c r="K53" s="1691">
        <f t="shared" si="5"/>
        <v>173971</v>
      </c>
      <c r="L53" s="1691">
        <f t="shared" si="5"/>
        <v>178871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259539</v>
      </c>
      <c r="D55" s="481">
        <v>25321</v>
      </c>
      <c r="E55" s="481"/>
      <c r="F55" s="481">
        <v>4319</v>
      </c>
      <c r="G55" s="481"/>
      <c r="H55" s="481">
        <v>829</v>
      </c>
      <c r="I55" s="467"/>
      <c r="J55" s="467"/>
      <c r="K55" s="1693">
        <f>SUM(C55:J55)</f>
        <v>290008</v>
      </c>
      <c r="L55" s="481">
        <v>283143</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259539</v>
      </c>
      <c r="D57" s="1695">
        <f t="shared" ref="D57:K57" si="6">SUM(D55:D56)</f>
        <v>25321</v>
      </c>
      <c r="E57" s="1695">
        <f t="shared" si="6"/>
        <v>0</v>
      </c>
      <c r="F57" s="1695">
        <f t="shared" si="6"/>
        <v>4319</v>
      </c>
      <c r="G57" s="1695">
        <f t="shared" si="6"/>
        <v>0</v>
      </c>
      <c r="H57" s="1695">
        <f t="shared" si="6"/>
        <v>829</v>
      </c>
      <c r="I57" s="1695">
        <f t="shared" si="6"/>
        <v>0</v>
      </c>
      <c r="J57" s="1695">
        <f t="shared" si="6"/>
        <v>0</v>
      </c>
      <c r="K57" s="1695">
        <f t="shared" si="6"/>
        <v>290008</v>
      </c>
      <c r="L57" s="1691">
        <f>SUM(L55:L56)</f>
        <v>283143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483</v>
      </c>
      <c r="B60" s="615">
        <v>2520</v>
      </c>
      <c r="C60" s="466">
        <v>21150</v>
      </c>
      <c r="D60" s="466">
        <v>14</v>
      </c>
      <c r="E60" s="466"/>
      <c r="F60" s="466">
        <v>144</v>
      </c>
      <c r="G60" s="466"/>
      <c r="H60" s="466"/>
      <c r="I60" s="467"/>
      <c r="J60" s="467"/>
      <c r="K60" s="1693">
        <f t="shared" si="7"/>
        <v>21308</v>
      </c>
      <c r="L60" s="466">
        <v>21906</v>
      </c>
      <c r="M60" s="610"/>
      <c r="N60" s="610"/>
    </row>
    <row r="61" spans="1:14" s="343" customFormat="1" x14ac:dyDescent="0.2">
      <c r="A61" s="1526" t="s">
        <v>206</v>
      </c>
      <c r="B61" s="615">
        <v>2540</v>
      </c>
      <c r="C61" s="466"/>
      <c r="D61" s="466"/>
      <c r="E61" s="466"/>
      <c r="F61" s="466"/>
      <c r="G61" s="466">
        <v>11559</v>
      </c>
      <c r="H61" s="466"/>
      <c r="I61" s="467"/>
      <c r="J61" s="467"/>
      <c r="K61" s="1693">
        <f t="shared" si="7"/>
        <v>11559</v>
      </c>
      <c r="L61" s="466">
        <v>15115</v>
      </c>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88468</v>
      </c>
      <c r="D63" s="466">
        <v>6847</v>
      </c>
      <c r="E63" s="466">
        <v>3938</v>
      </c>
      <c r="F63" s="466">
        <v>83450</v>
      </c>
      <c r="G63" s="466">
        <v>1485</v>
      </c>
      <c r="H63" s="466"/>
      <c r="I63" s="467"/>
      <c r="J63" s="467"/>
      <c r="K63" s="1693">
        <f t="shared" si="7"/>
        <v>184188</v>
      </c>
      <c r="L63" s="466">
        <v>192168</v>
      </c>
    </row>
    <row r="64" spans="1:14" s="610" customFormat="1" x14ac:dyDescent="0.2">
      <c r="A64" s="1531" t="s">
        <v>103</v>
      </c>
      <c r="B64" s="631">
        <v>2570</v>
      </c>
      <c r="C64" s="481"/>
      <c r="D64" s="481"/>
      <c r="E64" s="481">
        <v>19128</v>
      </c>
      <c r="F64" s="481">
        <v>9361</v>
      </c>
      <c r="G64" s="481"/>
      <c r="H64" s="481"/>
      <c r="I64" s="467"/>
      <c r="J64" s="467"/>
      <c r="K64" s="1693">
        <f t="shared" si="7"/>
        <v>28489</v>
      </c>
      <c r="L64" s="481">
        <v>28880</v>
      </c>
    </row>
    <row r="65" spans="1:14" s="343" customFormat="1" ht="12.75" customHeight="1" thickBot="1" x14ac:dyDescent="0.25">
      <c r="A65" s="1689" t="s">
        <v>743</v>
      </c>
      <c r="B65" s="1690" t="s">
        <v>35</v>
      </c>
      <c r="C65" s="1691">
        <f>SUM(C59:C64)</f>
        <v>109618</v>
      </c>
      <c r="D65" s="1691">
        <f t="shared" ref="D65:L65" si="8">SUM(D59:D64)</f>
        <v>6861</v>
      </c>
      <c r="E65" s="1691">
        <f t="shared" si="8"/>
        <v>23066</v>
      </c>
      <c r="F65" s="1691">
        <f t="shared" si="8"/>
        <v>92955</v>
      </c>
      <c r="G65" s="1691">
        <f t="shared" si="8"/>
        <v>13044</v>
      </c>
      <c r="H65" s="1691">
        <f t="shared" si="8"/>
        <v>0</v>
      </c>
      <c r="I65" s="1691">
        <f t="shared" si="8"/>
        <v>0</v>
      </c>
      <c r="J65" s="1691">
        <f t="shared" si="8"/>
        <v>0</v>
      </c>
      <c r="K65" s="1691">
        <f t="shared" si="8"/>
        <v>245544</v>
      </c>
      <c r="L65" s="1691">
        <f t="shared" si="8"/>
        <v>258069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v>2081</v>
      </c>
      <c r="G69" s="466"/>
      <c r="H69" s="466"/>
      <c r="I69" s="467"/>
      <c r="J69" s="467"/>
      <c r="K69" s="1693">
        <f>SUM(C69:J69)</f>
        <v>2081</v>
      </c>
      <c r="L69" s="466">
        <v>3500</v>
      </c>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2081</v>
      </c>
      <c r="G72" s="1691">
        <f t="shared" si="9"/>
        <v>0</v>
      </c>
      <c r="H72" s="1691">
        <f t="shared" si="9"/>
        <v>0</v>
      </c>
      <c r="I72" s="1691">
        <f t="shared" si="9"/>
        <v>0</v>
      </c>
      <c r="J72" s="1691">
        <f t="shared" si="9"/>
        <v>0</v>
      </c>
      <c r="K72" s="1691">
        <f t="shared" si="9"/>
        <v>2081</v>
      </c>
      <c r="L72" s="1691">
        <f>SUM(L67:L71)</f>
        <v>3500</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602111</v>
      </c>
      <c r="D74" s="1698">
        <f t="shared" ref="D74:K74" si="10">SUM(D42,D47,D53,D57,D65,D72,D73)</f>
        <v>78056</v>
      </c>
      <c r="E74" s="1698">
        <f t="shared" si="10"/>
        <v>71642</v>
      </c>
      <c r="F74" s="1698">
        <f t="shared" si="10"/>
        <v>108010</v>
      </c>
      <c r="G74" s="1698">
        <f t="shared" si="10"/>
        <v>13044</v>
      </c>
      <c r="H74" s="1698">
        <f t="shared" si="10"/>
        <v>12096</v>
      </c>
      <c r="I74" s="1698">
        <f t="shared" si="10"/>
        <v>0</v>
      </c>
      <c r="J74" s="1698">
        <f t="shared" si="10"/>
        <v>0</v>
      </c>
      <c r="K74" s="1698">
        <f t="shared" si="10"/>
        <v>884959</v>
      </c>
      <c r="L74" s="1698">
        <f>SUM(L42,L47,L53,L57,L65,L72,L73)</f>
        <v>889524</v>
      </c>
    </row>
    <row r="75" spans="1:14" s="259" customFormat="1" ht="15.75" customHeight="1" thickTop="1" thickBot="1" x14ac:dyDescent="0.25">
      <c r="A75" s="1632" t="s">
        <v>49</v>
      </c>
      <c r="B75" s="1633" t="s">
        <v>596</v>
      </c>
      <c r="C75" s="573">
        <v>29512</v>
      </c>
      <c r="D75" s="573"/>
      <c r="E75" s="573"/>
      <c r="F75" s="573"/>
      <c r="G75" s="573"/>
      <c r="H75" s="573"/>
      <c r="I75" s="531"/>
      <c r="J75" s="531"/>
      <c r="K75" s="1691">
        <f>SUM(C75:J75)</f>
        <v>29512</v>
      </c>
      <c r="L75" s="576">
        <v>29890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c r="F79" s="617"/>
      <c r="G79" s="617"/>
      <c r="H79" s="466"/>
      <c r="I79" s="477"/>
      <c r="J79" s="477"/>
      <c r="K79" s="1692">
        <f t="shared" si="11"/>
        <v>0</v>
      </c>
      <c r="L79" s="466"/>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0</v>
      </c>
      <c r="F84" s="617"/>
      <c r="G84" s="617"/>
      <c r="H84" s="1691">
        <f>SUM(H78:H83)</f>
        <v>0</v>
      </c>
      <c r="I84" s="477"/>
      <c r="J84" s="477"/>
      <c r="K84" s="1691">
        <f>SUM(K78:K83)</f>
        <v>0</v>
      </c>
      <c r="L84" s="1691">
        <f>SUM(L78:L83)</f>
        <v>0</v>
      </c>
    </row>
    <row r="85" spans="1:12" ht="12.75" customHeight="1" thickTop="1" thickBot="1" x14ac:dyDescent="0.25">
      <c r="A85" s="1533" t="s">
        <v>273</v>
      </c>
      <c r="B85" s="636">
        <v>4210</v>
      </c>
      <c r="C85" s="617"/>
      <c r="D85" s="617"/>
      <c r="E85" s="637"/>
      <c r="F85" s="617"/>
      <c r="G85" s="617"/>
      <c r="H85" s="535">
        <v>764</v>
      </c>
      <c r="I85" s="477"/>
      <c r="J85" s="477"/>
      <c r="K85" s="1698">
        <f>H85</f>
        <v>764</v>
      </c>
      <c r="L85" s="530"/>
    </row>
    <row r="86" spans="1:12" ht="12.75" customHeight="1" thickTop="1" thickBot="1" x14ac:dyDescent="0.25">
      <c r="A86" s="1534" t="s">
        <v>723</v>
      </c>
      <c r="B86" s="638">
        <v>4220</v>
      </c>
      <c r="C86" s="617"/>
      <c r="D86" s="617"/>
      <c r="E86" s="639"/>
      <c r="F86" s="617"/>
      <c r="G86" s="617"/>
      <c r="H86" s="467">
        <v>507004</v>
      </c>
      <c r="I86" s="477"/>
      <c r="J86" s="477"/>
      <c r="K86" s="1698">
        <f t="shared" ref="K86:K98" si="12">H86</f>
        <v>507004</v>
      </c>
      <c r="L86" s="530">
        <v>662900</v>
      </c>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507768</v>
      </c>
      <c r="I92" s="477"/>
      <c r="J92" s="477"/>
      <c r="K92" s="1698">
        <f t="shared" si="12"/>
        <v>507768</v>
      </c>
      <c r="L92" s="1691">
        <f>SUM(L85:L91)</f>
        <v>662900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507768</v>
      </c>
      <c r="I102" s="477"/>
      <c r="J102" s="477"/>
      <c r="K102" s="1698">
        <f>SUM(K84,K92,K100,K101)</f>
        <v>507768</v>
      </c>
      <c r="L102" s="1698">
        <f>SUM(L84,L92,L100,L101)</f>
        <v>662900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3294036</v>
      </c>
      <c r="D114" s="1691">
        <f t="shared" ref="D114:K114" si="13">SUM(D33,D74,D75,D102,D112,D113)</f>
        <v>389102</v>
      </c>
      <c r="E114" s="1691">
        <f t="shared" si="13"/>
        <v>109799</v>
      </c>
      <c r="F114" s="1691">
        <f t="shared" si="13"/>
        <v>256266</v>
      </c>
      <c r="G114" s="1691">
        <f t="shared" si="13"/>
        <v>31731</v>
      </c>
      <c r="H114" s="1691">
        <f>SUM(H33,H74,H75,H102,H112,H113)</f>
        <v>522075</v>
      </c>
      <c r="I114" s="1691">
        <f t="shared" si="13"/>
        <v>0</v>
      </c>
      <c r="J114" s="1691">
        <f t="shared" si="13"/>
        <v>0</v>
      </c>
      <c r="K114" s="1691">
        <f t="shared" si="13"/>
        <v>4603009</v>
      </c>
      <c r="L114" s="1691">
        <f>SUM(L33,L74,L75,L102,L112,L113)</f>
        <v>4690316</v>
      </c>
    </row>
    <row r="115" spans="1:14" ht="13.5" thickTop="1" x14ac:dyDescent="0.2">
      <c r="A115" s="2172" t="s">
        <v>1053</v>
      </c>
      <c r="B115" s="2173"/>
      <c r="C115" s="619"/>
      <c r="D115" s="619"/>
      <c r="E115" s="619"/>
      <c r="F115" s="619"/>
      <c r="G115" s="619"/>
      <c r="H115" s="619"/>
      <c r="I115" s="619"/>
      <c r="J115" s="619"/>
      <c r="K115" s="1705">
        <f>'Revenues 9-14'!C275-'Expenditures 15-22'!K114</f>
        <v>-132651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v>204218</v>
      </c>
      <c r="D124" s="466">
        <v>31156</v>
      </c>
      <c r="E124" s="466">
        <v>60226</v>
      </c>
      <c r="F124" s="466">
        <v>170505</v>
      </c>
      <c r="G124" s="466">
        <v>11418</v>
      </c>
      <c r="H124" s="466"/>
      <c r="I124" s="467"/>
      <c r="J124" s="467"/>
      <c r="K124" s="1691">
        <f>SUM(C124:J124)</f>
        <v>477523</v>
      </c>
      <c r="L124" s="466">
        <v>509936</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204218</v>
      </c>
      <c r="D127" s="1691">
        <f t="shared" ref="D127:L127" si="14">SUM(D122:D126)</f>
        <v>31156</v>
      </c>
      <c r="E127" s="1691">
        <f t="shared" si="14"/>
        <v>60226</v>
      </c>
      <c r="F127" s="1691">
        <f t="shared" si="14"/>
        <v>170505</v>
      </c>
      <c r="G127" s="1691">
        <f t="shared" si="14"/>
        <v>11418</v>
      </c>
      <c r="H127" s="1691">
        <f t="shared" si="14"/>
        <v>0</v>
      </c>
      <c r="I127" s="1691">
        <f t="shared" si="14"/>
        <v>0</v>
      </c>
      <c r="J127" s="1691">
        <f t="shared" si="14"/>
        <v>0</v>
      </c>
      <c r="K127" s="1691">
        <f t="shared" si="14"/>
        <v>477523</v>
      </c>
      <c r="L127" s="1691">
        <f t="shared" si="14"/>
        <v>509936</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204218</v>
      </c>
      <c r="D129" s="1698">
        <f t="shared" ref="D129:L129" si="15">SUM(D120,D127,D128)</f>
        <v>31156</v>
      </c>
      <c r="E129" s="1698">
        <f t="shared" si="15"/>
        <v>60226</v>
      </c>
      <c r="F129" s="1698">
        <f t="shared" si="15"/>
        <v>170505</v>
      </c>
      <c r="G129" s="1698">
        <f t="shared" si="15"/>
        <v>11418</v>
      </c>
      <c r="H129" s="1698">
        <f t="shared" si="15"/>
        <v>0</v>
      </c>
      <c r="I129" s="1698">
        <f t="shared" si="15"/>
        <v>0</v>
      </c>
      <c r="J129" s="1698">
        <f t="shared" si="15"/>
        <v>0</v>
      </c>
      <c r="K129" s="1698">
        <f t="shared" si="15"/>
        <v>477523</v>
      </c>
      <c r="L129" s="1698">
        <f t="shared" si="15"/>
        <v>509936</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3"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69"/>
      <c r="C151" s="1691">
        <f>SUM(C129,C130,C139,C149,C150)</f>
        <v>204218</v>
      </c>
      <c r="D151" s="1691">
        <f t="shared" ref="D151:K151" si="16">SUM(D129,D130,D139,D149,D150)</f>
        <v>31156</v>
      </c>
      <c r="E151" s="1691">
        <f t="shared" si="16"/>
        <v>60226</v>
      </c>
      <c r="F151" s="1691">
        <f t="shared" si="16"/>
        <v>170505</v>
      </c>
      <c r="G151" s="1691">
        <f t="shared" si="16"/>
        <v>11418</v>
      </c>
      <c r="H151" s="1691">
        <f t="shared" si="16"/>
        <v>0</v>
      </c>
      <c r="I151" s="1691">
        <f t="shared" si="16"/>
        <v>0</v>
      </c>
      <c r="J151" s="1691">
        <f t="shared" si="16"/>
        <v>0</v>
      </c>
      <c r="K151" s="1691">
        <f t="shared" si="16"/>
        <v>477523</v>
      </c>
      <c r="L151" s="1691">
        <f>SUM(L129,L130,L139,L149,L150)</f>
        <v>509936</v>
      </c>
    </row>
    <row r="152" spans="1:14" ht="12.75" customHeight="1" thickTop="1" x14ac:dyDescent="0.2">
      <c r="A152" s="2192" t="s">
        <v>1240</v>
      </c>
      <c r="B152" s="2193"/>
      <c r="C152" s="619"/>
      <c r="D152" s="619"/>
      <c r="E152" s="619"/>
      <c r="F152" s="619"/>
      <c r="G152" s="619"/>
      <c r="H152" s="619"/>
      <c r="I152" s="619"/>
      <c r="J152" s="617"/>
      <c r="K152" s="1705">
        <f>'Revenues 9-14'!D275-'Expenditures 15-22'!K151</f>
        <v>41516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3413</v>
      </c>
      <c r="I169" s="617"/>
      <c r="J169" s="617"/>
      <c r="K169" s="1692">
        <f>SUM(C169:H169)</f>
        <v>3413</v>
      </c>
      <c r="L169" s="657">
        <v>3413</v>
      </c>
    </row>
    <row r="170" spans="1:14" ht="33.75" customHeight="1" x14ac:dyDescent="0.2">
      <c r="A170" s="670" t="s">
        <v>1769</v>
      </c>
      <c r="B170" s="672" t="s">
        <v>31</v>
      </c>
      <c r="C170" s="617"/>
      <c r="D170" s="617"/>
      <c r="E170" s="617"/>
      <c r="F170" s="617"/>
      <c r="G170" s="617"/>
      <c r="H170" s="569">
        <v>195000</v>
      </c>
      <c r="I170" s="617"/>
      <c r="J170" s="617"/>
      <c r="K170" s="1692">
        <f>SUM(C170:J170)</f>
        <v>195000</v>
      </c>
      <c r="L170" s="569">
        <v>195000</v>
      </c>
    </row>
    <row r="171" spans="1:14" ht="15.75" customHeight="1" x14ac:dyDescent="0.2">
      <c r="A171" s="622" t="s">
        <v>790</v>
      </c>
      <c r="B171" s="673" t="s">
        <v>86</v>
      </c>
      <c r="C171" s="617"/>
      <c r="D171" s="617"/>
      <c r="E171" s="466"/>
      <c r="F171" s="617"/>
      <c r="G171" s="617"/>
      <c r="H171" s="569">
        <v>500</v>
      </c>
      <c r="I171" s="477"/>
      <c r="J171" s="617"/>
      <c r="K171" s="1692">
        <f>SUM(C171:J171)</f>
        <v>500</v>
      </c>
      <c r="L171" s="569">
        <v>500</v>
      </c>
    </row>
    <row r="172" spans="1:14" ht="12.75" customHeight="1" thickBot="1" x14ac:dyDescent="0.25">
      <c r="A172" s="1689" t="s">
        <v>659</v>
      </c>
      <c r="B172" s="1690" t="s">
        <v>513</v>
      </c>
      <c r="C172" s="617"/>
      <c r="D172" s="617"/>
      <c r="E172" s="1698">
        <f>SUM(E168,E169,E170,E171)</f>
        <v>0</v>
      </c>
      <c r="F172" s="617"/>
      <c r="G172" s="617"/>
      <c r="H172" s="1698">
        <f>SUM(H168,H169,H170,H171)</f>
        <v>198913</v>
      </c>
      <c r="I172" s="639"/>
      <c r="J172" s="617"/>
      <c r="K172" s="1698">
        <f>SUM(K168,K169,K170,K171)</f>
        <v>198913</v>
      </c>
      <c r="L172" s="1698">
        <f>SUM(L168,L169,L170,L171)</f>
        <v>198913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198913</v>
      </c>
      <c r="I174" s="639"/>
      <c r="J174" s="617"/>
      <c r="K174" s="1698">
        <f>SUM(K160,K172,K173)</f>
        <v>198913</v>
      </c>
      <c r="L174" s="1698">
        <f>SUM(L160,L172,L173)</f>
        <v>198913</v>
      </c>
    </row>
    <row r="175" spans="1:14" ht="13.5" thickTop="1" x14ac:dyDescent="0.2">
      <c r="A175" s="2172" t="s">
        <v>1053</v>
      </c>
      <c r="B175" s="2173"/>
      <c r="C175" s="617"/>
      <c r="D175" s="617"/>
      <c r="E175" s="617"/>
      <c r="F175" s="617"/>
      <c r="G175" s="617"/>
      <c r="H175" s="619"/>
      <c r="I175" s="617"/>
      <c r="J175" s="617"/>
      <c r="K175" s="1705">
        <f>'Revenues 9-14'!E275-'Expenditures 15-22'!K174</f>
        <v>-6556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75336</v>
      </c>
      <c r="D182" s="466">
        <v>7819</v>
      </c>
      <c r="E182" s="466">
        <v>7191</v>
      </c>
      <c r="F182" s="466">
        <v>21191</v>
      </c>
      <c r="G182" s="466">
        <v>9299</v>
      </c>
      <c r="H182" s="466"/>
      <c r="I182" s="467"/>
      <c r="J182" s="467"/>
      <c r="K182" s="1692">
        <f>SUM(C182:J182)</f>
        <v>120836</v>
      </c>
      <c r="L182" s="466">
        <v>129789</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75336</v>
      </c>
      <c r="D184" s="1698">
        <f t="shared" ref="D184:J184" si="17">SUM(D180,D182,D183)</f>
        <v>7819</v>
      </c>
      <c r="E184" s="1698">
        <f t="shared" si="17"/>
        <v>7191</v>
      </c>
      <c r="F184" s="1698">
        <f t="shared" si="17"/>
        <v>21191</v>
      </c>
      <c r="G184" s="1698">
        <f t="shared" si="17"/>
        <v>9299</v>
      </c>
      <c r="H184" s="1698">
        <f t="shared" si="17"/>
        <v>0</v>
      </c>
      <c r="I184" s="1698">
        <f t="shared" si="17"/>
        <v>0</v>
      </c>
      <c r="J184" s="1698">
        <f t="shared" si="17"/>
        <v>0</v>
      </c>
      <c r="K184" s="1698">
        <f>SUM(K180,K182,K183)</f>
        <v>120836</v>
      </c>
      <c r="L184" s="1698">
        <f>SUM(L180, L182:L183)</f>
        <v>129789</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75336</v>
      </c>
      <c r="D210" s="1691">
        <f>SUM(D184,D185)</f>
        <v>7819</v>
      </c>
      <c r="E210" s="1691">
        <f>SUM(E184,E185,E196)</f>
        <v>7191</v>
      </c>
      <c r="F210" s="1691">
        <f>SUM(F184,F185)</f>
        <v>21191</v>
      </c>
      <c r="G210" s="1691">
        <f>SUM(G184,G185)</f>
        <v>9299</v>
      </c>
      <c r="H210" s="1691">
        <f>SUM(H184,H185,H196,H208,H209)</f>
        <v>0</v>
      </c>
      <c r="I210" s="1691">
        <f>SUM(I184,I185)</f>
        <v>0</v>
      </c>
      <c r="J210" s="1691">
        <f>SUM(J184,J185)</f>
        <v>0</v>
      </c>
      <c r="K210" s="1692">
        <f>SUM(K184,K185,K196,K208,K209)</f>
        <v>120836</v>
      </c>
      <c r="L210" s="1691">
        <f>SUM(L184,L185,L196,L208,L209)</f>
        <v>129789</v>
      </c>
    </row>
    <row r="211" spans="1:14" ht="13.5" thickTop="1" x14ac:dyDescent="0.2">
      <c r="A211" s="2172" t="s">
        <v>1053</v>
      </c>
      <c r="B211" s="2173"/>
      <c r="C211" s="619"/>
      <c r="D211" s="619"/>
      <c r="E211" s="619"/>
      <c r="F211" s="619"/>
      <c r="G211" s="619"/>
      <c r="H211" s="619"/>
      <c r="I211" s="617"/>
      <c r="J211" s="617"/>
      <c r="K211" s="1705">
        <f>'Revenues 9-14'!F275-'Expenditures 15-22'!K210</f>
        <v>56494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44174</v>
      </c>
      <c r="E215" s="617"/>
      <c r="F215" s="617"/>
      <c r="G215" s="617"/>
      <c r="H215" s="617"/>
      <c r="I215" s="617"/>
      <c r="J215" s="617"/>
      <c r="K215" s="1692">
        <f>D215</f>
        <v>44174</v>
      </c>
      <c r="L215" s="466">
        <v>83533</v>
      </c>
    </row>
    <row r="216" spans="1:14" x14ac:dyDescent="0.2">
      <c r="A216" s="1526" t="s">
        <v>165</v>
      </c>
      <c r="B216" s="615" t="s">
        <v>1024</v>
      </c>
      <c r="C216" s="617"/>
      <c r="D216" s="467">
        <v>9031</v>
      </c>
      <c r="E216" s="617"/>
      <c r="F216" s="617"/>
      <c r="G216" s="617"/>
      <c r="H216" s="617"/>
      <c r="I216" s="617"/>
      <c r="J216" s="617"/>
      <c r="K216" s="1692">
        <f t="shared" ref="K216:K228" si="19">D216</f>
        <v>9031</v>
      </c>
      <c r="L216" s="466">
        <v>7990</v>
      </c>
    </row>
    <row r="217" spans="1:14" x14ac:dyDescent="0.2">
      <c r="A217" s="1526" t="s">
        <v>166</v>
      </c>
      <c r="B217" s="615">
        <v>1200</v>
      </c>
      <c r="C217" s="617"/>
      <c r="D217" s="466">
        <v>37953</v>
      </c>
      <c r="E217" s="617"/>
      <c r="F217" s="617"/>
      <c r="G217" s="617"/>
      <c r="H217" s="617"/>
      <c r="I217" s="617"/>
      <c r="J217" s="617"/>
      <c r="K217" s="1692">
        <f t="shared" si="19"/>
        <v>37953</v>
      </c>
      <c r="L217" s="466"/>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c r="E219" s="617"/>
      <c r="F219" s="617"/>
      <c r="G219" s="617"/>
      <c r="H219" s="617"/>
      <c r="I219" s="617"/>
      <c r="J219" s="617"/>
      <c r="K219" s="1692">
        <f t="shared" si="19"/>
        <v>0</v>
      </c>
      <c r="L219" s="466">
        <v>3144</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v>16029</v>
      </c>
      <c r="E222" s="617"/>
      <c r="F222" s="617"/>
      <c r="G222" s="617"/>
      <c r="H222" s="617"/>
      <c r="I222" s="617"/>
      <c r="J222" s="617"/>
      <c r="K222" s="1692">
        <f t="shared" si="19"/>
        <v>16029</v>
      </c>
      <c r="L222" s="466">
        <v>14118</v>
      </c>
    </row>
    <row r="223" spans="1:14" x14ac:dyDescent="0.2">
      <c r="A223" s="1526" t="s">
        <v>1020</v>
      </c>
      <c r="B223" s="615">
        <v>1500</v>
      </c>
      <c r="C223" s="617"/>
      <c r="D223" s="466">
        <v>3985</v>
      </c>
      <c r="E223" s="617"/>
      <c r="F223" s="617"/>
      <c r="G223" s="617"/>
      <c r="H223" s="617"/>
      <c r="I223" s="617"/>
      <c r="J223" s="617"/>
      <c r="K223" s="1692">
        <f t="shared" si="19"/>
        <v>3985</v>
      </c>
      <c r="L223" s="466">
        <v>5069</v>
      </c>
    </row>
    <row r="224" spans="1:14" x14ac:dyDescent="0.2">
      <c r="A224" s="1526" t="s">
        <v>1021</v>
      </c>
      <c r="B224" s="615">
        <v>1600</v>
      </c>
      <c r="C224" s="617"/>
      <c r="D224" s="466">
        <v>460</v>
      </c>
      <c r="E224" s="617"/>
      <c r="F224" s="617"/>
      <c r="G224" s="617"/>
      <c r="H224" s="617"/>
      <c r="I224" s="617"/>
      <c r="J224" s="617"/>
      <c r="K224" s="1692">
        <f t="shared" si="19"/>
        <v>460</v>
      </c>
      <c r="L224" s="466">
        <v>108</v>
      </c>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111632</v>
      </c>
      <c r="E229" s="617"/>
      <c r="F229" s="617"/>
      <c r="G229" s="617"/>
      <c r="H229" s="617"/>
      <c r="I229" s="617"/>
      <c r="J229" s="617"/>
      <c r="K229" s="1691">
        <f>SUM(K215:K228)</f>
        <v>111632</v>
      </c>
      <c r="L229" s="1691">
        <f>SUM(L215:L228)</f>
        <v>113962</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v>721</v>
      </c>
      <c r="E233" s="617"/>
      <c r="F233" s="617"/>
      <c r="G233" s="617"/>
      <c r="H233" s="617"/>
      <c r="I233" s="617"/>
      <c r="J233" s="617"/>
      <c r="K233" s="1692">
        <f t="shared" si="20"/>
        <v>721</v>
      </c>
      <c r="L233" s="466">
        <v>705</v>
      </c>
    </row>
    <row r="234" spans="1:12" x14ac:dyDescent="0.2">
      <c r="A234" s="1526" t="s">
        <v>207</v>
      </c>
      <c r="B234" s="615">
        <v>2130</v>
      </c>
      <c r="C234" s="617"/>
      <c r="D234" s="466">
        <v>10144</v>
      </c>
      <c r="E234" s="617"/>
      <c r="F234" s="617"/>
      <c r="G234" s="617"/>
      <c r="H234" s="617"/>
      <c r="I234" s="617"/>
      <c r="J234" s="617"/>
      <c r="K234" s="1692">
        <f t="shared" si="20"/>
        <v>10144</v>
      </c>
      <c r="L234" s="466">
        <v>9370</v>
      </c>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10865</v>
      </c>
      <c r="E238" s="617"/>
      <c r="F238" s="617"/>
      <c r="G238" s="617"/>
      <c r="H238" s="617"/>
      <c r="I238" s="617"/>
      <c r="J238" s="617"/>
      <c r="K238" s="1691">
        <f>SUM(K232:K237)</f>
        <v>10865</v>
      </c>
      <c r="L238" s="1691">
        <f>SUM(L232:L237)</f>
        <v>10075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row>
    <row r="241" spans="1:12" x14ac:dyDescent="0.2">
      <c r="A241" s="1526" t="s">
        <v>869</v>
      </c>
      <c r="B241" s="615">
        <v>2220</v>
      </c>
      <c r="C241" s="617"/>
      <c r="D241" s="466">
        <v>4156</v>
      </c>
      <c r="E241" s="617"/>
      <c r="F241" s="617"/>
      <c r="G241" s="617"/>
      <c r="H241" s="617"/>
      <c r="I241" s="617"/>
      <c r="J241" s="617"/>
      <c r="K241" s="1693">
        <f>D241</f>
        <v>4156</v>
      </c>
      <c r="L241" s="466">
        <v>4043</v>
      </c>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4156</v>
      </c>
      <c r="E243" s="617"/>
      <c r="F243" s="617"/>
      <c r="G243" s="617"/>
      <c r="H243" s="617"/>
      <c r="I243" s="617"/>
      <c r="J243" s="617"/>
      <c r="K243" s="1691">
        <f>SUM(K240:K242)</f>
        <v>4156</v>
      </c>
      <c r="L243" s="1691">
        <f>SUM(L240:L242)</f>
        <v>4043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3">
        <f>D245</f>
        <v>0</v>
      </c>
      <c r="L245" s="481">
        <v>40</v>
      </c>
    </row>
    <row r="246" spans="1:12" x14ac:dyDescent="0.2">
      <c r="A246" s="1526" t="s">
        <v>872</v>
      </c>
      <c r="B246" s="615">
        <v>2320</v>
      </c>
      <c r="C246" s="617"/>
      <c r="D246" s="466">
        <v>7932</v>
      </c>
      <c r="E246" s="617"/>
      <c r="F246" s="617"/>
      <c r="G246" s="617"/>
      <c r="H246" s="617"/>
      <c r="I246" s="617"/>
      <c r="J246" s="617"/>
      <c r="K246" s="1693">
        <f t="shared" ref="K246:K256" si="21">D246</f>
        <v>7932</v>
      </c>
      <c r="L246" s="466">
        <v>8387</v>
      </c>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7932</v>
      </c>
      <c r="E257" s="617"/>
      <c r="F257" s="617"/>
      <c r="G257" s="617"/>
      <c r="H257" s="617"/>
      <c r="I257" s="617"/>
      <c r="J257" s="617"/>
      <c r="K257" s="1691">
        <f>SUM(K245:K256)</f>
        <v>7932</v>
      </c>
      <c r="L257" s="1691">
        <f>SUM(L245:L256)</f>
        <v>8427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31106</v>
      </c>
      <c r="E259" s="617"/>
      <c r="F259" s="617"/>
      <c r="G259" s="617"/>
      <c r="H259" s="617"/>
      <c r="I259" s="617"/>
      <c r="J259" s="617"/>
      <c r="K259" s="1693">
        <f>D259</f>
        <v>31106</v>
      </c>
      <c r="L259" s="481">
        <v>31297</v>
      </c>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31106</v>
      </c>
      <c r="E261" s="617"/>
      <c r="F261" s="617"/>
      <c r="G261" s="617"/>
      <c r="H261" s="617"/>
      <c r="I261" s="617"/>
      <c r="J261" s="617"/>
      <c r="K261" s="1691">
        <f>SUM(K259:K260)</f>
        <v>31106</v>
      </c>
      <c r="L261" s="1691">
        <f>SUM(L259:L260)</f>
        <v>31297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row>
    <row r="264" spans="1:14" x14ac:dyDescent="0.2">
      <c r="A264" s="1526" t="s">
        <v>483</v>
      </c>
      <c r="B264" s="686">
        <v>2520</v>
      </c>
      <c r="C264" s="617"/>
      <c r="D264" s="466">
        <v>1838</v>
      </c>
      <c r="E264" s="617"/>
      <c r="F264" s="617"/>
      <c r="G264" s="617"/>
      <c r="H264" s="617"/>
      <c r="I264" s="617"/>
      <c r="J264" s="617"/>
      <c r="K264" s="1693">
        <f t="shared" ref="K264:K269" si="22">D264</f>
        <v>1838</v>
      </c>
      <c r="L264" s="466">
        <v>4069</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50784</v>
      </c>
      <c r="E266" s="617"/>
      <c r="F266" s="617"/>
      <c r="G266" s="617"/>
      <c r="H266" s="617"/>
      <c r="I266" s="617"/>
      <c r="J266" s="617"/>
      <c r="K266" s="1693">
        <f t="shared" si="22"/>
        <v>50784</v>
      </c>
      <c r="L266" s="466">
        <v>47927</v>
      </c>
    </row>
    <row r="267" spans="1:14" x14ac:dyDescent="0.2">
      <c r="A267" s="1526" t="s">
        <v>1010</v>
      </c>
      <c r="B267" s="615">
        <v>2550</v>
      </c>
      <c r="C267" s="617"/>
      <c r="D267" s="466">
        <v>12624</v>
      </c>
      <c r="E267" s="617"/>
      <c r="F267" s="617"/>
      <c r="G267" s="617"/>
      <c r="H267" s="617"/>
      <c r="I267" s="617"/>
      <c r="J267" s="617"/>
      <c r="K267" s="1693">
        <f t="shared" si="22"/>
        <v>12624</v>
      </c>
      <c r="L267" s="466">
        <v>9263</v>
      </c>
    </row>
    <row r="268" spans="1:14" x14ac:dyDescent="0.2">
      <c r="A268" s="1526" t="s">
        <v>102</v>
      </c>
      <c r="B268" s="615">
        <v>2560</v>
      </c>
      <c r="C268" s="617"/>
      <c r="D268" s="466">
        <v>17887</v>
      </c>
      <c r="E268" s="617"/>
      <c r="F268" s="617"/>
      <c r="G268" s="617"/>
      <c r="H268" s="617"/>
      <c r="I268" s="617"/>
      <c r="J268" s="617"/>
      <c r="K268" s="1693">
        <f t="shared" si="22"/>
        <v>17887</v>
      </c>
      <c r="L268" s="466">
        <v>19150</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83133</v>
      </c>
      <c r="E270" s="617"/>
      <c r="F270" s="617"/>
      <c r="G270" s="617"/>
      <c r="H270" s="617"/>
      <c r="I270" s="617"/>
      <c r="J270" s="617"/>
      <c r="K270" s="1691">
        <f>SUM(K263:K269)</f>
        <v>83133</v>
      </c>
      <c r="L270" s="1691">
        <f>SUM(L263:L269)</f>
        <v>80409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137192</v>
      </c>
      <c r="E279" s="617"/>
      <c r="F279" s="617"/>
      <c r="G279" s="617"/>
      <c r="H279" s="617"/>
      <c r="I279" s="617"/>
      <c r="J279" s="617"/>
      <c r="K279" s="1698">
        <f>SUM(K238,K243,K257,K261,K270,K277,K278)</f>
        <v>137192</v>
      </c>
      <c r="L279" s="1698">
        <f>SUM(L238,L243,L257,L261,L270,L277,L278)</f>
        <v>134251</v>
      </c>
    </row>
    <row r="280" spans="1:12" ht="15.75" customHeight="1" thickTop="1" thickBot="1" x14ac:dyDescent="0.25">
      <c r="A280" s="1646" t="s">
        <v>930</v>
      </c>
      <c r="B280" s="1635">
        <v>3000</v>
      </c>
      <c r="C280" s="617"/>
      <c r="D280" s="576"/>
      <c r="E280" s="617"/>
      <c r="F280" s="617"/>
      <c r="G280" s="617"/>
      <c r="H280" s="617"/>
      <c r="I280" s="617"/>
      <c r="J280" s="617"/>
      <c r="K280" s="1700">
        <f>D280</f>
        <v>0</v>
      </c>
      <c r="L280" s="576">
        <v>655</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1">
        <f>SUM(D229,D279,D280,D285)</f>
        <v>248824</v>
      </c>
      <c r="E295" s="617"/>
      <c r="F295" s="617"/>
      <c r="G295" s="617"/>
      <c r="H295" s="1691">
        <f>H293</f>
        <v>0</v>
      </c>
      <c r="I295" s="617"/>
      <c r="J295" s="617"/>
      <c r="K295" s="1691">
        <f>SUM(K229,K279,K280,K285,K293,K294)</f>
        <v>248824</v>
      </c>
      <c r="L295" s="1691">
        <f>SUM(L229,L279,L280,L285,L293,L294)</f>
        <v>248868</v>
      </c>
    </row>
    <row r="296" spans="1:14" ht="13.5" thickTop="1" x14ac:dyDescent="0.2">
      <c r="A296" s="2172" t="s">
        <v>1053</v>
      </c>
      <c r="B296" s="2173"/>
      <c r="C296" s="617"/>
      <c r="D296" s="619"/>
      <c r="E296" s="617"/>
      <c r="F296" s="617"/>
      <c r="G296" s="617"/>
      <c r="H296" s="688"/>
      <c r="I296" s="617"/>
      <c r="J296" s="617"/>
      <c r="K296" s="1705">
        <f>'Revenues 9-14'!G275-'Expenditures 15-22'!K295</f>
        <v>37279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9994</v>
      </c>
      <c r="F301" s="466"/>
      <c r="G301" s="466"/>
      <c r="H301" s="466"/>
      <c r="I301" s="467"/>
      <c r="J301" s="467"/>
      <c r="K301" s="1692">
        <f>SUM(C301:J301)</f>
        <v>9994</v>
      </c>
      <c r="L301" s="467">
        <v>9994</v>
      </c>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9994</v>
      </c>
      <c r="F303" s="1698">
        <f t="shared" si="23"/>
        <v>0</v>
      </c>
      <c r="G303" s="1698">
        <f t="shared" si="23"/>
        <v>0</v>
      </c>
      <c r="H303" s="1698">
        <f t="shared" si="23"/>
        <v>0</v>
      </c>
      <c r="I303" s="1698">
        <f t="shared" si="23"/>
        <v>0</v>
      </c>
      <c r="J303" s="1698">
        <f t="shared" si="23"/>
        <v>0</v>
      </c>
      <c r="K303" s="1698">
        <f t="shared" si="23"/>
        <v>9994</v>
      </c>
      <c r="L303" s="1698">
        <f t="shared" si="23"/>
        <v>9994</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1">
        <f>SUM(C303)</f>
        <v>0</v>
      </c>
      <c r="D312" s="1691">
        <f>SUM(D303)</f>
        <v>0</v>
      </c>
      <c r="E312" s="1691">
        <f>SUM(E303,E310)</f>
        <v>9994</v>
      </c>
      <c r="F312" s="1691">
        <f>SUM(F303)</f>
        <v>0</v>
      </c>
      <c r="G312" s="1691">
        <f>SUM(G303)</f>
        <v>0</v>
      </c>
      <c r="H312" s="1691">
        <f>SUM(H303,H310)</f>
        <v>0</v>
      </c>
      <c r="I312" s="1691">
        <f>SUM(I303)</f>
        <v>0</v>
      </c>
      <c r="J312" s="1691">
        <f>SUM(J303)</f>
        <v>0</v>
      </c>
      <c r="K312" s="1691">
        <f>SUM(K303,K310,K311)</f>
        <v>9994</v>
      </c>
      <c r="L312" s="1691">
        <f>SUM(L303,L310,L311)</f>
        <v>9994</v>
      </c>
      <c r="M312" s="666"/>
      <c r="N312" s="666"/>
    </row>
    <row r="313" spans="1:14" ht="13.5" thickTop="1" x14ac:dyDescent="0.2">
      <c r="A313" s="2183" t="s">
        <v>1053</v>
      </c>
      <c r="B313" s="2184"/>
      <c r="C313" s="627"/>
      <c r="D313" s="627"/>
      <c r="E313" s="627"/>
      <c r="F313" s="627"/>
      <c r="G313" s="627"/>
      <c r="H313" s="627"/>
      <c r="I313" s="627"/>
      <c r="J313" s="627"/>
      <c r="K313" s="1706">
        <f>'Revenues 9-14'!H275-'Expenditures 15-22'!K312</f>
        <v>279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2">
        <f t="shared" ref="K320:K327" si="24">SUM(C320:J320)</f>
        <v>0</v>
      </c>
      <c r="L320" s="467">
        <v>1000</v>
      </c>
      <c r="M320" s="666"/>
      <c r="N320" s="666"/>
    </row>
    <row r="321" spans="1:14" s="675" customFormat="1" x14ac:dyDescent="0.2">
      <c r="A321" s="1541" t="s">
        <v>318</v>
      </c>
      <c r="B321" s="698" t="s">
        <v>301</v>
      </c>
      <c r="C321" s="467"/>
      <c r="D321" s="467"/>
      <c r="E321" s="467">
        <v>2726</v>
      </c>
      <c r="F321" s="467"/>
      <c r="G321" s="467"/>
      <c r="H321" s="467"/>
      <c r="I321" s="467"/>
      <c r="J321" s="467"/>
      <c r="K321" s="1692">
        <f t="shared" si="24"/>
        <v>2726</v>
      </c>
      <c r="L321" s="467">
        <v>8000</v>
      </c>
      <c r="M321" s="666"/>
      <c r="N321" s="666"/>
    </row>
    <row r="322" spans="1:14" s="675" customFormat="1" x14ac:dyDescent="0.2">
      <c r="A322" s="1541"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1" t="s">
        <v>726</v>
      </c>
      <c r="B323" s="698" t="s">
        <v>303</v>
      </c>
      <c r="C323" s="467"/>
      <c r="D323" s="467"/>
      <c r="E323" s="467">
        <v>73537</v>
      </c>
      <c r="F323" s="467">
        <v>2275</v>
      </c>
      <c r="G323" s="467"/>
      <c r="H323" s="467"/>
      <c r="I323" s="467"/>
      <c r="J323" s="467"/>
      <c r="K323" s="1692">
        <f t="shared" si="24"/>
        <v>75812</v>
      </c>
      <c r="L323" s="467">
        <v>83000</v>
      </c>
      <c r="M323" s="666"/>
      <c r="N323" s="666"/>
    </row>
    <row r="324" spans="1:14" s="675" customFormat="1" x14ac:dyDescent="0.2">
      <c r="A324" s="1541" t="s">
        <v>257</v>
      </c>
      <c r="B324" s="698" t="s">
        <v>304</v>
      </c>
      <c r="C324" s="467"/>
      <c r="D324" s="467"/>
      <c r="E324" s="467"/>
      <c r="F324" s="467"/>
      <c r="G324" s="467"/>
      <c r="H324" s="467">
        <v>15500</v>
      </c>
      <c r="I324" s="467"/>
      <c r="J324" s="467"/>
      <c r="K324" s="1692">
        <f t="shared" si="24"/>
        <v>15500</v>
      </c>
      <c r="L324" s="467">
        <v>10000</v>
      </c>
      <c r="M324" s="666"/>
      <c r="N324" s="666"/>
    </row>
    <row r="325" spans="1:14" s="675" customFormat="1" ht="22.5" x14ac:dyDescent="0.2">
      <c r="A325" s="1541" t="s">
        <v>1087</v>
      </c>
      <c r="B325" s="699" t="s">
        <v>305</v>
      </c>
      <c r="C325" s="467">
        <v>341870</v>
      </c>
      <c r="D325" s="467"/>
      <c r="E325" s="467"/>
      <c r="F325" s="467"/>
      <c r="G325" s="467"/>
      <c r="H325" s="467"/>
      <c r="I325" s="467"/>
      <c r="J325" s="467"/>
      <c r="K325" s="1692">
        <f t="shared" si="24"/>
        <v>341870</v>
      </c>
      <c r="L325" s="467">
        <v>335228</v>
      </c>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v>16087</v>
      </c>
      <c r="F327" s="467"/>
      <c r="G327" s="467"/>
      <c r="H327" s="467"/>
      <c r="I327" s="467"/>
      <c r="J327" s="467"/>
      <c r="K327" s="1692">
        <f t="shared" si="24"/>
        <v>16087</v>
      </c>
      <c r="L327" s="467">
        <v>13260</v>
      </c>
      <c r="M327" s="666"/>
      <c r="N327" s="666"/>
    </row>
    <row r="328" spans="1:14" s="675" customFormat="1" x14ac:dyDescent="0.2">
      <c r="A328" s="1542" t="s">
        <v>492</v>
      </c>
      <c r="B328" s="691" t="s">
        <v>1194</v>
      </c>
      <c r="C328" s="474"/>
      <c r="D328" s="474"/>
      <c r="E328" s="474">
        <v>80376</v>
      </c>
      <c r="F328" s="474"/>
      <c r="G328" s="474"/>
      <c r="H328" s="474"/>
      <c r="I328" s="474"/>
      <c r="J328" s="474"/>
      <c r="K328" s="1720">
        <f>SUM(C328:J328)</f>
        <v>80376</v>
      </c>
      <c r="L328" s="474">
        <v>82585</v>
      </c>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341870</v>
      </c>
      <c r="D330" s="1691">
        <f t="shared" ref="D330:J330" si="25">SUM(D319:D329)</f>
        <v>0</v>
      </c>
      <c r="E330" s="1691">
        <f t="shared" si="25"/>
        <v>172726</v>
      </c>
      <c r="F330" s="1691">
        <f t="shared" si="25"/>
        <v>2275</v>
      </c>
      <c r="G330" s="1691">
        <f t="shared" si="25"/>
        <v>0</v>
      </c>
      <c r="H330" s="1691">
        <f t="shared" si="25"/>
        <v>15500</v>
      </c>
      <c r="I330" s="1691">
        <f t="shared" si="25"/>
        <v>0</v>
      </c>
      <c r="J330" s="1691">
        <f t="shared" si="25"/>
        <v>0</v>
      </c>
      <c r="K330" s="1691">
        <f>SUM(K319:K329)</f>
        <v>532371</v>
      </c>
      <c r="L330" s="1691">
        <f>SUM(L319:L329)</f>
        <v>533073</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341870</v>
      </c>
      <c r="D342" s="1691">
        <f>SUM(D330)</f>
        <v>0</v>
      </c>
      <c r="E342" s="1691">
        <f>SUM(E330)</f>
        <v>172726</v>
      </c>
      <c r="F342" s="1691">
        <f>SUM(F330)</f>
        <v>2275</v>
      </c>
      <c r="G342" s="1691">
        <f>SUM(G330)</f>
        <v>0</v>
      </c>
      <c r="H342" s="1691">
        <f>SUM(H330,H334,H340)</f>
        <v>15500</v>
      </c>
      <c r="I342" s="1691">
        <f>SUM(I330)</f>
        <v>0</v>
      </c>
      <c r="J342" s="1691">
        <f>SUM(J330)</f>
        <v>0</v>
      </c>
      <c r="K342" s="1691">
        <f>SUM(K330,K334,K340)</f>
        <v>532371</v>
      </c>
      <c r="L342" s="1698">
        <f>SUM(L330,L340,L341)</f>
        <v>533073</v>
      </c>
    </row>
    <row r="343" spans="1:14" ht="12.75" customHeight="1" thickTop="1" x14ac:dyDescent="0.2">
      <c r="A343" s="2185" t="s">
        <v>1053</v>
      </c>
      <c r="B343" s="2186"/>
      <c r="C343" s="617"/>
      <c r="D343" s="617"/>
      <c r="E343" s="617"/>
      <c r="F343" s="617"/>
      <c r="G343" s="617"/>
      <c r="H343" s="617"/>
      <c r="I343" s="617"/>
      <c r="J343" s="617"/>
      <c r="K343" s="1705">
        <f>'Revenues 9-14'!J275-'Expenditures 15-22'!K342</f>
        <v>-617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34682</v>
      </c>
      <c r="F348" s="466">
        <v>9663</v>
      </c>
      <c r="G348" s="466">
        <v>49736</v>
      </c>
      <c r="H348" s="466"/>
      <c r="I348" s="467"/>
      <c r="J348" s="467"/>
      <c r="K348" s="1692">
        <f>SUM(C348:J348)</f>
        <v>94081</v>
      </c>
      <c r="L348" s="466">
        <v>100000</v>
      </c>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34682</v>
      </c>
      <c r="F350" s="1691">
        <f t="shared" si="26"/>
        <v>9663</v>
      </c>
      <c r="G350" s="1691">
        <f t="shared" si="26"/>
        <v>49736</v>
      </c>
      <c r="H350" s="1691">
        <f t="shared" si="26"/>
        <v>0</v>
      </c>
      <c r="I350" s="1691">
        <f t="shared" si="26"/>
        <v>0</v>
      </c>
      <c r="J350" s="1691">
        <f t="shared" si="26"/>
        <v>0</v>
      </c>
      <c r="K350" s="1691">
        <f t="shared" si="26"/>
        <v>94081</v>
      </c>
      <c r="L350" s="1691">
        <f t="shared" si="26"/>
        <v>100000</v>
      </c>
    </row>
    <row r="351" spans="1:14" ht="12.75" customHeight="1" thickTop="1" x14ac:dyDescent="0.2">
      <c r="A351" s="1532" t="s">
        <v>1037</v>
      </c>
      <c r="B351" s="644" t="s">
        <v>595</v>
      </c>
      <c r="C351" s="481"/>
      <c r="D351" s="481"/>
      <c r="E351" s="481"/>
      <c r="F351" s="481"/>
      <c r="G351" s="481"/>
      <c r="H351" s="481">
        <v>15250</v>
      </c>
      <c r="I351" s="478"/>
      <c r="J351" s="478"/>
      <c r="K351" s="616">
        <f>SUM(C351:J351)</f>
        <v>15250</v>
      </c>
      <c r="L351" s="481"/>
    </row>
    <row r="352" spans="1:14" ht="12.75" customHeight="1" thickBot="1" x14ac:dyDescent="0.25">
      <c r="A352" s="1689" t="s">
        <v>645</v>
      </c>
      <c r="B352" s="1696" t="s">
        <v>590</v>
      </c>
      <c r="C352" s="1691">
        <f>SUM(C350:C351)</f>
        <v>0</v>
      </c>
      <c r="D352" s="1691">
        <f t="shared" ref="D352:L352" si="27">SUM(D350:D351)</f>
        <v>0</v>
      </c>
      <c r="E352" s="1691">
        <f t="shared" si="27"/>
        <v>34682</v>
      </c>
      <c r="F352" s="1691">
        <f t="shared" si="27"/>
        <v>9663</v>
      </c>
      <c r="G352" s="1691">
        <f t="shared" si="27"/>
        <v>49736</v>
      </c>
      <c r="H352" s="1691">
        <f t="shared" si="27"/>
        <v>15250</v>
      </c>
      <c r="I352" s="1691">
        <f t="shared" si="27"/>
        <v>0</v>
      </c>
      <c r="J352" s="1691">
        <f t="shared" si="27"/>
        <v>0</v>
      </c>
      <c r="K352" s="1691">
        <f t="shared" si="27"/>
        <v>109331</v>
      </c>
      <c r="L352" s="1691">
        <f t="shared" si="27"/>
        <v>100000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34682</v>
      </c>
      <c r="F367" s="1691">
        <f t="shared" si="28"/>
        <v>9663</v>
      </c>
      <c r="G367" s="1691">
        <f t="shared" si="28"/>
        <v>49736</v>
      </c>
      <c r="H367" s="1691">
        <f t="shared" si="28"/>
        <v>15250</v>
      </c>
      <c r="I367" s="1691">
        <f t="shared" si="28"/>
        <v>0</v>
      </c>
      <c r="J367" s="1691">
        <f t="shared" si="28"/>
        <v>0</v>
      </c>
      <c r="K367" s="1691">
        <f t="shared" si="28"/>
        <v>109331</v>
      </c>
      <c r="L367" s="1691">
        <f t="shared" si="28"/>
        <v>100000</v>
      </c>
    </row>
    <row r="368" spans="1:14" ht="13.5" thickTop="1" x14ac:dyDescent="0.2">
      <c r="A368" s="2172" t="s">
        <v>1053</v>
      </c>
      <c r="B368" s="2173"/>
      <c r="C368" s="655"/>
      <c r="D368" s="655"/>
      <c r="E368" s="627"/>
      <c r="F368" s="627"/>
      <c r="G368" s="627"/>
      <c r="H368" s="627"/>
      <c r="I368" s="627"/>
      <c r="J368" s="624"/>
      <c r="K368" s="1692">
        <f>'Revenues 9-14'!K275-'Expenditures 15-22'!K367</f>
        <v>-72081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notes to the financial statments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D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0">
        <f>'Revenues 9-14'!C5</f>
        <v>1370606</v>
      </c>
      <c r="C4" s="1546">
        <v>625124</v>
      </c>
      <c r="D4" s="1773">
        <f>B4-C4</f>
        <v>745482</v>
      </c>
      <c r="E4" s="1546">
        <v>1396314</v>
      </c>
      <c r="F4" s="1773">
        <f>E4-C4</f>
        <v>771190</v>
      </c>
    </row>
    <row r="5" spans="1:6" ht="13.7" customHeight="1" x14ac:dyDescent="0.2">
      <c r="A5" s="716" t="s">
        <v>925</v>
      </c>
      <c r="B5" s="1771">
        <f>'Revenues 9-14'!D5</f>
        <v>372415</v>
      </c>
      <c r="C5" s="585">
        <v>169870</v>
      </c>
      <c r="D5" s="1774">
        <f t="shared" ref="D5:D18" si="0">B5-C5</f>
        <v>202545</v>
      </c>
      <c r="E5" s="585">
        <v>379433</v>
      </c>
      <c r="F5" s="1774">
        <f>E5-C5</f>
        <v>209563</v>
      </c>
    </row>
    <row r="6" spans="1:6" ht="13.7" customHeight="1" x14ac:dyDescent="0.2">
      <c r="A6" s="716" t="s">
        <v>431</v>
      </c>
      <c r="B6" s="1771">
        <f>'Revenues 9-14'!E5</f>
        <v>192145</v>
      </c>
      <c r="C6" s="585">
        <v>82931</v>
      </c>
      <c r="D6" s="1774">
        <f t="shared" si="0"/>
        <v>109214</v>
      </c>
      <c r="E6" s="585">
        <v>185240</v>
      </c>
      <c r="F6" s="1774">
        <f t="shared" ref="F6:F18" si="1">E6-C6</f>
        <v>102309</v>
      </c>
    </row>
    <row r="7" spans="1:6" ht="13.7" customHeight="1" x14ac:dyDescent="0.2">
      <c r="A7" s="716" t="s">
        <v>157</v>
      </c>
      <c r="B7" s="1771">
        <f>'Revenues 9-14'!F5</f>
        <v>148966</v>
      </c>
      <c r="C7" s="585">
        <v>67948</v>
      </c>
      <c r="D7" s="1774">
        <f t="shared" si="0"/>
        <v>81018</v>
      </c>
      <c r="E7" s="585">
        <v>151773</v>
      </c>
      <c r="F7" s="1774">
        <f t="shared" si="1"/>
        <v>83825</v>
      </c>
    </row>
    <row r="8" spans="1:6" ht="13.7" customHeight="1" x14ac:dyDescent="0.2">
      <c r="A8" s="716" t="s">
        <v>1241</v>
      </c>
      <c r="B8" s="1771">
        <f>'Revenues 9-14'!G5</f>
        <v>97064</v>
      </c>
      <c r="C8" s="585">
        <v>44778</v>
      </c>
      <c r="D8" s="1774">
        <f t="shared" si="0"/>
        <v>52286</v>
      </c>
      <c r="E8" s="585">
        <v>100019</v>
      </c>
      <c r="F8" s="1774">
        <f t="shared" si="1"/>
        <v>55241</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37241</v>
      </c>
      <c r="C10" s="585">
        <v>16987</v>
      </c>
      <c r="D10" s="1774">
        <f t="shared" si="0"/>
        <v>20254</v>
      </c>
      <c r="E10" s="585">
        <v>37943</v>
      </c>
      <c r="F10" s="1774">
        <f t="shared" si="1"/>
        <v>20956</v>
      </c>
    </row>
    <row r="11" spans="1:6" x14ac:dyDescent="0.2">
      <c r="A11" s="716" t="s">
        <v>429</v>
      </c>
      <c r="B11" s="1771">
        <f>'Revenues 9-14'!J5</f>
        <v>513821</v>
      </c>
      <c r="C11" s="585">
        <v>232791</v>
      </c>
      <c r="D11" s="1774">
        <f t="shared" si="0"/>
        <v>281030</v>
      </c>
      <c r="E11" s="585">
        <v>519975</v>
      </c>
      <c r="F11" s="1774">
        <f t="shared" si="1"/>
        <v>287184</v>
      </c>
    </row>
    <row r="12" spans="1:6" ht="13.7" customHeight="1" x14ac:dyDescent="0.2">
      <c r="A12" s="716" t="s">
        <v>159</v>
      </c>
      <c r="B12" s="1771">
        <f>'Revenues 9-14'!K5</f>
        <v>37241</v>
      </c>
      <c r="C12" s="585">
        <v>16987</v>
      </c>
      <c r="D12" s="1774">
        <f t="shared" si="0"/>
        <v>20254</v>
      </c>
      <c r="E12" s="585">
        <v>37943</v>
      </c>
      <c r="F12" s="1774">
        <f t="shared" si="1"/>
        <v>20956</v>
      </c>
    </row>
    <row r="13" spans="1:6" ht="13.7" customHeight="1" x14ac:dyDescent="0.2">
      <c r="A13" s="716" t="s">
        <v>993</v>
      </c>
      <c r="B13" s="1771">
        <f>SUM('Revenues 9-14'!C6:D6)</f>
        <v>37241</v>
      </c>
      <c r="C13" s="585">
        <v>16987</v>
      </c>
      <c r="D13" s="1774">
        <f t="shared" si="0"/>
        <v>20254</v>
      </c>
      <c r="E13" s="585">
        <v>37943</v>
      </c>
      <c r="F13" s="1774">
        <f t="shared" si="1"/>
        <v>20956</v>
      </c>
    </row>
    <row r="14" spans="1:6" ht="13.7" customHeight="1" x14ac:dyDescent="0.2">
      <c r="A14" s="716" t="s">
        <v>430</v>
      </c>
      <c r="B14" s="1771">
        <f>SUM('Revenues 9-14'!C7:D7,'Revenues 9-14'!F7:H7)</f>
        <v>29793</v>
      </c>
      <c r="C14" s="585">
        <v>13590</v>
      </c>
      <c r="D14" s="1774">
        <f t="shared" si="0"/>
        <v>16203</v>
      </c>
      <c r="E14" s="585">
        <v>30355</v>
      </c>
      <c r="F14" s="1774">
        <f t="shared" si="1"/>
        <v>16765</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131988</v>
      </c>
      <c r="C16" s="585">
        <v>60440</v>
      </c>
      <c r="D16" s="1774">
        <f t="shared" si="0"/>
        <v>71548</v>
      </c>
      <c r="E16" s="585">
        <v>135002</v>
      </c>
      <c r="F16" s="1774">
        <f t="shared" si="1"/>
        <v>74562</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2968521</v>
      </c>
      <c r="C19" s="1772">
        <f>SUM(C4:C18)</f>
        <v>1348433</v>
      </c>
      <c r="D19" s="1772">
        <f>SUM(D4:D18)</f>
        <v>1620088</v>
      </c>
      <c r="E19" s="1772">
        <f>SUM(E4:E18)</f>
        <v>3011940</v>
      </c>
      <c r="F19" s="1772">
        <f>SUM(F4:F18)</f>
        <v>1663507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1905</v>
      </c>
      <c r="B2" s="2227"/>
      <c r="C2" s="1907" t="s">
        <v>2038</v>
      </c>
      <c r="D2" s="724" t="s">
        <v>2045</v>
      </c>
      <c r="E2" s="724" t="s">
        <v>2046</v>
      </c>
      <c r="F2" s="1907" t="s">
        <v>2039</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6">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2" t="s">
        <v>652</v>
      </c>
      <c r="B15" s="2213"/>
      <c r="C15" s="1776">
        <f>SUM(C6:C14)</f>
        <v>0</v>
      </c>
      <c r="D15" s="1776">
        <f>SUM(D6:D14)</f>
        <v>0</v>
      </c>
      <c r="E15" s="1776">
        <f>SUM(E6:E14)</f>
        <v>0</v>
      </c>
      <c r="F15" s="1776">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6">
        <f>SUM(C17+D17)-E17</f>
        <v>0</v>
      </c>
    </row>
    <row r="18" spans="1:11" ht="12.75" customHeight="1" thickTop="1" thickBot="1" x14ac:dyDescent="0.25">
      <c r="A18" s="2207" t="s">
        <v>6</v>
      </c>
      <c r="B18" s="2208"/>
      <c r="C18" s="727"/>
      <c r="D18" s="585"/>
      <c r="E18" s="727"/>
      <c r="F18" s="1776">
        <f>SUM(C18+D18)-E18</f>
        <v>0</v>
      </c>
    </row>
    <row r="19" spans="1:11" ht="12.75" customHeight="1" thickTop="1" thickBot="1" x14ac:dyDescent="0.25">
      <c r="A19" s="2207" t="s">
        <v>406</v>
      </c>
      <c r="B19" s="2208"/>
      <c r="C19" s="727"/>
      <c r="D19" s="585"/>
      <c r="E19" s="727"/>
      <c r="F19" s="1776">
        <f>SUM(C19+D19)-E19</f>
        <v>0</v>
      </c>
    </row>
    <row r="20" spans="1:11" ht="12.75" customHeight="1" thickTop="1" thickBot="1" x14ac:dyDescent="0.25">
      <c r="A20" s="2207" t="s">
        <v>468</v>
      </c>
      <c r="B20" s="2208"/>
      <c r="C20" s="727"/>
      <c r="D20" s="585"/>
      <c r="E20" s="727"/>
      <c r="F20" s="1776">
        <f>SUM(C20+D20)-E20</f>
        <v>0</v>
      </c>
    </row>
    <row r="21" spans="1:11" ht="14.25" thickTop="1" thickBot="1" x14ac:dyDescent="0.25">
      <c r="A21" s="2212" t="s">
        <v>653</v>
      </c>
      <c r="B21" s="2213"/>
      <c r="C21" s="1776">
        <f>SUM(C17:C20)</f>
        <v>0</v>
      </c>
      <c r="D21" s="1776">
        <f>SUM(D17:D20)</f>
        <v>0</v>
      </c>
      <c r="E21" s="1776">
        <f>SUM(E17:E20)</f>
        <v>0</v>
      </c>
      <c r="F21" s="1776">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6">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6">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6">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t="s">
        <v>2096</v>
      </c>
      <c r="B31" s="734">
        <v>40940</v>
      </c>
      <c r="C31" s="735">
        <v>895000</v>
      </c>
      <c r="D31" s="736">
        <v>4</v>
      </c>
      <c r="E31" s="735">
        <v>195000</v>
      </c>
      <c r="F31" s="735"/>
      <c r="G31" s="735"/>
      <c r="H31" s="735">
        <v>195000</v>
      </c>
      <c r="I31" s="1777">
        <f>((E31+F31)-H31)+G31</f>
        <v>0</v>
      </c>
      <c r="J31" s="735"/>
      <c r="K31" s="737"/>
    </row>
    <row r="32" spans="1:11" ht="12" customHeight="1" x14ac:dyDescent="0.2">
      <c r="A32" s="733" t="s">
        <v>2097</v>
      </c>
      <c r="B32" s="734">
        <v>43111</v>
      </c>
      <c r="C32" s="735">
        <v>850000</v>
      </c>
      <c r="D32" s="736">
        <v>4</v>
      </c>
      <c r="E32" s="735"/>
      <c r="F32" s="735">
        <v>850000</v>
      </c>
      <c r="G32" s="735"/>
      <c r="H32" s="735"/>
      <c r="I32" s="1777">
        <f>((E32+F32)-H32)+G32</f>
        <v>850000</v>
      </c>
      <c r="J32" s="735">
        <v>767171</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1745000</v>
      </c>
      <c r="D49" s="746"/>
      <c r="E49" s="1777">
        <f t="shared" ref="E49:J49" si="2">SUM(E31:E48)</f>
        <v>195000</v>
      </c>
      <c r="F49" s="1777">
        <f t="shared" si="2"/>
        <v>850000</v>
      </c>
      <c r="G49" s="1777">
        <f t="shared" si="2"/>
        <v>0</v>
      </c>
      <c r="H49" s="1777">
        <f t="shared" si="2"/>
        <v>195000</v>
      </c>
      <c r="I49" s="1777">
        <f t="shared" si="2"/>
        <v>850000</v>
      </c>
      <c r="J49" s="1777">
        <f t="shared" si="2"/>
        <v>767171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1919</v>
      </c>
      <c r="K2" s="763" t="s">
        <v>140</v>
      </c>
    </row>
    <row r="3" spans="1:11" x14ac:dyDescent="0.2">
      <c r="A3" s="2252" t="s">
        <v>1698</v>
      </c>
      <c r="B3" s="2253"/>
      <c r="C3" s="2253"/>
      <c r="D3" s="2253"/>
      <c r="E3" s="2254"/>
      <c r="F3" s="764"/>
      <c r="G3" s="765"/>
      <c r="H3" s="765"/>
      <c r="I3" s="765"/>
      <c r="J3" s="766">
        <v>14133</v>
      </c>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v>29793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2850</v>
      </c>
    </row>
    <row r="8" spans="1:11" x14ac:dyDescent="0.2">
      <c r="A8" s="779" t="s">
        <v>363</v>
      </c>
      <c r="B8" s="780"/>
      <c r="C8" s="780"/>
      <c r="D8" s="780"/>
      <c r="E8" s="781"/>
      <c r="F8" s="771" t="s">
        <v>906</v>
      </c>
      <c r="G8" s="783"/>
      <c r="H8" s="783"/>
      <c r="I8" s="783"/>
      <c r="J8" s="766">
        <v>10273</v>
      </c>
      <c r="K8" s="770"/>
    </row>
    <row r="9" spans="1:11" x14ac:dyDescent="0.2">
      <c r="A9" s="779" t="s">
        <v>140</v>
      </c>
      <c r="B9" s="780"/>
      <c r="C9" s="780"/>
      <c r="D9" s="780"/>
      <c r="E9" s="781"/>
      <c r="F9" s="778" t="s">
        <v>908</v>
      </c>
      <c r="G9" s="783"/>
      <c r="H9" s="772"/>
      <c r="I9" s="772"/>
      <c r="J9" s="782"/>
      <c r="K9" s="766">
        <v>7211</v>
      </c>
    </row>
    <row r="10" spans="1:11" x14ac:dyDescent="0.2">
      <c r="A10" s="2233" t="s">
        <v>1920</v>
      </c>
      <c r="B10" s="2234"/>
      <c r="C10" s="2234"/>
      <c r="D10" s="2234"/>
      <c r="E10" s="2236"/>
      <c r="F10" s="784" t="s">
        <v>917</v>
      </c>
      <c r="G10" s="783"/>
      <c r="H10" s="785"/>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8"/>
      <c r="G12" s="1779">
        <f>SUM(G5:G11)</f>
        <v>0</v>
      </c>
      <c r="H12" s="1779">
        <f>SUM(H5:H11)</f>
        <v>29793</v>
      </c>
      <c r="I12" s="1779">
        <f>SUM(I5:I11)</f>
        <v>0</v>
      </c>
      <c r="J12" s="1779">
        <f>SUM(J5:J11)</f>
        <v>10273</v>
      </c>
      <c r="K12" s="1779">
        <f>SUM(K5:K11)</f>
        <v>10061</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v>29793</v>
      </c>
      <c r="I14" s="772"/>
      <c r="J14" s="774"/>
      <c r="K14" s="766">
        <v>10061</v>
      </c>
    </row>
    <row r="15" spans="1:11" x14ac:dyDescent="0.2">
      <c r="A15" s="2234" t="s">
        <v>4</v>
      </c>
      <c r="B15" s="2234"/>
      <c r="C15" s="2234"/>
      <c r="D15" s="2234"/>
      <c r="E15" s="2235"/>
      <c r="F15" s="790" t="s">
        <v>910</v>
      </c>
      <c r="G15" s="772"/>
      <c r="H15" s="765"/>
      <c r="I15" s="765"/>
      <c r="J15" s="766">
        <v>9994</v>
      </c>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1916</v>
      </c>
      <c r="B19" s="2242"/>
      <c r="C19" s="2242"/>
      <c r="D19" s="2242"/>
      <c r="E19" s="2243"/>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80"/>
      <c r="G21" s="793"/>
      <c r="H21" s="797"/>
      <c r="I21" s="797"/>
      <c r="J21" s="1781">
        <f>SUM(J18:J20)</f>
        <v>0</v>
      </c>
      <c r="K21" s="794"/>
    </row>
    <row r="22" spans="1:11" ht="13.5" thickTop="1" x14ac:dyDescent="0.2">
      <c r="A22" s="2234" t="s">
        <v>1922</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82"/>
      <c r="G23" s="1779">
        <f>SUM(G14:G16,G21,G22)</f>
        <v>0</v>
      </c>
      <c r="H23" s="1779">
        <f>SUM(H14:H16,H21,H22)</f>
        <v>29793</v>
      </c>
      <c r="I23" s="1779">
        <f>SUM(I14:I16,I21,I22)</f>
        <v>0</v>
      </c>
      <c r="J23" s="1779">
        <f>SUM(J14:J16,J21,J22)</f>
        <v>9994</v>
      </c>
      <c r="K23" s="1779">
        <f>SUM(K14:K16,K21,K22)</f>
        <v>10061</v>
      </c>
    </row>
    <row r="24" spans="1:11" ht="14.25" thickTop="1" thickBot="1" x14ac:dyDescent="0.25">
      <c r="A24" s="2264" t="s">
        <v>2026</v>
      </c>
      <c r="B24" s="2263"/>
      <c r="C24" s="2263"/>
      <c r="D24" s="2263"/>
      <c r="E24" s="2263"/>
      <c r="F24" s="1783"/>
      <c r="G24" s="1784">
        <f>SUM(G3,G12)-G23</f>
        <v>0</v>
      </c>
      <c r="H24" s="1784">
        <f>SUM(H3,H12)-H23</f>
        <v>0</v>
      </c>
      <c r="I24" s="1784">
        <f>SUM(I3,I12)-I23</f>
        <v>0</v>
      </c>
      <c r="J24" s="1784">
        <f>SUM(J3,J12)-J23</f>
        <v>14412</v>
      </c>
      <c r="K24" s="1784">
        <f>SUM(K3,K12)-K23</f>
        <v>0</v>
      </c>
    </row>
    <row r="25" spans="1:11" ht="13.5" thickTop="1" x14ac:dyDescent="0.2">
      <c r="A25" s="799" t="s">
        <v>440</v>
      </c>
      <c r="B25" s="800"/>
      <c r="C25" s="800"/>
      <c r="D25" s="800"/>
      <c r="E25" s="801"/>
      <c r="F25" s="802">
        <v>714</v>
      </c>
      <c r="G25" s="803"/>
      <c r="H25" s="803"/>
      <c r="I25" s="803"/>
      <c r="J25" s="798">
        <v>14412</v>
      </c>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D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68728</v>
      </c>
      <c r="D5" s="842"/>
      <c r="E5" s="842"/>
      <c r="F5" s="1781">
        <f>(C5+D5)-E5</f>
        <v>68728</v>
      </c>
      <c r="G5" s="838"/>
      <c r="H5" s="843"/>
      <c r="I5" s="843"/>
      <c r="J5" s="843"/>
      <c r="K5" s="794"/>
      <c r="L5" s="1790">
        <f>F5-K5</f>
        <v>68728</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8845974</v>
      </c>
      <c r="D8" s="845">
        <v>46336</v>
      </c>
      <c r="E8" s="845"/>
      <c r="F8" s="1781">
        <f>(C8+D8)-E8</f>
        <v>8892310</v>
      </c>
      <c r="G8" s="844">
        <v>50</v>
      </c>
      <c r="H8" s="766">
        <v>4872628</v>
      </c>
      <c r="I8" s="766">
        <v>117846</v>
      </c>
      <c r="J8" s="766"/>
      <c r="K8" s="1790">
        <f>(H8+I8)-J8</f>
        <v>4990474</v>
      </c>
      <c r="L8" s="1790">
        <f>F8-K8</f>
        <v>3901836</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720886</v>
      </c>
      <c r="D10" s="847">
        <v>5578</v>
      </c>
      <c r="E10" s="847"/>
      <c r="F10" s="1785">
        <f>(C10+D10)-E10</f>
        <v>726464</v>
      </c>
      <c r="G10" s="844">
        <v>20</v>
      </c>
      <c r="H10" s="848">
        <v>413410</v>
      </c>
      <c r="I10" s="848">
        <v>36323</v>
      </c>
      <c r="J10" s="848"/>
      <c r="K10" s="1790">
        <f>(H10+I10)-J10</f>
        <v>449733</v>
      </c>
      <c r="L10" s="1790">
        <f>F10-K10</f>
        <v>276731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435457</v>
      </c>
      <c r="D12" s="845">
        <v>40971</v>
      </c>
      <c r="E12" s="845">
        <v>63640</v>
      </c>
      <c r="F12" s="1781">
        <f>(C12+D12)-E12</f>
        <v>412788</v>
      </c>
      <c r="G12" s="844">
        <v>10</v>
      </c>
      <c r="H12" s="766">
        <v>256071</v>
      </c>
      <c r="I12" s="766">
        <v>39907</v>
      </c>
      <c r="J12" s="766">
        <v>63640</v>
      </c>
      <c r="K12" s="1790">
        <f>(H12+I12)-J12</f>
        <v>232338</v>
      </c>
      <c r="L12" s="1790">
        <f>F12-K12</f>
        <v>180450</v>
      </c>
    </row>
    <row r="13" spans="1:14" ht="14.25" thickTop="1" thickBot="1" x14ac:dyDescent="0.25">
      <c r="A13" s="849" t="s">
        <v>1184</v>
      </c>
      <c r="B13" s="841">
        <v>252</v>
      </c>
      <c r="C13" s="845">
        <v>660524</v>
      </c>
      <c r="D13" s="845">
        <v>9299</v>
      </c>
      <c r="E13" s="845"/>
      <c r="F13" s="1781">
        <f>(C13+D13)-E13</f>
        <v>669823</v>
      </c>
      <c r="G13" s="844">
        <v>5</v>
      </c>
      <c r="H13" s="766">
        <v>658229</v>
      </c>
      <c r="I13" s="766">
        <v>783</v>
      </c>
      <c r="J13" s="766"/>
      <c r="K13" s="1790">
        <f>(H13+I13)-J13</f>
        <v>659012</v>
      </c>
      <c r="L13" s="1790">
        <f>F13-K13</f>
        <v>10811</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10731569</v>
      </c>
      <c r="D16" s="1781">
        <f>SUM(D3,D5:D6,D8:D10,D12:D15)</f>
        <v>102184</v>
      </c>
      <c r="E16" s="1781">
        <f>SUM(E3,E5:E6,E8:E10,E12:E15)</f>
        <v>63640</v>
      </c>
      <c r="F16" s="1781">
        <f>SUM(F3,F5:F6,F8:F10,F12:F15)</f>
        <v>10770113</v>
      </c>
      <c r="G16" s="844"/>
      <c r="H16" s="1781">
        <f>SUM(H3,H6,H8:H10,H12:H14,)</f>
        <v>6200338</v>
      </c>
      <c r="I16" s="1781">
        <f>SUM(I3,I6,I8:I10,I12:I14,)</f>
        <v>194859</v>
      </c>
      <c r="J16" s="1781">
        <f>SUM(J3,J6,J8:J10,J12:J14,)</f>
        <v>63640</v>
      </c>
      <c r="K16" s="1781">
        <f>(H16+I16)-J16</f>
        <v>6331557</v>
      </c>
      <c r="L16" s="1781">
        <f>F16-K16</f>
        <v>4438556</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194859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D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4603009</v>
      </c>
      <c r="G8" s="866"/>
    </row>
    <row r="9" spans="1:7" x14ac:dyDescent="0.2">
      <c r="A9" s="870" t="s">
        <v>480</v>
      </c>
      <c r="B9" s="871" t="s">
        <v>1989</v>
      </c>
      <c r="C9" s="872"/>
      <c r="D9" s="870" t="s">
        <v>522</v>
      </c>
      <c r="E9" s="869"/>
      <c r="F9" s="1933">
        <f>'Expenditures 15-22'!K151</f>
        <v>477523</v>
      </c>
      <c r="G9" s="873"/>
    </row>
    <row r="10" spans="1:7" x14ac:dyDescent="0.2">
      <c r="A10" s="870" t="s">
        <v>520</v>
      </c>
      <c r="B10" s="871" t="s">
        <v>1990</v>
      </c>
      <c r="C10" s="872"/>
      <c r="D10" s="870" t="s">
        <v>522</v>
      </c>
      <c r="E10" s="869"/>
      <c r="F10" s="1933">
        <f>'Expenditures 15-22'!K174</f>
        <v>198913</v>
      </c>
      <c r="G10" s="873"/>
    </row>
    <row r="11" spans="1:7" x14ac:dyDescent="0.2">
      <c r="A11" s="870" t="s">
        <v>481</v>
      </c>
      <c r="B11" s="871" t="s">
        <v>1991</v>
      </c>
      <c r="C11" s="872"/>
      <c r="D11" s="870" t="s">
        <v>522</v>
      </c>
      <c r="E11" s="869"/>
      <c r="F11" s="1933">
        <f>'Expenditures 15-22'!K210</f>
        <v>120836</v>
      </c>
      <c r="G11" s="873"/>
    </row>
    <row r="12" spans="1:7" x14ac:dyDescent="0.2">
      <c r="A12" s="870" t="s">
        <v>482</v>
      </c>
      <c r="B12" s="871" t="s">
        <v>1992</v>
      </c>
      <c r="C12" s="872"/>
      <c r="D12" s="870" t="s">
        <v>522</v>
      </c>
      <c r="E12" s="869"/>
      <c r="F12" s="1933">
        <f>'Expenditures 15-22'!K295</f>
        <v>248824</v>
      </c>
      <c r="G12" s="873"/>
    </row>
    <row r="13" spans="1:7" x14ac:dyDescent="0.2">
      <c r="A13" s="870" t="s">
        <v>108</v>
      </c>
      <c r="B13" s="871" t="s">
        <v>1993</v>
      </c>
      <c r="C13" s="872"/>
      <c r="D13" s="870" t="s">
        <v>522</v>
      </c>
      <c r="E13" s="869"/>
      <c r="F13" s="1933">
        <f>'Expenditures 15-22'!K342</f>
        <v>532371</v>
      </c>
      <c r="G13" s="874"/>
    </row>
    <row r="14" spans="1:7" ht="12" customHeight="1" thickBot="1" x14ac:dyDescent="0.25">
      <c r="A14" s="1791"/>
      <c r="B14" s="1792"/>
      <c r="C14" s="1793"/>
      <c r="D14" s="1794" t="s">
        <v>522</v>
      </c>
      <c r="E14" s="1795" t="s">
        <v>1015</v>
      </c>
      <c r="F14" s="1796">
        <f>SUM(F8:F13)</f>
        <v>6181476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147323</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5835</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29512</v>
      </c>
      <c r="G52" s="866"/>
    </row>
    <row r="53" spans="1:7" x14ac:dyDescent="0.2">
      <c r="A53" s="870" t="s">
        <v>479</v>
      </c>
      <c r="B53" s="870" t="s">
        <v>1551</v>
      </c>
      <c r="C53" s="890">
        <f>'Expenditures 15-22'!B102</f>
        <v>4000</v>
      </c>
      <c r="D53" s="889" t="str">
        <f>'Expenditures 15-22'!A102</f>
        <v>Total Payments to Other Govt Units</v>
      </c>
      <c r="E53" s="869"/>
      <c r="F53" s="1937">
        <f>'Expenditures 15-22'!K102</f>
        <v>507768</v>
      </c>
      <c r="G53" s="866"/>
    </row>
    <row r="54" spans="1:7" x14ac:dyDescent="0.2">
      <c r="A54" s="870" t="s">
        <v>479</v>
      </c>
      <c r="B54" s="870" t="s">
        <v>1552</v>
      </c>
      <c r="C54" s="890" t="s">
        <v>1039</v>
      </c>
      <c r="D54" s="886" t="s">
        <v>1157</v>
      </c>
      <c r="E54" s="869"/>
      <c r="F54" s="1937">
        <f>'Expenditures 15-22'!G114</f>
        <v>31731</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11418</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195000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9299</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9031</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460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947377</v>
      </c>
      <c r="G76" s="866"/>
    </row>
    <row r="77" spans="1:8" s="894" customFormat="1" ht="12" customHeight="1" thickTop="1" thickBot="1" x14ac:dyDescent="0.25">
      <c r="A77" s="1800"/>
      <c r="B77" s="1797"/>
      <c r="C77" s="1793"/>
      <c r="D77" s="1798" t="s">
        <v>2012</v>
      </c>
      <c r="E77" s="1795"/>
      <c r="F77" s="1801">
        <f>(F14-F76)</f>
        <v>5234099</v>
      </c>
      <c r="G77" s="870"/>
    </row>
    <row r="78" spans="1:8" s="894" customFormat="1" ht="12" customHeight="1" thickTop="1" x14ac:dyDescent="0.2">
      <c r="A78" s="1802"/>
      <c r="B78" s="1797"/>
      <c r="C78" s="1793"/>
      <c r="D78" s="1798" t="s">
        <v>2059</v>
      </c>
      <c r="E78" s="1795"/>
      <c r="F78" s="899">
        <v>600.38</v>
      </c>
      <c r="G78" s="900"/>
      <c r="H78" s="870"/>
    </row>
    <row r="79" spans="1:8" s="894" customFormat="1" ht="12" customHeight="1" thickBot="1" x14ac:dyDescent="0.25">
      <c r="A79" s="1803"/>
      <c r="B79" s="1797"/>
      <c r="C79" s="1793"/>
      <c r="D79" s="1798" t="s">
        <v>2013</v>
      </c>
      <c r="E79" s="1795" t="s">
        <v>1015</v>
      </c>
      <c r="F79" s="1804">
        <f>IF(F78&gt;0,F77/F78," Complete Line 78")</f>
        <v>8717.9769479329752</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62475</v>
      </c>
      <c r="G94" s="913"/>
    </row>
    <row r="95" spans="1:7" x14ac:dyDescent="0.2">
      <c r="A95" s="909" t="s">
        <v>142</v>
      </c>
      <c r="B95" s="909" t="s">
        <v>177</v>
      </c>
      <c r="C95" s="911">
        <v>1700</v>
      </c>
      <c r="D95" s="919" t="str">
        <f>'Revenues 9-14'!A82</f>
        <v>Total District/School Activity Income</v>
      </c>
      <c r="E95" s="907"/>
      <c r="F95" s="1810">
        <f>SUM('Revenues 9-14'!C82,'Revenues 9-14'!D82)</f>
        <v>37890</v>
      </c>
      <c r="G95" s="913"/>
    </row>
    <row r="96" spans="1:7" x14ac:dyDescent="0.2">
      <c r="A96" s="909" t="s">
        <v>479</v>
      </c>
      <c r="B96" s="909" t="s">
        <v>178</v>
      </c>
      <c r="C96" s="911">
        <f>'Revenues 9-14'!B84</f>
        <v>1811</v>
      </c>
      <c r="D96" s="912" t="str">
        <f>'Revenues 9-14'!A84</f>
        <v>Rentals - Regular Textbooks</v>
      </c>
      <c r="E96" s="907"/>
      <c r="F96" s="1810">
        <f>'Revenues 9-14'!C84</f>
        <v>54457</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1170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13442</v>
      </c>
      <c r="G103" s="913"/>
    </row>
    <row r="104" spans="1:7" x14ac:dyDescent="0.2">
      <c r="A104" s="909" t="s">
        <v>479</v>
      </c>
      <c r="B104" s="909" t="s">
        <v>841</v>
      </c>
      <c r="C104" s="911">
        <f>'Revenues 9-14'!B106</f>
        <v>1993</v>
      </c>
      <c r="D104" s="912" t="str">
        <f>'Revenues 9-14'!A106</f>
        <v>Other Local Fees (Describe &amp; Itemize)</v>
      </c>
      <c r="E104" s="907"/>
      <c r="F104" s="1810">
        <f>('Revenues 9-14'!C106)</f>
        <v>11663</v>
      </c>
      <c r="G104" s="913"/>
    </row>
    <row r="105" spans="1:7" x14ac:dyDescent="0.2">
      <c r="A105" s="909" t="s">
        <v>524</v>
      </c>
      <c r="B105" s="909" t="s">
        <v>842</v>
      </c>
      <c r="C105" s="914">
        <v>3100</v>
      </c>
      <c r="D105" s="920" t="str">
        <f>'Revenues 9-14'!A131</f>
        <v>Total Special Education</v>
      </c>
      <c r="E105" s="907"/>
      <c r="F105" s="1810">
        <f>SUM('Revenues 9-14'!C131:D131,'Revenues 9-14'!F131)</f>
        <v>130409</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2740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1444</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7211</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27950</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109290</v>
      </c>
      <c r="G129" s="931"/>
    </row>
    <row r="130" spans="1:7" x14ac:dyDescent="0.2">
      <c r="A130" s="928" t="s">
        <v>689</v>
      </c>
      <c r="B130" s="928" t="s">
        <v>804</v>
      </c>
      <c r="C130" s="933">
        <v>4300</v>
      </c>
      <c r="D130" s="934" t="str">
        <f>'Revenues 9-14'!A211</f>
        <v>Total Title I</v>
      </c>
      <c r="E130" s="907"/>
      <c r="F130" s="1810">
        <f>SUM('Revenues 9-14'!C211,'Revenues 9-14'!D211,'Revenues 9-14'!F211,'Revenues 9-14'!G211)</f>
        <v>123598</v>
      </c>
      <c r="G130" s="931"/>
    </row>
    <row r="131" spans="1:7" x14ac:dyDescent="0.2">
      <c r="A131" s="928" t="s">
        <v>689</v>
      </c>
      <c r="B131" s="928" t="s">
        <v>805</v>
      </c>
      <c r="C131" s="933">
        <v>4400</v>
      </c>
      <c r="D131" s="934" t="str">
        <f>'Revenues 9-14'!A216</f>
        <v>Total Title IV</v>
      </c>
      <c r="E131" s="907"/>
      <c r="F131" s="1810">
        <f>SUM('Revenues 9-14'!C216,'Revenues 9-14'!D216,'Revenues 9-14'!F216,'Revenues 9-14'!G216)</f>
        <v>2000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3209</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15766</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16046</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16479</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638739</v>
      </c>
    </row>
    <row r="179" spans="1:7" ht="12" customHeight="1" x14ac:dyDescent="0.2">
      <c r="A179" s="1791"/>
      <c r="B179" s="1805"/>
      <c r="C179" s="1806"/>
      <c r="D179" s="1807" t="s">
        <v>2015</v>
      </c>
      <c r="E179" s="1808"/>
      <c r="F179" s="1810">
        <f>'PCTC-OEPP 27-28'!F77-F178</f>
        <v>4595360</v>
      </c>
    </row>
    <row r="180" spans="1:7" ht="12" customHeight="1" x14ac:dyDescent="0.2">
      <c r="A180" s="1791"/>
      <c r="B180" s="1805"/>
      <c r="C180" s="1806"/>
      <c r="D180" s="1807" t="s">
        <v>1924</v>
      </c>
      <c r="E180" s="1808"/>
      <c r="F180" s="1810">
        <f>'Cap Outlay Deprec 26'!I18</f>
        <v>194859</v>
      </c>
    </row>
    <row r="181" spans="1:7" ht="12" customHeight="1" x14ac:dyDescent="0.2">
      <c r="A181" s="1791"/>
      <c r="B181" s="1805"/>
      <c r="C181" s="1806"/>
      <c r="D181" s="1807" t="s">
        <v>2016</v>
      </c>
      <c r="E181" s="1808"/>
      <c r="F181" s="1810">
        <f>F179+F180</f>
        <v>4790219</v>
      </c>
    </row>
    <row r="182" spans="1:7" ht="12" customHeight="1" x14ac:dyDescent="0.2">
      <c r="A182" s="1791"/>
      <c r="B182" s="1811"/>
      <c r="C182" s="1806"/>
      <c r="D182" s="1807" t="str">
        <f>D78</f>
        <v>9 Month ADA from District Average Daily Attendance/Prior General State Aid Inquiry 2017-2018</v>
      </c>
      <c r="E182" s="1808"/>
      <c r="F182" s="1812">
        <f>'PCTC-OEPP 27-28'!F78</f>
        <v>600.38</v>
      </c>
      <c r="G182" s="931"/>
    </row>
    <row r="183" spans="1:7" ht="12" customHeight="1" thickBot="1" x14ac:dyDescent="0.25">
      <c r="A183" s="1791"/>
      <c r="B183" s="1811"/>
      <c r="C183" s="1806"/>
      <c r="D183" s="1807" t="s">
        <v>2017</v>
      </c>
      <c r="E183" s="1808" t="s">
        <v>1626</v>
      </c>
      <c r="F183" s="1813">
        <f>F181/F182</f>
        <v>7978.6451913787932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workbookViewId="0">
      <selection activeCell="B18" sqref="B1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2103</v>
      </c>
      <c r="B17" s="1956" t="s">
        <v>2114</v>
      </c>
      <c r="C17" s="1955" t="s">
        <v>2098</v>
      </c>
      <c r="D17" s="1866">
        <v>79985</v>
      </c>
      <c r="E17" s="1562">
        <f t="shared" ref="E17:E37" si="1">IF(D17&lt;=25000,D17,IF(D17&gt;25000,25000,0))</f>
        <v>25000</v>
      </c>
      <c r="F17" s="1814">
        <f t="shared" si="0"/>
        <v>25000</v>
      </c>
      <c r="G17" s="1815">
        <f>IF(F17=0,0,D17-F17)</f>
        <v>54985</v>
      </c>
      <c r="H17" s="1669"/>
    </row>
    <row r="18" spans="1:8" x14ac:dyDescent="0.25">
      <c r="A18" s="1954"/>
      <c r="B18" s="1956"/>
      <c r="C18" s="1955"/>
      <c r="D18" s="1866"/>
      <c r="E18" s="1562">
        <f t="shared" ref="E18:E36" si="2">IF(D18&lt;=25000,D18,IF(D18&gt;25000,25000,0))</f>
        <v>0</v>
      </c>
      <c r="F18" s="1814">
        <f t="shared" ref="F18:F3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36" si="4">IF(F18=0,0,D18-F18)</f>
        <v>0</v>
      </c>
    </row>
    <row r="19" spans="1:8" x14ac:dyDescent="0.25">
      <c r="A19" s="1675"/>
      <c r="B19" s="1867"/>
      <c r="C19" s="1677"/>
      <c r="D19" s="1866"/>
      <c r="E19" s="1562">
        <f t="shared" si="2"/>
        <v>0</v>
      </c>
      <c r="F19" s="1814">
        <f t="shared" si="3"/>
        <v>0</v>
      </c>
      <c r="G19" s="1815">
        <f t="shared" si="4"/>
        <v>0</v>
      </c>
    </row>
    <row r="20" spans="1:8" x14ac:dyDescent="0.25">
      <c r="A20" s="1675"/>
      <c r="B20" s="1688"/>
      <c r="C20" s="1676"/>
      <c r="D20" s="1866"/>
      <c r="E20" s="1562">
        <f t="shared" ref="E20:E21" si="5">IF(D20&lt;=25000,D20,IF(D20&gt;25000,25000,0))</f>
        <v>0</v>
      </c>
      <c r="F20" s="1814">
        <f t="shared" ref="F20:F21"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5">
        <f t="shared" ref="G20:G21" si="7">IF(F20=0,0,D20-F20)</f>
        <v>0</v>
      </c>
    </row>
    <row r="21" spans="1:8" x14ac:dyDescent="0.25">
      <c r="A21" s="1675"/>
      <c r="B21" s="1688"/>
      <c r="C21" s="1676"/>
      <c r="D21" s="1866"/>
      <c r="E21" s="1562">
        <f t="shared" si="5"/>
        <v>0</v>
      </c>
      <c r="F21" s="1814">
        <f t="shared" si="6"/>
        <v>0</v>
      </c>
      <c r="G21" s="1815">
        <f t="shared" si="7"/>
        <v>0</v>
      </c>
    </row>
    <row r="22" spans="1:8" x14ac:dyDescent="0.25">
      <c r="A22" s="1675"/>
      <c r="B22" s="1688"/>
      <c r="C22" s="1676"/>
      <c r="D22" s="1866"/>
      <c r="E22" s="1562">
        <f t="shared" ref="E22:E30" si="8">IF(D22&lt;=25000,D22,IF(D22&gt;25000,25000,0))</f>
        <v>0</v>
      </c>
      <c r="F22" s="1814">
        <f t="shared" ref="F22:F30" si="9">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815">
        <f t="shared" ref="G22:G30" si="10">IF(F22=0,0,D22-F22)</f>
        <v>0</v>
      </c>
    </row>
    <row r="23" spans="1:8" x14ac:dyDescent="0.25">
      <c r="A23" s="1675"/>
      <c r="B23" s="1688"/>
      <c r="C23" s="1676"/>
      <c r="D23" s="1866"/>
      <c r="E23" s="1562">
        <f t="shared" si="8"/>
        <v>0</v>
      </c>
      <c r="F23" s="1814">
        <f t="shared" si="9"/>
        <v>0</v>
      </c>
      <c r="G23" s="1815">
        <f t="shared" si="10"/>
        <v>0</v>
      </c>
    </row>
    <row r="24" spans="1:8" x14ac:dyDescent="0.25">
      <c r="A24" s="1675"/>
      <c r="B24" s="1688"/>
      <c r="C24" s="1676"/>
      <c r="D24" s="1866"/>
      <c r="E24" s="1562">
        <f t="shared" si="8"/>
        <v>0</v>
      </c>
      <c r="F24" s="1814">
        <f t="shared" si="9"/>
        <v>0</v>
      </c>
      <c r="G24" s="1815">
        <f t="shared" si="10"/>
        <v>0</v>
      </c>
    </row>
    <row r="25" spans="1:8" x14ac:dyDescent="0.25">
      <c r="A25" s="1675"/>
      <c r="B25" s="1688"/>
      <c r="C25" s="1676"/>
      <c r="D25" s="1866"/>
      <c r="E25" s="1562">
        <f t="shared" si="8"/>
        <v>0</v>
      </c>
      <c r="F25" s="1814">
        <f t="shared" si="9"/>
        <v>0</v>
      </c>
      <c r="G25" s="1815">
        <f t="shared" si="10"/>
        <v>0</v>
      </c>
    </row>
    <row r="26" spans="1:8" x14ac:dyDescent="0.25">
      <c r="A26" s="1675"/>
      <c r="B26" s="1688"/>
      <c r="C26" s="1676"/>
      <c r="D26" s="1866"/>
      <c r="E26" s="1562">
        <f t="shared" si="8"/>
        <v>0</v>
      </c>
      <c r="F26" s="1814">
        <f t="shared" si="9"/>
        <v>0</v>
      </c>
      <c r="G26" s="1815">
        <f t="shared" si="10"/>
        <v>0</v>
      </c>
    </row>
    <row r="27" spans="1:8" x14ac:dyDescent="0.25">
      <c r="A27" s="1675"/>
      <c r="B27" s="1859"/>
      <c r="C27" s="1676"/>
      <c r="D27" s="1866"/>
      <c r="E27" s="1562">
        <f t="shared" si="8"/>
        <v>0</v>
      </c>
      <c r="F27" s="1814">
        <f t="shared" si="9"/>
        <v>0</v>
      </c>
      <c r="G27" s="1815">
        <f t="shared" si="10"/>
        <v>0</v>
      </c>
    </row>
    <row r="28" spans="1:8" x14ac:dyDescent="0.25">
      <c r="A28" s="1675"/>
      <c r="B28" s="1859"/>
      <c r="C28" s="1676"/>
      <c r="D28" s="1866"/>
      <c r="E28" s="1562">
        <f t="shared" si="8"/>
        <v>0</v>
      </c>
      <c r="F28" s="1814">
        <f t="shared" si="9"/>
        <v>0</v>
      </c>
      <c r="G28" s="1815">
        <f t="shared" si="10"/>
        <v>0</v>
      </c>
    </row>
    <row r="29" spans="1:8" x14ac:dyDescent="0.25">
      <c r="A29" s="1675"/>
      <c r="B29" s="1688"/>
      <c r="C29" s="1676"/>
      <c r="D29" s="1866"/>
      <c r="E29" s="1562">
        <f t="shared" si="8"/>
        <v>0</v>
      </c>
      <c r="F29" s="1814">
        <f t="shared" si="9"/>
        <v>0</v>
      </c>
      <c r="G29" s="1815">
        <f t="shared" si="10"/>
        <v>0</v>
      </c>
    </row>
    <row r="30" spans="1:8" x14ac:dyDescent="0.25">
      <c r="A30" s="1675"/>
      <c r="B30" s="1688"/>
      <c r="C30" s="1676"/>
      <c r="D30" s="1866"/>
      <c r="E30" s="1562">
        <f t="shared" si="8"/>
        <v>0</v>
      </c>
      <c r="F30" s="1814">
        <f t="shared" si="9"/>
        <v>0</v>
      </c>
      <c r="G30" s="1815">
        <f t="shared" si="10"/>
        <v>0</v>
      </c>
    </row>
    <row r="31" spans="1:8" x14ac:dyDescent="0.25">
      <c r="A31" s="1675"/>
      <c r="B31" s="1688"/>
      <c r="C31" s="1676"/>
      <c r="D31" s="1866"/>
      <c r="E31" s="1562">
        <f t="shared" ref="E31:E35" si="11">IF(D31&lt;=25000,D31,IF(D31&gt;25000,25000,0))</f>
        <v>0</v>
      </c>
      <c r="F31" s="1814">
        <f t="shared" ref="F31:F35" si="12">IF(OR(B31="10-1000-100",B31="10-1000-200",B31="10-1000-300",B31="10-1000-400",B31="10-1000-600",B31="10-1000-800",B31="50-1000-200",B31="10-2100-100",B31="10-2100-200",B31="10-2100-300",B31="10-2100-400",B31="10-2100-600",B31="10-2100-800",B31="20-2100-200",B31="20-2190-100",B31="20-2190-200",B31="20-2190-300",B31="20-2190-400",B31="20-2190-600",B31="20-2190-800",B31="40-2190-100",B31="40-2190-200",B31="40-2190-300",B31="40-2190-400",B31="40-2190-600",B31="40-2190-800",B31="50-2190-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20-2540-800",B31="20-2540-100",B31="20-2540-200",B31="20-2540-300",B31="20-2540-400",B31="20-2540-600",B31="50-2540-200",B31="90-2540-100",B31="90-2540-200",B31="90-2540-300",B31="90-2540-400",B31="90-2540-600",B31="90-2540-800",B31="90-2540-800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20-2560-100",B31="20-2560-200",B31="20-2560-300",B31="20-2560-400",B31="20-2560-600",B31="20-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60-2900-100",B31="60-2900-200",B31="60-2900-300",B31="60-2900-400",B31="60-2900-600",B31="60-2900-800",B31="90-2900-100",B31="90-2900-200",B31="90-2900-300",B31="90-2900-400",B31="90-2900-600",B31="90-2900-800",B31="10-3000-100",B31="10-3000-200",B31="10-3000-300",B31="10-3000-400",B31="10-3000-600",B31="10-3000-800",B31="20-3000-100",B31="20-3000-200",B31="20-3000-300",B31="20-3000-400",B31="20-3000-600",B31="20-3000-800",B31="40-3000-100",B31="40-3000-200",B31="40-3000-300",B31="40-3000-400",B31="40-3000-600",B31="40-3000-800",B31="50-3000-200"),E31,0)</f>
        <v>0</v>
      </c>
      <c r="G31" s="1815">
        <f t="shared" ref="G31:G35" si="13">IF(F31=0,0,D31-F31)</f>
        <v>0</v>
      </c>
    </row>
    <row r="32" spans="1:8" x14ac:dyDescent="0.25">
      <c r="A32" s="1675"/>
      <c r="B32" s="1688"/>
      <c r="C32" s="1676"/>
      <c r="D32" s="1866"/>
      <c r="E32" s="1562">
        <f t="shared" si="11"/>
        <v>0</v>
      </c>
      <c r="F32" s="1814">
        <f t="shared" si="12"/>
        <v>0</v>
      </c>
      <c r="G32" s="1815">
        <f t="shared" si="13"/>
        <v>0</v>
      </c>
    </row>
    <row r="33" spans="1:7" x14ac:dyDescent="0.25">
      <c r="A33" s="1675"/>
      <c r="B33" s="1688"/>
      <c r="C33" s="1676"/>
      <c r="D33" s="1866"/>
      <c r="E33" s="1562">
        <f t="shared" si="11"/>
        <v>0</v>
      </c>
      <c r="F33" s="1814">
        <f t="shared" si="12"/>
        <v>0</v>
      </c>
      <c r="G33" s="1815">
        <f t="shared" si="13"/>
        <v>0</v>
      </c>
    </row>
    <row r="34" spans="1:7" x14ac:dyDescent="0.25">
      <c r="A34" s="1675"/>
      <c r="B34" s="1688"/>
      <c r="C34" s="1676"/>
      <c r="D34" s="1866"/>
      <c r="E34" s="1562">
        <f t="shared" si="11"/>
        <v>0</v>
      </c>
      <c r="F34" s="1814">
        <f t="shared" si="12"/>
        <v>0</v>
      </c>
      <c r="G34" s="1815">
        <f t="shared" si="13"/>
        <v>0</v>
      </c>
    </row>
    <row r="35" spans="1:7" x14ac:dyDescent="0.25">
      <c r="A35" s="1675"/>
      <c r="B35" s="1688"/>
      <c r="C35" s="1676"/>
      <c r="D35" s="1866"/>
      <c r="E35" s="1562">
        <f t="shared" si="11"/>
        <v>0</v>
      </c>
      <c r="F35" s="1814">
        <f t="shared" si="12"/>
        <v>0</v>
      </c>
      <c r="G35" s="1815">
        <f t="shared" si="13"/>
        <v>0</v>
      </c>
    </row>
    <row r="36" spans="1:7" x14ac:dyDescent="0.25">
      <c r="A36" s="1675"/>
      <c r="B36" s="1687"/>
      <c r="C36" s="1676"/>
      <c r="D36" s="1866"/>
      <c r="E36" s="1562">
        <f t="shared" si="2"/>
        <v>0</v>
      </c>
      <c r="F36" s="1814">
        <f t="shared" si="3"/>
        <v>0</v>
      </c>
      <c r="G36" s="1815">
        <f t="shared" si="4"/>
        <v>0</v>
      </c>
    </row>
    <row r="37" spans="1:7" x14ac:dyDescent="0.25">
      <c r="A37" s="1818" t="s">
        <v>158</v>
      </c>
      <c r="B37" s="1819"/>
      <c r="C37" s="1820"/>
      <c r="D37" s="1816">
        <f>SUM(D17:D36)</f>
        <v>79985</v>
      </c>
      <c r="E37" s="1563">
        <f t="shared" si="1"/>
        <v>25000</v>
      </c>
      <c r="F37" s="1816">
        <f>SUM(F17:F36)</f>
        <v>25000</v>
      </c>
      <c r="G37" s="1817">
        <f>SUM(G17:G36)</f>
        <v>54985</v>
      </c>
    </row>
  </sheetData>
  <sheetProtection sheet="1" selectLockedCells="1"/>
  <mergeCells count="6">
    <mergeCell ref="A13:G13"/>
    <mergeCell ref="A4:G5"/>
    <mergeCell ref="A11:G11"/>
    <mergeCell ref="A7:G7"/>
    <mergeCell ref="A8:G8"/>
    <mergeCell ref="A9:G9"/>
  </mergeCells>
  <pageMargins left="0.2" right="0.2" top="0.5" bottom="0.4" header="0.3" footer="0.3"/>
  <pageSetup scale="83" firstPageNumber="30" fitToHeight="0" orientation="landscape" r:id="rId1"/>
  <headerFooter>
    <oddFooter>&amp;C29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81991</v>
      </c>
      <c r="F10" s="975"/>
      <c r="G10" s="976"/>
      <c r="H10" s="162"/>
      <c r="I10" s="162"/>
    </row>
    <row r="11" spans="1:9" s="669" customFormat="1" ht="22.5" customHeight="1" x14ac:dyDescent="0.2">
      <c r="A11" s="2303" t="s">
        <v>1945</v>
      </c>
      <c r="B11" s="2304"/>
      <c r="C11" s="2304"/>
      <c r="D11" s="2305"/>
      <c r="E11" s="978">
        <v>13184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3273715</v>
      </c>
      <c r="F19" s="1821"/>
      <c r="G19" s="1823">
        <f>'Expenditures 15-22'!K33-SUM('Expenditures 15-22'!G33,'Expenditures 15-22'!I33)+'Expenditures 15-22'!D229</f>
        <v>3273715</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94441</v>
      </c>
      <c r="F21" s="1824"/>
      <c r="G21" s="1827">
        <f>'Expenditures 15-22'!K42-SUM('Expenditures 15-22'!G42,'Expenditures 15-22'!I42)+'Expenditures 15-22'!K120-SUM('Expenditures 15-22'!G120,'Expenditures 15-22'!I120)+'Expenditures 15-22'!K180-SUM('Expenditures 15-22'!G180,'Expenditures 15-22'!I180)+'Expenditures 15-22'!D238</f>
        <v>94441</v>
      </c>
      <c r="H21" s="988"/>
      <c r="I21" s="162"/>
    </row>
    <row r="22" spans="1:9" s="669" customFormat="1" ht="12" customHeight="1" x14ac:dyDescent="0.2">
      <c r="A22" s="995" t="s">
        <v>585</v>
      </c>
      <c r="B22" s="996"/>
      <c r="C22" s="994">
        <v>2200</v>
      </c>
      <c r="D22" s="1824"/>
      <c r="E22" s="1826">
        <f>'Expenditures 15-22'!K47-SUM('Expenditures 15-22'!G47,'Expenditures 15-22'!I47)+'Expenditures 15-22'!D243</f>
        <v>93935</v>
      </c>
      <c r="F22" s="1824"/>
      <c r="G22" s="1827">
        <f>'Expenditures 15-22'!K47-SUM('Expenditures 15-22'!G47,'Expenditures 15-22'!I47)+'Expenditures 15-22'!D243</f>
        <v>93935</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714274</v>
      </c>
      <c r="F23" s="1824"/>
      <c r="G23" s="1826">
        <f>'Expenditures 15-22'!K53-SUM('Expenditures 15-22'!G53,'Expenditures 15-22'!I53)+'Expenditures 15-22'!D257+'Expenditures 15-22'!K330-SUM('Expenditures 15-22'!G330,'Expenditures 15-22'!I330)</f>
        <v>714274</v>
      </c>
      <c r="H23" s="988"/>
      <c r="I23" s="162"/>
    </row>
    <row r="24" spans="1:9" s="669" customFormat="1" ht="12" customHeight="1" x14ac:dyDescent="0.2">
      <c r="A24" s="995" t="s">
        <v>587</v>
      </c>
      <c r="B24" s="996"/>
      <c r="C24" s="994">
        <v>2400</v>
      </c>
      <c r="D24" s="1824"/>
      <c r="E24" s="1826">
        <f>'Expenditures 15-22'!K57-SUM('Expenditures 15-22'!G57,'Expenditures 15-22'!I57)+'Expenditures 15-22'!D261</f>
        <v>321114</v>
      </c>
      <c r="F24" s="1824"/>
      <c r="G24" s="1827">
        <f>'Expenditures 15-22'!K57-SUM('Expenditures 15-22'!G57,'Expenditures 15-22'!I57)+'Expenditures 15-22'!D261</f>
        <v>321114</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23146</v>
      </c>
      <c r="E27" s="1826">
        <f>E8</f>
        <v>0</v>
      </c>
      <c r="F27" s="1826">
        <f>'Expenditures 15-22'!K60-SUM('Expenditures 15-22'!G60,'Expenditures 15-22'!I60)+'Expenditures 15-22'!D264-E8</f>
        <v>23146</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516889</v>
      </c>
      <c r="F28" s="1828">
        <f>'Expenditures 15-22'!K61-SUM('Expenditures 15-22'!G61,'Expenditures 15-22'!I61)+'Expenditures 15-22'!K124-SUM('Expenditures 15-22'!G124,'Expenditures 15-22'!I124)+'Expenditures 15-22'!D266-E9</f>
        <v>516889</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124161</v>
      </c>
      <c r="F29" s="1824"/>
      <c r="G29" s="1827">
        <f>'Expenditures 15-22'!K62-SUM('Expenditures 15-22'!G62,'Expenditures 15-22'!I62)+'Expenditures 15-22'!K125-SUM('Expenditures 15-22'!G125,'Expenditures 15-22'!I125)+'Expenditures 15-22'!K182-SUM('Expenditures 15-22'!G182,'Expenditures 15-22'!I182)+'Expenditures 15-22'!D267</f>
        <v>124161</v>
      </c>
      <c r="H29" s="986"/>
    </row>
    <row r="30" spans="1:9" ht="12" customHeight="1" x14ac:dyDescent="0.2">
      <c r="A30" s="995" t="s">
        <v>102</v>
      </c>
      <c r="B30" s="998"/>
      <c r="C30" s="994">
        <v>2560</v>
      </c>
      <c r="D30" s="1824"/>
      <c r="E30" s="1826">
        <f>'Expenditures 15-22'!K63-SUM('Expenditures 15-22'!G63,'Expenditures 15-22'!I63)+'Expenditures 15-22'!D268-E10</f>
        <v>118599</v>
      </c>
      <c r="F30" s="1824"/>
      <c r="G30" s="1826">
        <f>'Expenditures 15-22'!K63-SUM('Expenditures 15-22'!G63,'Expenditures 15-22'!I63)+'Expenditures 15-22'!D268-E10</f>
        <v>118599</v>
      </c>
    </row>
    <row r="31" spans="1:9" ht="12" customHeight="1" x14ac:dyDescent="0.2">
      <c r="A31" s="995" t="s">
        <v>103</v>
      </c>
      <c r="B31" s="998"/>
      <c r="C31" s="994">
        <v>2570</v>
      </c>
      <c r="D31" s="1826">
        <f>'Expenditures 15-22'!K64-SUM('Expenditures 15-22'!G64,'Expenditures 15-22'!I64)+'Expenditures 15-22'!D269-E12</f>
        <v>28489</v>
      </c>
      <c r="E31" s="1826">
        <f>E12</f>
        <v>0</v>
      </c>
      <c r="F31" s="1826">
        <f>'Expenditures 15-22'!K64-SUM('Expenditures 15-22'!G64,'Expenditures 15-22'!I64)+'Expenditures 15-22'!D269-E12</f>
        <v>28489</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2081</v>
      </c>
      <c r="F35" s="1824"/>
      <c r="G35" s="1826">
        <f>'Expenditures 15-22'!K69-SUM('Expenditures 15-22'!G69,'Expenditures 15-22'!I69)+'Expenditures 15-22'!D274</f>
        <v>2081</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29512</v>
      </c>
      <c r="F39" s="1824"/>
      <c r="G39" s="1826">
        <f>'Expenditures 15-22'!K75-SUM('Expenditures 15-22'!G75,'Expenditures 15-22'!I75)+'Expenditures 15-22'!K130-SUM('Expenditures 15-22'!G130,'Expenditures 15-22'!I130)+'Expenditures 15-22'!K185-SUM('Expenditures 15-22'!G185,'Expenditures 15-22'!I185)+'Expenditures 15-22'!D280</f>
        <v>29512</v>
      </c>
    </row>
    <row r="40" spans="1:7" ht="12" customHeight="1" x14ac:dyDescent="0.2">
      <c r="A40" s="991" t="s">
        <v>1930</v>
      </c>
      <c r="B40" s="992"/>
      <c r="C40" s="994"/>
      <c r="D40" s="1824"/>
      <c r="E40" s="1828">
        <f>-'Contracts Paid in CY 29'!G37</f>
        <v>-54985</v>
      </c>
      <c r="F40" s="1824"/>
      <c r="G40" s="1828">
        <f>-'Contracts Paid in CY 29'!G37</f>
        <v>-54985</v>
      </c>
    </row>
    <row r="41" spans="1:7" ht="12" customHeight="1" x14ac:dyDescent="0.2">
      <c r="A41" s="999" t="s">
        <v>158</v>
      </c>
      <c r="B41" s="1000"/>
      <c r="C41" s="1001"/>
      <c r="D41" s="1828">
        <f>SUM(D19:D39)</f>
        <v>51635</v>
      </c>
      <c r="E41" s="1828">
        <f>SUM(E19:E40)</f>
        <v>5233736</v>
      </c>
      <c r="F41" s="1828">
        <f>SUM(F19:F39)</f>
        <v>568524</v>
      </c>
      <c r="G41" s="1828">
        <f>SUM(G19:G40)</f>
        <v>4716847</v>
      </c>
    </row>
    <row r="42" spans="1:7" x14ac:dyDescent="0.2">
      <c r="A42" s="988"/>
      <c r="B42" s="162"/>
      <c r="C42" s="1002"/>
      <c r="D42" s="2301" t="s">
        <v>543</v>
      </c>
      <c r="E42" s="2302"/>
      <c r="F42" s="1003" t="s">
        <v>544</v>
      </c>
      <c r="G42" s="1004"/>
    </row>
    <row r="43" spans="1:7" ht="12" customHeight="1" x14ac:dyDescent="0.2">
      <c r="A43" s="988"/>
      <c r="B43" s="162"/>
      <c r="C43" s="1002"/>
      <c r="D43" s="1829" t="s">
        <v>493</v>
      </c>
      <c r="E43" s="1830">
        <f>D41</f>
        <v>51635</v>
      </c>
      <c r="F43" s="1829" t="s">
        <v>495</v>
      </c>
      <c r="G43" s="1830">
        <f>F41</f>
        <v>568524</v>
      </c>
    </row>
    <row r="44" spans="1:7" ht="12" customHeight="1" x14ac:dyDescent="0.2">
      <c r="A44" s="988"/>
      <c r="B44" s="162"/>
      <c r="C44" s="1002"/>
      <c r="D44" s="1829" t="s">
        <v>494</v>
      </c>
      <c r="E44" s="1830">
        <f>E41</f>
        <v>5233736</v>
      </c>
      <c r="F44" s="1829" t="s">
        <v>494</v>
      </c>
      <c r="G44" s="1830">
        <f>G41</f>
        <v>4716847</v>
      </c>
    </row>
    <row r="45" spans="1:7" ht="12" customHeight="1" x14ac:dyDescent="0.2">
      <c r="A45" s="988"/>
      <c r="B45" s="162"/>
      <c r="C45" s="162"/>
      <c r="D45" s="1831" t="s">
        <v>1063</v>
      </c>
      <c r="E45" s="1832">
        <f>(E43/E44)</f>
        <v>9.8658014084011883E-3</v>
      </c>
      <c r="F45" s="1831" t="s">
        <v>1063</v>
      </c>
      <c r="G45" s="1832">
        <f>(G43/G44)</f>
        <v>0.12053051540573607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D1"/>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0" t="s">
        <v>1446</v>
      </c>
      <c r="B1" s="2320"/>
      <c r="C1" s="2320"/>
      <c r="D1" s="2320"/>
      <c r="E1" s="2320"/>
      <c r="F1" s="232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1" t="s">
        <v>1627</v>
      </c>
      <c r="B5" s="2322"/>
      <c r="C5" s="2323"/>
      <c r="D5" s="2323"/>
      <c r="E5" s="2323"/>
      <c r="F5" s="2323"/>
    </row>
    <row r="6" spans="1:10" ht="12" customHeight="1" x14ac:dyDescent="0.25">
      <c r="A6" s="1873"/>
      <c r="B6" s="1874"/>
      <c r="C6" s="2324" t="str">
        <f>COVER!A17</f>
        <v xml:space="preserve">Pawnee CUSD 11                      </v>
      </c>
      <c r="D6" s="2324"/>
      <c r="E6" s="2324"/>
      <c r="F6" s="1875"/>
    </row>
    <row r="7" spans="1:10" ht="11.25" customHeight="1" thickBot="1" x14ac:dyDescent="0.3">
      <c r="A7" s="1873"/>
      <c r="B7" s="1874"/>
      <c r="C7" s="2325">
        <f>COVER!A13</f>
        <v>51084011026</v>
      </c>
      <c r="D7" s="2325"/>
      <c r="E7" s="232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2084</v>
      </c>
      <c r="D19" s="1888" t="s">
        <v>2084</v>
      </c>
      <c r="E19" s="1891"/>
      <c r="F19" s="1890" t="s">
        <v>2098</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2084</v>
      </c>
      <c r="D26" s="1888" t="s">
        <v>2084</v>
      </c>
      <c r="E26" s="1891"/>
      <c r="F26" s="1890" t="s">
        <v>2099</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t="s">
        <v>2084</v>
      </c>
      <c r="D29" s="1888" t="s">
        <v>2084</v>
      </c>
      <c r="E29" s="1891"/>
      <c r="F29" s="1890" t="s">
        <v>2100</v>
      </c>
      <c r="H29" s="1901">
        <f t="shared" si="0"/>
        <v>5</v>
      </c>
      <c r="I29" s="1901">
        <f t="shared" si="1"/>
        <v>5</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2084</v>
      </c>
      <c r="D31" s="1888" t="s">
        <v>2084</v>
      </c>
      <c r="E31" s="1891"/>
      <c r="F31" s="1890" t="s">
        <v>2101</v>
      </c>
      <c r="H31" s="1901">
        <f t="shared" si="0"/>
        <v>5</v>
      </c>
      <c r="I31" s="1901">
        <f t="shared" si="1"/>
        <v>5</v>
      </c>
      <c r="J31" s="1901">
        <f t="shared" si="2"/>
        <v>0</v>
      </c>
      <c r="L31" s="1892"/>
    </row>
    <row r="32" spans="1:12" ht="12" customHeight="1" x14ac:dyDescent="0.2">
      <c r="A32" s="1886" t="s">
        <v>1621</v>
      </c>
      <c r="B32" s="1887"/>
      <c r="C32" s="1888" t="s">
        <v>2084</v>
      </c>
      <c r="D32" s="1888" t="s">
        <v>2084</v>
      </c>
      <c r="E32" s="1891"/>
      <c r="F32" s="1890" t="s">
        <v>2102</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25</v>
      </c>
      <c r="I34" s="1901">
        <f>SUM(I11:I32)</f>
        <v>25</v>
      </c>
      <c r="J34" s="1901">
        <f>SUM(J11:J32)</f>
        <v>0</v>
      </c>
      <c r="K34" s="1901">
        <f>SUM(H34:J34)</f>
        <v>50</v>
      </c>
    </row>
    <row r="35" spans="1:11" ht="12" customHeight="1" x14ac:dyDescent="0.2">
      <c r="A35" s="1894" t="s">
        <v>1459</v>
      </c>
      <c r="B35" s="1895"/>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6"/>
      <c r="B39" s="1896"/>
      <c r="C39" s="1896"/>
      <c r="D39" s="1896"/>
      <c r="E39" s="1896"/>
      <c r="F39" s="1896"/>
    </row>
    <row r="40" spans="1:11" s="1893" customFormat="1" ht="12" customHeight="1" x14ac:dyDescent="0.25">
      <c r="A40" s="1897" t="s">
        <v>1458</v>
      </c>
      <c r="B40" s="1898"/>
      <c r="C40" s="2315"/>
      <c r="D40" s="2315"/>
      <c r="E40" s="2315"/>
      <c r="F40" s="2316"/>
      <c r="H40" s="1902"/>
      <c r="I40" s="1902"/>
      <c r="J40" s="1902"/>
      <c r="K40" s="1902"/>
    </row>
    <row r="41" spans="1:11" s="1893" customFormat="1" ht="12" customHeight="1" x14ac:dyDescent="0.25">
      <c r="A41" s="2317"/>
      <c r="B41" s="2318"/>
      <c r="C41" s="2318"/>
      <c r="D41" s="2318"/>
      <c r="E41" s="2318"/>
      <c r="F41" s="2319"/>
      <c r="H41" s="1902"/>
      <c r="I41" s="1902"/>
      <c r="J41" s="1902"/>
      <c r="K41" s="1902"/>
    </row>
    <row r="42" spans="1:11" s="1893" customFormat="1" ht="12" customHeight="1" x14ac:dyDescent="0.25">
      <c r="A42" s="2317"/>
      <c r="B42" s="2318"/>
      <c r="C42" s="2318"/>
      <c r="D42" s="2318"/>
      <c r="E42" s="2318"/>
      <c r="F42" s="2319"/>
      <c r="H42" s="1902"/>
      <c r="I42" s="1902"/>
      <c r="J42" s="1902"/>
      <c r="K42" s="1902"/>
    </row>
    <row r="43" spans="1:11" s="1893" customFormat="1" ht="15" x14ac:dyDescent="0.25">
      <c r="A43" s="2306"/>
      <c r="B43" s="2307"/>
      <c r="C43" s="2307"/>
      <c r="D43" s="2307"/>
      <c r="E43" s="2307"/>
      <c r="F43" s="2308"/>
      <c r="H43" s="1902"/>
      <c r="I43" s="1902"/>
      <c r="J43" s="1902"/>
      <c r="K43" s="1902"/>
    </row>
    <row r="44" spans="1:11" s="1893" customFormat="1" ht="12" hidden="1" customHeight="1" x14ac:dyDescent="0.25">
      <c r="A44" s="2306"/>
      <c r="B44" s="2307"/>
      <c r="C44" s="2307"/>
      <c r="D44" s="2307"/>
      <c r="E44" s="2307"/>
      <c r="F44" s="2308"/>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D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3" t="str">
        <f>COVER!A17</f>
        <v xml:space="preserve">Pawnee CUSD 11                      </v>
      </c>
      <c r="J6" s="2334"/>
      <c r="Q6" s="1685"/>
    </row>
    <row r="7" spans="1:17" x14ac:dyDescent="0.2">
      <c r="A7" s="2335" t="s">
        <v>924</v>
      </c>
      <c r="B7" s="2336"/>
      <c r="C7" s="2336"/>
      <c r="D7" s="2336"/>
      <c r="E7" s="2337"/>
      <c r="F7" s="1018"/>
      <c r="G7" s="1010"/>
      <c r="H7" s="1017" t="s">
        <v>390</v>
      </c>
      <c r="I7" s="2338">
        <f>COVER!A13</f>
        <v>51084011026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136836</v>
      </c>
      <c r="F12" s="1040"/>
      <c r="G12" s="1833">
        <f t="shared" ref="G12:G18" si="0">SUM(E12:F12)</f>
        <v>136836</v>
      </c>
      <c r="H12" s="1041">
        <v>141434</v>
      </c>
      <c r="I12" s="1040"/>
      <c r="J12" s="1833">
        <f t="shared" ref="J12:J18" si="1">SUM(H12:I12)</f>
        <v>141434</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28489</v>
      </c>
      <c r="F16" s="1040"/>
      <c r="G16" s="1833">
        <f t="shared" si="0"/>
        <v>28489</v>
      </c>
      <c r="H16" s="1041">
        <v>24900</v>
      </c>
      <c r="I16" s="1040"/>
      <c r="J16" s="1833">
        <f t="shared" si="1"/>
        <v>24900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2" t="s">
        <v>7</v>
      </c>
      <c r="C18" s="2343"/>
      <c r="D18" s="2344"/>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165325</v>
      </c>
      <c r="F19" s="1835">
        <f t="shared" si="2"/>
        <v>0</v>
      </c>
      <c r="G19" s="1835">
        <f t="shared" si="2"/>
        <v>165325</v>
      </c>
      <c r="H19" s="1835">
        <f t="shared" si="2"/>
        <v>166334</v>
      </c>
      <c r="I19" s="1835">
        <f t="shared" si="2"/>
        <v>0</v>
      </c>
      <c r="J19" s="1835">
        <f t="shared" si="2"/>
        <v>166334</v>
      </c>
    </row>
    <row r="20" spans="1:10" ht="13.5" thickTop="1" x14ac:dyDescent="0.2">
      <c r="A20" s="1036">
        <v>9</v>
      </c>
      <c r="B20" s="2345" t="s">
        <v>1703</v>
      </c>
      <c r="C20" s="2345"/>
      <c r="D20" s="2346"/>
      <c r="E20" s="1047"/>
      <c r="F20" s="1047"/>
      <c r="G20" s="1047"/>
      <c r="H20" s="1047"/>
      <c r="I20" s="1047"/>
      <c r="J20" s="1836">
        <f>IF(AND(G19&gt;0,J19&gt;0),(((J19-G19)/G19)),"Enter Budget Data")</f>
        <v>6.1031301980946622E-3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 sqref="B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2104</v>
      </c>
    </row>
    <row r="6" spans="1:2" x14ac:dyDescent="0.2">
      <c r="A6" s="1069">
        <v>2</v>
      </c>
      <c r="B6" s="329" t="s">
        <v>2105</v>
      </c>
    </row>
    <row r="7" spans="1:2" x14ac:dyDescent="0.2">
      <c r="A7" s="1069">
        <v>3</v>
      </c>
      <c r="B7" s="329" t="s">
        <v>2106</v>
      </c>
    </row>
    <row r="8" spans="1:2" x14ac:dyDescent="0.2">
      <c r="A8" s="1069">
        <v>4</v>
      </c>
      <c r="B8" s="329" t="s">
        <v>2107</v>
      </c>
    </row>
    <row r="9" spans="1:2" x14ac:dyDescent="0.2">
      <c r="A9" s="1069">
        <v>5</v>
      </c>
      <c r="B9" s="329" t="s">
        <v>2108</v>
      </c>
    </row>
    <row r="10" spans="1:2" x14ac:dyDescent="0.2">
      <c r="A10" s="1069">
        <v>6</v>
      </c>
      <c r="B10" s="329" t="s">
        <v>2109</v>
      </c>
    </row>
    <row r="11" spans="1:2" x14ac:dyDescent="0.2">
      <c r="A11" s="1069">
        <v>7</v>
      </c>
      <c r="B11" s="329" t="s">
        <v>2110</v>
      </c>
    </row>
    <row r="12" spans="1:2" x14ac:dyDescent="0.2">
      <c r="A12" s="1069">
        <v>8</v>
      </c>
      <c r="B12" s="329" t="s">
        <v>2111</v>
      </c>
    </row>
    <row r="13" spans="1:2" x14ac:dyDescent="0.2">
      <c r="A13" s="1069">
        <v>9</v>
      </c>
    </row>
    <row r="14" spans="1:2" x14ac:dyDescent="0.2">
      <c r="A14" s="1069">
        <v>10</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 xml:space="preserve">Pawnee CUSD 11                      </v>
      </c>
    </row>
    <row r="65" spans="2:2" x14ac:dyDescent="0.2">
      <c r="B65" s="1071">
        <f>COVER!A13</f>
        <v>51084011026</v>
      </c>
    </row>
  </sheetData>
  <phoneticPr fontId="13" type="noConversion"/>
  <pageMargins left="0.7"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D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1085850</xdr:colOff>
                <xdr:row>4</xdr:row>
                <xdr:rowOff>76200</xdr:rowOff>
              </from>
              <to>
                <xdr:col>1</xdr:col>
                <xdr:colOff>2000250</xdr:colOff>
                <xdr:row>8</xdr:row>
                <xdr:rowOff>114300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4470358</v>
      </c>
      <c r="C8" s="1837">
        <f>'Acct Summary 7-8'!D8</f>
        <v>519039</v>
      </c>
      <c r="D8" s="1837">
        <f>'Acct Summary 7-8'!F8</f>
        <v>177330</v>
      </c>
      <c r="E8" s="1837">
        <f>'Acct Summary 7-8'!I8</f>
        <v>40907</v>
      </c>
      <c r="F8" s="1837">
        <f>SUM(B8:E8)</f>
        <v>5207634</v>
      </c>
    </row>
    <row r="9" spans="1:8" s="1080" customFormat="1" ht="14.25" customHeight="1" thickBot="1" x14ac:dyDescent="0.25">
      <c r="A9" s="1079" t="s">
        <v>1436</v>
      </c>
      <c r="B9" s="1838">
        <f>'Acct Summary 7-8'!C17</f>
        <v>4603009</v>
      </c>
      <c r="C9" s="1838">
        <f>'Acct Summary 7-8'!D17</f>
        <v>477523</v>
      </c>
      <c r="D9" s="1838">
        <f>'Acct Summary 7-8'!F17</f>
        <v>120836</v>
      </c>
      <c r="E9" s="1837"/>
      <c r="F9" s="1837">
        <f>SUM(B9:E9)</f>
        <v>5201368</v>
      </c>
    </row>
    <row r="10" spans="1:8" s="1080" customFormat="1" ht="14.25" thickTop="1" thickBot="1" x14ac:dyDescent="0.25">
      <c r="A10" s="1081" t="s">
        <v>1437</v>
      </c>
      <c r="B10" s="1839">
        <f>(B8-B9)</f>
        <v>-132651</v>
      </c>
      <c r="C10" s="1839">
        <f>(C8-C9)</f>
        <v>41516</v>
      </c>
      <c r="D10" s="1839">
        <f>(D8-D9)</f>
        <v>56494</v>
      </c>
      <c r="E10" s="1838">
        <f>(E8-E9)</f>
        <v>40907</v>
      </c>
      <c r="F10" s="1840">
        <f>SUM(F8-F9)</f>
        <v>6266</v>
      </c>
    </row>
    <row r="11" spans="1:8" s="1080" customFormat="1" ht="14.25" thickTop="1" thickBot="1" x14ac:dyDescent="0.25">
      <c r="A11" s="1082" t="s">
        <v>1785</v>
      </c>
      <c r="B11" s="1841">
        <f>'Acct Summary 7-8'!C81</f>
        <v>3373034</v>
      </c>
      <c r="C11" s="1841">
        <f>'Acct Summary 7-8'!D81</f>
        <v>756790</v>
      </c>
      <c r="D11" s="1841">
        <f>'Acct Summary 7-8'!F81</f>
        <v>461683</v>
      </c>
      <c r="E11" s="1841">
        <f>'Acct Summary 7-8'!I81</f>
        <v>895006</v>
      </c>
      <c r="F11" s="1842">
        <f>SUM(B11:E11)</f>
        <v>5486513</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29'!D37&gt;0,"OK","PLEASE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51084011026</v>
      </c>
    </row>
    <row r="3" spans="1:2" x14ac:dyDescent="0.2">
      <c r="A3" t="s">
        <v>1013</v>
      </c>
      <c r="B3" s="138" t="str">
        <f>COVER!A15</f>
        <v>Sangamon</v>
      </c>
    </row>
    <row r="4" spans="1:2" x14ac:dyDescent="0.2">
      <c r="A4" t="s">
        <v>1064</v>
      </c>
      <c r="B4" s="138" t="str">
        <f>COVER!A17</f>
        <v xml:space="preserve">Pawnee CUSD 11                      </v>
      </c>
    </row>
    <row r="5" spans="1:2" x14ac:dyDescent="0.2">
      <c r="A5" t="s">
        <v>728</v>
      </c>
      <c r="B5" s="138" t="str">
        <f>COVER!A38</f>
        <v>Gary Alexander, Superintendent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060-004845</v>
      </c>
    </row>
    <row r="16" spans="1:2" x14ac:dyDescent="0.2">
      <c r="A16" t="s">
        <v>442</v>
      </c>
      <c r="B16" s="138" t="str">
        <f>COVER!T13</f>
        <v>Pehlman and Dold, P.C.</v>
      </c>
    </row>
    <row r="17" spans="1:2" x14ac:dyDescent="0.2">
      <c r="A17" t="s">
        <v>939</v>
      </c>
      <c r="B17" s="138" t="str">
        <f>COVER!T15</f>
        <v>Dorinda L Fitzgerald</v>
      </c>
    </row>
    <row r="18" spans="1:2" x14ac:dyDescent="0.2">
      <c r="A18" t="s">
        <v>1212</v>
      </c>
      <c r="B18" s="138" t="str">
        <f>COVER!T17</f>
        <v>100 North Amos Avenue</v>
      </c>
    </row>
    <row r="19" spans="1:2" x14ac:dyDescent="0.2">
      <c r="A19" t="s">
        <v>941</v>
      </c>
      <c r="B19" s="138" t="str">
        <f>COVER!T25</f>
        <v>dfitzgerald@p-dcpas.com</v>
      </c>
    </row>
    <row r="20" spans="1:2" x14ac:dyDescent="0.2">
      <c r="A20" t="s">
        <v>942</v>
      </c>
      <c r="B20" s="138" t="str">
        <f>COVER!T19</f>
        <v>Springfield</v>
      </c>
    </row>
    <row r="21" spans="1:2" x14ac:dyDescent="0.2">
      <c r="A21" t="s">
        <v>500</v>
      </c>
      <c r="B21" s="138" t="str">
        <f>COVER!X19</f>
        <v>IL</v>
      </c>
    </row>
    <row r="22" spans="1:2" x14ac:dyDescent="0.2">
      <c r="A22" t="s">
        <v>943</v>
      </c>
      <c r="B22" s="138">
        <f>COVER!Z19</f>
        <v>62702</v>
      </c>
    </row>
    <row r="23" spans="1:2" x14ac:dyDescent="0.2">
      <c r="A23" t="s">
        <v>1214</v>
      </c>
      <c r="B23" s="138" t="str">
        <f>COVER!T21</f>
        <v>(217) 787-0563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577490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3377559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4525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4525</v>
      </c>
      <c r="C91" s="2" t="s">
        <v>594</v>
      </c>
      <c r="D91" s="2" t="str">
        <f t="shared" si="0"/>
        <v>Error?</v>
      </c>
    </row>
    <row r="92" spans="1:4" x14ac:dyDescent="0.2">
      <c r="A92" s="5">
        <v>31</v>
      </c>
      <c r="B92" s="138">
        <f>'Assets-Liab 5-6'!C39</f>
        <v>3358513</v>
      </c>
      <c r="D92" s="2" t="str">
        <f t="shared" si="0"/>
        <v>Error?</v>
      </c>
    </row>
    <row r="93" spans="1:4" x14ac:dyDescent="0.2">
      <c r="A93" s="5">
        <v>32</v>
      </c>
      <c r="B93" s="138">
        <f>'Assets-Liab 5-6'!C41</f>
        <v>3377559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756790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756790</v>
      </c>
      <c r="D123" s="2" t="str">
        <f t="shared" si="0"/>
        <v>Error?</v>
      </c>
    </row>
    <row r="124" spans="1:4" x14ac:dyDescent="0.2">
      <c r="A124" s="5">
        <v>63</v>
      </c>
      <c r="B124" s="138">
        <f>'Assets-Liab 5-6'!D41</f>
        <v>756790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82829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82829</v>
      </c>
      <c r="D140" s="2" t="str">
        <f t="shared" si="1"/>
        <v>Error?</v>
      </c>
    </row>
    <row r="141" spans="1:4" x14ac:dyDescent="0.2">
      <c r="A141" s="5">
        <v>80</v>
      </c>
      <c r="B141" s="138">
        <f>'Assets-Liab 5-6'!E41</f>
        <v>82829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461683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461683</v>
      </c>
      <c r="D170" s="2" t="str">
        <f t="shared" si="1"/>
        <v>Error?</v>
      </c>
    </row>
    <row r="171" spans="1:4" x14ac:dyDescent="0.2">
      <c r="A171" s="5">
        <v>110</v>
      </c>
      <c r="B171" s="138">
        <f>'Assets-Liab 5-6'!F41</f>
        <v>461683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140846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140846</v>
      </c>
      <c r="D189" s="2" t="str">
        <f t="shared" si="1"/>
        <v>Error?</v>
      </c>
    </row>
    <row r="190" spans="1:4" x14ac:dyDescent="0.2">
      <c r="A190" s="5">
        <v>129</v>
      </c>
      <c r="B190" s="138">
        <f>'Assets-Liab 5-6'!G41</f>
        <v>140846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14412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14412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68728</v>
      </c>
      <c r="D273" s="2" t="str">
        <f t="shared" si="3"/>
        <v>Error?</v>
      </c>
    </row>
    <row r="274" spans="1:4" x14ac:dyDescent="0.2">
      <c r="A274" s="5">
        <v>213</v>
      </c>
      <c r="B274" s="138">
        <f>'Assets-Liab 5-6'!M17</f>
        <v>8892310</v>
      </c>
      <c r="D274" s="2" t="str">
        <f t="shared" si="3"/>
        <v>Error?</v>
      </c>
    </row>
    <row r="275" spans="1:4" x14ac:dyDescent="0.2">
      <c r="A275" s="5">
        <v>214</v>
      </c>
      <c r="B275" s="138">
        <f>'Assets-Liab 5-6'!M18</f>
        <v>726464</v>
      </c>
      <c r="D275" s="2" t="str">
        <f t="shared" si="3"/>
        <v>Error?</v>
      </c>
    </row>
    <row r="276" spans="1:4" x14ac:dyDescent="0.2">
      <c r="A276" s="5">
        <v>215</v>
      </c>
      <c r="B276" s="138">
        <f>'Assets-Liab 5-6'!M19</f>
        <v>1082611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10770113</v>
      </c>
      <c r="C279" s="2" t="s">
        <v>594</v>
      </c>
      <c r="D279" s="2" t="str">
        <f t="shared" si="3"/>
        <v>Error?</v>
      </c>
    </row>
    <row r="280" spans="1:4" x14ac:dyDescent="0.2">
      <c r="A280" s="5">
        <v>219</v>
      </c>
      <c r="B280" s="138">
        <f>'Assets-Liab 5-6'!M40</f>
        <v>10770113</v>
      </c>
      <c r="D280" s="2" t="str">
        <f t="shared" si="3"/>
        <v>Error?</v>
      </c>
    </row>
    <row r="281" spans="1:4" x14ac:dyDescent="0.2">
      <c r="A281" s="5">
        <v>220</v>
      </c>
      <c r="B281" s="138">
        <f>'Assets-Liab 5-6'!M41</f>
        <v>10770113</v>
      </c>
      <c r="C281" s="2" t="s">
        <v>594</v>
      </c>
      <c r="D281" s="2" t="str">
        <f t="shared" si="3"/>
        <v>Error?</v>
      </c>
    </row>
    <row r="282" spans="1:4" x14ac:dyDescent="0.2">
      <c r="A282" s="5">
        <v>221</v>
      </c>
      <c r="B282" s="138">
        <f>'Assets-Liab 5-6'!N21</f>
        <v>82829</v>
      </c>
      <c r="D282" s="2" t="str">
        <f t="shared" si="3"/>
        <v>Error?</v>
      </c>
    </row>
    <row r="283" spans="1:4" x14ac:dyDescent="0.2">
      <c r="A283" s="5">
        <v>222</v>
      </c>
      <c r="B283" s="138">
        <f>'Assets-Liab 5-6'!N22</f>
        <v>767171</v>
      </c>
      <c r="D283" s="2" t="str">
        <f t="shared" si="3"/>
        <v>Error?</v>
      </c>
    </row>
    <row r="284" spans="1:4" x14ac:dyDescent="0.2">
      <c r="A284" s="5">
        <v>223</v>
      </c>
      <c r="B284" s="138">
        <f>'Assets-Liab 5-6'!N23</f>
        <v>850000</v>
      </c>
      <c r="C284" s="2" t="s">
        <v>594</v>
      </c>
      <c r="D284" s="2" t="str">
        <f t="shared" si="3"/>
        <v>Error?</v>
      </c>
    </row>
    <row r="285" spans="1:4" x14ac:dyDescent="0.2">
      <c r="A285" s="5">
        <v>224</v>
      </c>
      <c r="B285" s="138">
        <f>'Assets-Liab 5-6'!N36</f>
        <v>850000</v>
      </c>
      <c r="D285" s="2" t="str">
        <f t="shared" si="3"/>
        <v>Error?</v>
      </c>
    </row>
    <row r="286" spans="1:4" x14ac:dyDescent="0.2">
      <c r="A286" s="10">
        <v>225</v>
      </c>
      <c r="D286" s="2" t="str">
        <f t="shared" si="3"/>
        <v>OK</v>
      </c>
    </row>
    <row r="287" spans="1:4" x14ac:dyDescent="0.2">
      <c r="A287" s="5">
        <v>226</v>
      </c>
      <c r="B287" s="138">
        <f>'Assets-Liab 5-6'!N37</f>
        <v>850000</v>
      </c>
      <c r="C287" s="2" t="s">
        <v>594</v>
      </c>
      <c r="D287" s="2" t="str">
        <f t="shared" si="3"/>
        <v>Error?</v>
      </c>
    </row>
    <row r="288" spans="1:4" x14ac:dyDescent="0.2">
      <c r="A288" s="5">
        <v>227</v>
      </c>
      <c r="B288" s="138">
        <f>'Assets-Liab 5-6'!N41</f>
        <v>850000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8290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2024358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213697</v>
      </c>
      <c r="D717" s="2" t="str">
        <f t="shared" si="10"/>
        <v>Error?</v>
      </c>
    </row>
    <row r="718" spans="1:4" x14ac:dyDescent="0.2">
      <c r="A718" s="5">
        <v>657</v>
      </c>
      <c r="B718" s="138">
        <f>'Expenditures 15-22'!C14</f>
        <v>116114</v>
      </c>
      <c r="D718" s="2" t="str">
        <f t="shared" si="10"/>
        <v>Error?</v>
      </c>
    </row>
    <row r="719" spans="1:4" x14ac:dyDescent="0.2">
      <c r="A719" s="5">
        <v>658</v>
      </c>
      <c r="B719" s="138">
        <f>'Expenditures 15-22'!C15</f>
        <v>5788</v>
      </c>
      <c r="D719" s="2" t="str">
        <f t="shared" si="10"/>
        <v>Error?</v>
      </c>
    </row>
    <row r="720" spans="1:4" x14ac:dyDescent="0.2">
      <c r="A720" s="5">
        <v>659</v>
      </c>
      <c r="B720" s="138">
        <f>'Expenditures 15-22'!C33</f>
        <v>2662413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43347</v>
      </c>
      <c r="D722" s="2" t="str">
        <f t="shared" si="10"/>
        <v>Error?</v>
      </c>
    </row>
    <row r="723" spans="1:4" x14ac:dyDescent="0.2">
      <c r="A723" s="5">
        <v>662</v>
      </c>
      <c r="B723" s="138">
        <f>'Expenditures 15-22'!C38</f>
        <v>21516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64863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43601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43601</v>
      </c>
      <c r="C731" s="2" t="s">
        <v>594</v>
      </c>
      <c r="D731" s="2" t="str">
        <f t="shared" si="10"/>
        <v>Error?</v>
      </c>
    </row>
    <row r="732" spans="1:4" x14ac:dyDescent="0.2">
      <c r="A732" s="5">
        <v>671</v>
      </c>
      <c r="B732" s="138">
        <f>'Expenditures 15-22'!C49</f>
        <v>625</v>
      </c>
      <c r="D732" s="2" t="str">
        <f t="shared" si="10"/>
        <v>Error?</v>
      </c>
    </row>
    <row r="733" spans="1:4" x14ac:dyDescent="0.2">
      <c r="A733" s="5">
        <v>672</v>
      </c>
      <c r="B733" s="138">
        <f>'Expenditures 15-22'!C50</f>
        <v>123865</v>
      </c>
      <c r="D733" s="2" t="str">
        <f t="shared" si="10"/>
        <v>Error?</v>
      </c>
    </row>
    <row r="734" spans="1:4" x14ac:dyDescent="0.2">
      <c r="A734" s="5">
        <v>673</v>
      </c>
      <c r="B734" s="138">
        <f>'Expenditures 15-22'!C53</f>
        <v>124490</v>
      </c>
      <c r="C734" s="2" t="s">
        <v>594</v>
      </c>
      <c r="D734" s="2" t="str">
        <f t="shared" si="10"/>
        <v>Error?</v>
      </c>
    </row>
    <row r="735" spans="1:4" x14ac:dyDescent="0.2">
      <c r="A735" s="5">
        <v>674</v>
      </c>
      <c r="B735" s="138">
        <f>'Expenditures 15-22'!C55</f>
        <v>259539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259539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21150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88468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109618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602111</v>
      </c>
      <c r="C755" s="2" t="s">
        <v>594</v>
      </c>
      <c r="D755" s="2" t="str">
        <f t="shared" si="10"/>
        <v>Error?</v>
      </c>
    </row>
    <row r="756" spans="1:4" x14ac:dyDescent="0.2">
      <c r="A756" s="5">
        <v>695</v>
      </c>
      <c r="B756" s="138">
        <f>'Expenditures 15-22'!C75</f>
        <v>29512</v>
      </c>
      <c r="D756" s="2" t="str">
        <f t="shared" si="10"/>
        <v>Error?</v>
      </c>
    </row>
    <row r="757" spans="1:4" x14ac:dyDescent="0.2">
      <c r="A757" s="5">
        <v>696</v>
      </c>
      <c r="B757" s="138">
        <f>'Expenditures 15-22'!C114</f>
        <v>3294036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234089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28622</v>
      </c>
      <c r="D775" s="2" t="str">
        <f t="shared" si="11"/>
        <v>Error?</v>
      </c>
    </row>
    <row r="776" spans="1:4" x14ac:dyDescent="0.2">
      <c r="A776" s="5">
        <v>715</v>
      </c>
      <c r="B776" s="138">
        <f>'Expenditures 15-22'!D14</f>
        <v>371</v>
      </c>
      <c r="D776" s="2" t="str">
        <f t="shared" si="11"/>
        <v>Error?</v>
      </c>
    </row>
    <row r="777" spans="1:4" x14ac:dyDescent="0.2">
      <c r="A777" s="5">
        <v>716</v>
      </c>
      <c r="B777" s="138">
        <f>'Expenditures 15-22'!D15</f>
        <v>47</v>
      </c>
      <c r="D777" s="2" t="str">
        <f t="shared" si="11"/>
        <v>Error?</v>
      </c>
    </row>
    <row r="778" spans="1:4" x14ac:dyDescent="0.2">
      <c r="A778" s="5">
        <v>717</v>
      </c>
      <c r="B778" s="138">
        <f>'Expenditures 15-22'!D33</f>
        <v>311046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7527</v>
      </c>
      <c r="D780" s="2" t="str">
        <f t="shared" si="11"/>
        <v>Error?</v>
      </c>
    </row>
    <row r="781" spans="1:4" x14ac:dyDescent="0.2">
      <c r="A781" s="5">
        <v>720</v>
      </c>
      <c r="B781" s="138">
        <f>'Expenditures 15-22'!D38</f>
        <v>9762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17289</v>
      </c>
      <c r="C785" s="2" t="s">
        <v>594</v>
      </c>
      <c r="D785" s="2" t="str">
        <f t="shared" si="11"/>
        <v>Error?</v>
      </c>
    </row>
    <row r="786" spans="1:4" x14ac:dyDescent="0.2">
      <c r="A786" s="5">
        <v>725</v>
      </c>
      <c r="B786" s="138">
        <f>'Expenditures 15-22'!D44</f>
        <v>6171</v>
      </c>
      <c r="D786" s="2" t="str">
        <f t="shared" si="11"/>
        <v>Error?</v>
      </c>
    </row>
    <row r="787" spans="1:4" x14ac:dyDescent="0.2">
      <c r="A787" s="5">
        <v>726</v>
      </c>
      <c r="B787" s="138">
        <f>'Expenditures 15-22'!D45</f>
        <v>10604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16775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11810</v>
      </c>
      <c r="D791" s="2" t="str">
        <f t="shared" si="11"/>
        <v>Error?</v>
      </c>
    </row>
    <row r="792" spans="1:4" x14ac:dyDescent="0.2">
      <c r="A792" s="5">
        <v>731</v>
      </c>
      <c r="B792" s="138">
        <f>'Expenditures 15-22'!D53</f>
        <v>11810</v>
      </c>
      <c r="C792" s="2" t="s">
        <v>594</v>
      </c>
      <c r="D792" s="2" t="str">
        <f t="shared" si="11"/>
        <v>Error?</v>
      </c>
    </row>
    <row r="793" spans="1:4" x14ac:dyDescent="0.2">
      <c r="A793" s="5">
        <v>732</v>
      </c>
      <c r="B793" s="138">
        <f>'Expenditures 15-22'!D55</f>
        <v>25321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25321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6847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6861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78056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389102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5722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1816</v>
      </c>
      <c r="D833" s="2" t="str">
        <f t="shared" si="12"/>
        <v>Error?</v>
      </c>
    </row>
    <row r="834" spans="1:4" x14ac:dyDescent="0.2">
      <c r="A834" s="5">
        <v>773</v>
      </c>
      <c r="B834" s="138">
        <f>'Expenditures 15-22'!E14</f>
        <v>25077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38157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24104</v>
      </c>
      <c r="D844" s="2" t="str">
        <f t="shared" si="12"/>
        <v>Error?</v>
      </c>
    </row>
    <row r="845" spans="1:4" x14ac:dyDescent="0.2">
      <c r="A845" s="5">
        <v>784</v>
      </c>
      <c r="B845" s="138">
        <f>'Expenditures 15-22'!E45</f>
        <v>341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24445</v>
      </c>
      <c r="C847" s="2" t="s">
        <v>594</v>
      </c>
      <c r="D847" s="2" t="str">
        <f t="shared" si="12"/>
        <v>Error?</v>
      </c>
    </row>
    <row r="848" spans="1:4" x14ac:dyDescent="0.2">
      <c r="A848" s="5">
        <v>787</v>
      </c>
      <c r="B848" s="138">
        <f>'Expenditures 15-22'!E49</f>
        <v>24131</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24131</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3938</v>
      </c>
      <c r="D858" s="2" t="str">
        <f t="shared" si="12"/>
        <v>Error?</v>
      </c>
    </row>
    <row r="859" spans="1:4" x14ac:dyDescent="0.2">
      <c r="A859" s="5">
        <v>798</v>
      </c>
      <c r="B859" s="138">
        <f>'Expenditures 15-22'!E64</f>
        <v>19128</v>
      </c>
      <c r="D859" s="2" t="str">
        <f t="shared" si="12"/>
        <v>Error?</v>
      </c>
    </row>
    <row r="860" spans="1:4" x14ac:dyDescent="0.2">
      <c r="A860" s="10">
        <v>799</v>
      </c>
      <c r="D860" s="2" t="str">
        <f t="shared" si="12"/>
        <v>OK</v>
      </c>
    </row>
    <row r="861" spans="1:4" x14ac:dyDescent="0.2">
      <c r="A861" s="5">
        <v>800</v>
      </c>
      <c r="B861" s="138">
        <f>'Expenditures 15-22'!E65</f>
        <v>23066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71642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109799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50926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17685</v>
      </c>
      <c r="D891" s="2" t="str">
        <f t="shared" si="12"/>
        <v>Error?</v>
      </c>
    </row>
    <row r="892" spans="1:4" x14ac:dyDescent="0.2">
      <c r="A892" s="5">
        <v>831</v>
      </c>
      <c r="B892" s="138">
        <f>'Expenditures 15-22'!F14</f>
        <v>18292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148256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1000</v>
      </c>
      <c r="D896" s="2" t="str">
        <f t="shared" si="13"/>
        <v>Error?</v>
      </c>
    </row>
    <row r="897" spans="1:4" x14ac:dyDescent="0.2">
      <c r="A897" s="5">
        <v>836</v>
      </c>
      <c r="B897" s="138">
        <f>'Expenditures 15-22'!F38</f>
        <v>424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1424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4308</v>
      </c>
      <c r="D903" s="2" t="str">
        <f t="shared" si="13"/>
        <v>Error?</v>
      </c>
    </row>
    <row r="904" spans="1:4" x14ac:dyDescent="0.2">
      <c r="A904" s="5">
        <v>843</v>
      </c>
      <c r="B904" s="138">
        <f>'Expenditures 15-22'!F46</f>
        <v>650</v>
      </c>
      <c r="D904" s="2" t="str">
        <f t="shared" si="13"/>
        <v>Error?</v>
      </c>
    </row>
    <row r="905" spans="1:4" x14ac:dyDescent="0.2">
      <c r="A905" s="5">
        <v>844</v>
      </c>
      <c r="B905" s="138">
        <f>'Expenditures 15-22'!F47</f>
        <v>4958</v>
      </c>
      <c r="C905" s="2" t="s">
        <v>594</v>
      </c>
      <c r="D905" s="2" t="str">
        <f t="shared" si="13"/>
        <v>Error?</v>
      </c>
    </row>
    <row r="906" spans="1:4" x14ac:dyDescent="0.2">
      <c r="A906" s="5">
        <v>845</v>
      </c>
      <c r="B906" s="138">
        <f>'Expenditures 15-22'!F49</f>
        <v>1953</v>
      </c>
      <c r="D906" s="2" t="str">
        <f t="shared" si="13"/>
        <v>Error?</v>
      </c>
    </row>
    <row r="907" spans="1:4" x14ac:dyDescent="0.2">
      <c r="A907" s="5">
        <v>846</v>
      </c>
      <c r="B907" s="138">
        <f>'Expenditures 15-22'!F50</f>
        <v>320</v>
      </c>
      <c r="D907" s="2" t="str">
        <f t="shared" si="13"/>
        <v>Error?</v>
      </c>
    </row>
    <row r="908" spans="1:4" x14ac:dyDescent="0.2">
      <c r="A908" s="5">
        <v>847</v>
      </c>
      <c r="B908" s="138">
        <f>'Expenditures 15-22'!F53</f>
        <v>2273</v>
      </c>
      <c r="C908" s="2" t="s">
        <v>594</v>
      </c>
      <c r="D908" s="2" t="str">
        <f t="shared" si="13"/>
        <v>Error?</v>
      </c>
    </row>
    <row r="909" spans="1:4" x14ac:dyDescent="0.2">
      <c r="A909" s="5">
        <v>848</v>
      </c>
      <c r="B909" s="138">
        <f>'Expenditures 15-22'!F55</f>
        <v>4319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4319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83450</v>
      </c>
      <c r="D916" s="2" t="str">
        <f t="shared" si="13"/>
        <v>Error?</v>
      </c>
    </row>
    <row r="917" spans="1:4" x14ac:dyDescent="0.2">
      <c r="A917" s="5">
        <v>856</v>
      </c>
      <c r="B917" s="138">
        <f>'Expenditures 15-22'!F64</f>
        <v>9361</v>
      </c>
      <c r="D917" s="2" t="str">
        <f t="shared" si="13"/>
        <v>Error?</v>
      </c>
    </row>
    <row r="918" spans="1:4" x14ac:dyDescent="0.2">
      <c r="A918" s="10">
        <v>857</v>
      </c>
      <c r="D918" s="2" t="str">
        <f t="shared" si="13"/>
        <v>OK</v>
      </c>
    </row>
    <row r="919" spans="1:4" x14ac:dyDescent="0.2">
      <c r="A919" s="5">
        <v>858</v>
      </c>
      <c r="B919" s="138">
        <f>'Expenditures 15-22'!F65</f>
        <v>92955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2081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2081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108010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256266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1166</v>
      </c>
      <c r="D949" s="2" t="str">
        <f t="shared" si="13"/>
        <v>Error?</v>
      </c>
    </row>
    <row r="950" spans="1:4" x14ac:dyDescent="0.2">
      <c r="A950" s="5">
        <v>889</v>
      </c>
      <c r="B950" s="138">
        <f>'Expenditures 15-22'!G14</f>
        <v>15181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18687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11559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1485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13044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13044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31731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2211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10426</v>
      </c>
      <c r="D1022" s="2" t="str">
        <f t="shared" si="14"/>
        <v>Error?</v>
      </c>
    </row>
    <row r="1023" spans="1:4" x14ac:dyDescent="0.2">
      <c r="A1023" s="5">
        <v>962</v>
      </c>
      <c r="B1023" s="138">
        <f>'Expenditures 15-22'!H50</f>
        <v>841</v>
      </c>
      <c r="D1023" s="2" t="str">
        <f t="shared" ref="D1023:D1086" si="15">IF(ISBLANK(B1023),"OK",IF(A1023-B1023=0,"OK","Error?"))</f>
        <v>Error?</v>
      </c>
    </row>
    <row r="1024" spans="1:4" x14ac:dyDescent="0.2">
      <c r="A1024" s="5">
        <v>963</v>
      </c>
      <c r="B1024" s="138">
        <f>'Expenditures 15-22'!H53</f>
        <v>11267</v>
      </c>
      <c r="C1024" s="2" t="s">
        <v>594</v>
      </c>
      <c r="D1024" s="2" t="str">
        <f t="shared" si="15"/>
        <v>Error?</v>
      </c>
    </row>
    <row r="1025" spans="1:4" x14ac:dyDescent="0.2">
      <c r="A1025" s="5">
        <v>964</v>
      </c>
      <c r="B1025" s="138">
        <f>'Expenditures 15-22'!H55</f>
        <v>829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829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12096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507768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522075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2315460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262986</v>
      </c>
      <c r="C1105" s="2" t="s">
        <v>594</v>
      </c>
      <c r="D1105" s="2" t="str">
        <f t="shared" si="16"/>
        <v>Error?</v>
      </c>
    </row>
    <row r="1106" spans="1:4" x14ac:dyDescent="0.2">
      <c r="A1106" s="5">
        <v>1045</v>
      </c>
      <c r="B1106" s="138">
        <f>'Expenditures 15-22'!K14</f>
        <v>176881</v>
      </c>
      <c r="C1106" s="2" t="s">
        <v>594</v>
      </c>
      <c r="D1106" s="2" t="str">
        <f t="shared" si="16"/>
        <v>Error?</v>
      </c>
    </row>
    <row r="1107" spans="1:4" x14ac:dyDescent="0.2">
      <c r="A1107" s="5">
        <v>1046</v>
      </c>
      <c r="B1107" s="138">
        <f>'Expenditures 15-22'!K15</f>
        <v>5835</v>
      </c>
      <c r="C1107" s="2" t="s">
        <v>594</v>
      </c>
      <c r="D1107" s="2" t="str">
        <f t="shared" si="16"/>
        <v>Error?</v>
      </c>
    </row>
    <row r="1108" spans="1:4" x14ac:dyDescent="0.2">
      <c r="A1108" s="5">
        <v>1047</v>
      </c>
      <c r="B1108" s="138">
        <f>'Expenditures 15-22'!K33</f>
        <v>3180770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51874</v>
      </c>
      <c r="C1110" s="2" t="s">
        <v>594</v>
      </c>
      <c r="D1110" s="2" t="str">
        <f t="shared" si="16"/>
        <v>Error?</v>
      </c>
    </row>
    <row r="1111" spans="1:4" x14ac:dyDescent="0.2">
      <c r="A1111" s="5">
        <v>1050</v>
      </c>
      <c r="B1111" s="138">
        <f>'Expenditures 15-22'!K38</f>
        <v>31702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83576</v>
      </c>
      <c r="C1115" s="2" t="s">
        <v>594</v>
      </c>
      <c r="D1115" s="2" t="str">
        <f t="shared" si="16"/>
        <v>Error?</v>
      </c>
    </row>
    <row r="1116" spans="1:4" x14ac:dyDescent="0.2">
      <c r="A1116" s="5">
        <v>1055</v>
      </c>
      <c r="B1116" s="138">
        <f>'Expenditures 15-22'!K44</f>
        <v>30275</v>
      </c>
      <c r="C1116" s="2" t="s">
        <v>594</v>
      </c>
      <c r="D1116" s="2" t="str">
        <f t="shared" si="16"/>
        <v>Error?</v>
      </c>
    </row>
    <row r="1117" spans="1:4" x14ac:dyDescent="0.2">
      <c r="A1117" s="5">
        <v>1056</v>
      </c>
      <c r="B1117" s="138">
        <f>'Expenditures 15-22'!K45</f>
        <v>58854</v>
      </c>
      <c r="C1117" s="2" t="s">
        <v>594</v>
      </c>
      <c r="D1117" s="2" t="str">
        <f t="shared" si="16"/>
        <v>Error?</v>
      </c>
    </row>
    <row r="1118" spans="1:4" x14ac:dyDescent="0.2">
      <c r="A1118" s="5">
        <v>1057</v>
      </c>
      <c r="B1118" s="138">
        <f>'Expenditures 15-22'!K46</f>
        <v>650</v>
      </c>
      <c r="C1118" s="2" t="s">
        <v>594</v>
      </c>
      <c r="D1118" s="2" t="str">
        <f t="shared" si="16"/>
        <v>Error?</v>
      </c>
    </row>
    <row r="1119" spans="1:4" x14ac:dyDescent="0.2">
      <c r="A1119" s="5">
        <v>1058</v>
      </c>
      <c r="B1119" s="138">
        <f>'Expenditures 15-22'!K47</f>
        <v>89779</v>
      </c>
      <c r="C1119" s="2" t="s">
        <v>594</v>
      </c>
      <c r="D1119" s="2" t="str">
        <f t="shared" si="16"/>
        <v>Error?</v>
      </c>
    </row>
    <row r="1120" spans="1:4" x14ac:dyDescent="0.2">
      <c r="A1120" s="5">
        <v>1059</v>
      </c>
      <c r="B1120" s="138">
        <f>'Expenditures 15-22'!K49</f>
        <v>37135</v>
      </c>
      <c r="C1120" s="2" t="s">
        <v>594</v>
      </c>
      <c r="D1120" s="2" t="str">
        <f t="shared" si="16"/>
        <v>Error?</v>
      </c>
    </row>
    <row r="1121" spans="1:4" x14ac:dyDescent="0.2">
      <c r="A1121" s="5">
        <v>1060</v>
      </c>
      <c r="B1121" s="138">
        <f>'Expenditures 15-22'!K50</f>
        <v>136836</v>
      </c>
      <c r="C1121" s="2" t="s">
        <v>594</v>
      </c>
      <c r="D1121" s="2" t="str">
        <f t="shared" si="16"/>
        <v>Error?</v>
      </c>
    </row>
    <row r="1122" spans="1:4" x14ac:dyDescent="0.2">
      <c r="A1122" s="5">
        <v>1061</v>
      </c>
      <c r="B1122" s="138">
        <f>'Expenditures 15-22'!K53</f>
        <v>173971</v>
      </c>
      <c r="C1122" s="2" t="s">
        <v>594</v>
      </c>
      <c r="D1122" s="2" t="str">
        <f t="shared" si="16"/>
        <v>Error?</v>
      </c>
    </row>
    <row r="1123" spans="1:4" x14ac:dyDescent="0.2">
      <c r="A1123" s="5">
        <v>1062</v>
      </c>
      <c r="B1123" s="138">
        <f>'Expenditures 15-22'!K55</f>
        <v>290008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290008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21308</v>
      </c>
      <c r="C1127" s="2" t="s">
        <v>594</v>
      </c>
      <c r="D1127" s="2" t="str">
        <f t="shared" si="16"/>
        <v>Error?</v>
      </c>
    </row>
    <row r="1128" spans="1:4" x14ac:dyDescent="0.2">
      <c r="A1128" s="5">
        <v>1067</v>
      </c>
      <c r="B1128" s="138">
        <f>'Expenditures 15-22'!K61</f>
        <v>11559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184188</v>
      </c>
      <c r="C1130" s="2" t="s">
        <v>594</v>
      </c>
      <c r="D1130" s="2" t="str">
        <f t="shared" si="16"/>
        <v>Error?</v>
      </c>
    </row>
    <row r="1131" spans="1:4" x14ac:dyDescent="0.2">
      <c r="A1131" s="5">
        <v>1070</v>
      </c>
      <c r="B1131" s="138">
        <f>'Expenditures 15-22'!K64</f>
        <v>28489</v>
      </c>
      <c r="C1131" s="2" t="s">
        <v>594</v>
      </c>
      <c r="D1131" s="2" t="str">
        <f t="shared" si="16"/>
        <v>Error?</v>
      </c>
    </row>
    <row r="1132" spans="1:4" x14ac:dyDescent="0.2">
      <c r="A1132" s="10">
        <v>1071</v>
      </c>
      <c r="D1132" s="2" t="str">
        <f t="shared" si="16"/>
        <v>OK</v>
      </c>
    </row>
    <row r="1133" spans="1:4" x14ac:dyDescent="0.2">
      <c r="A1133" s="5">
        <v>1072</v>
      </c>
      <c r="B1133" s="138">
        <f>'Expenditures 15-22'!K65</f>
        <v>245544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2081</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2081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884959</v>
      </c>
      <c r="C1143" s="2" t="s">
        <v>594</v>
      </c>
      <c r="D1143" s="2" t="str">
        <f t="shared" si="16"/>
        <v>Error?</v>
      </c>
    </row>
    <row r="1144" spans="1:4" x14ac:dyDescent="0.2">
      <c r="A1144" s="5">
        <v>1083</v>
      </c>
      <c r="B1144" s="138">
        <f>'Expenditures 15-22'!K75</f>
        <v>29512</v>
      </c>
      <c r="C1144" s="2" t="s">
        <v>594</v>
      </c>
      <c r="D1144" s="2" t="str">
        <f t="shared" si="16"/>
        <v>Error?</v>
      </c>
    </row>
    <row r="1145" spans="1:4" x14ac:dyDescent="0.2">
      <c r="A1145" s="5">
        <v>1084</v>
      </c>
      <c r="B1145" s="138">
        <f>'Expenditures 15-22'!K102</f>
        <v>507768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4603009</v>
      </c>
      <c r="C1152" s="2" t="s">
        <v>594</v>
      </c>
      <c r="D1152" s="2" t="str">
        <f t="shared" si="17"/>
        <v>Error?</v>
      </c>
    </row>
    <row r="1153" spans="1:4" x14ac:dyDescent="0.2">
      <c r="A1153" s="5">
        <v>1092</v>
      </c>
      <c r="B1153" s="138">
        <f>'Expenditures 15-22'!K115</f>
        <v>-132651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204218</v>
      </c>
      <c r="D1221" s="2" t="str">
        <f t="shared" si="18"/>
        <v>Error?</v>
      </c>
    </row>
    <row r="1222" spans="1:4" x14ac:dyDescent="0.2">
      <c r="A1222" s="10">
        <v>1161</v>
      </c>
      <c r="D1222" s="2" t="str">
        <f t="shared" si="18"/>
        <v>OK</v>
      </c>
    </row>
    <row r="1223" spans="1:4" x14ac:dyDescent="0.2">
      <c r="A1223" s="5">
        <v>1162</v>
      </c>
      <c r="B1223" s="138">
        <f>'Expenditures 15-22'!C127</f>
        <v>204218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204218</v>
      </c>
      <c r="C1225" s="2" t="s">
        <v>594</v>
      </c>
      <c r="D1225" s="2" t="str">
        <f t="shared" si="18"/>
        <v>Error?</v>
      </c>
    </row>
    <row r="1226" spans="1:4" x14ac:dyDescent="0.2">
      <c r="A1226" s="5">
        <v>1165</v>
      </c>
      <c r="B1226" s="138">
        <f>'Expenditures 15-22'!C151</f>
        <v>204218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31156</v>
      </c>
      <c r="D1229" s="2" t="str">
        <f t="shared" si="18"/>
        <v>Error?</v>
      </c>
    </row>
    <row r="1230" spans="1:4" x14ac:dyDescent="0.2">
      <c r="A1230" s="10">
        <v>1169</v>
      </c>
      <c r="D1230" s="2" t="str">
        <f t="shared" si="18"/>
        <v>OK</v>
      </c>
    </row>
    <row r="1231" spans="1:4" x14ac:dyDescent="0.2">
      <c r="A1231" s="5">
        <v>1170</v>
      </c>
      <c r="B1231" s="138">
        <f>'Expenditures 15-22'!D127</f>
        <v>31156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31156</v>
      </c>
      <c r="C1233" s="2" t="s">
        <v>594</v>
      </c>
      <c r="D1233" s="2" t="str">
        <f t="shared" si="18"/>
        <v>Error?</v>
      </c>
    </row>
    <row r="1234" spans="1:4" x14ac:dyDescent="0.2">
      <c r="A1234" s="5">
        <v>1173</v>
      </c>
      <c r="B1234" s="138">
        <f>'Expenditures 15-22'!D151</f>
        <v>31156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60226</v>
      </c>
      <c r="D1237" s="2" t="str">
        <f t="shared" si="18"/>
        <v>Error?</v>
      </c>
    </row>
    <row r="1238" spans="1:4" x14ac:dyDescent="0.2">
      <c r="A1238" s="10">
        <v>1177</v>
      </c>
      <c r="D1238" s="2" t="str">
        <f t="shared" si="18"/>
        <v>OK</v>
      </c>
    </row>
    <row r="1239" spans="1:4" x14ac:dyDescent="0.2">
      <c r="A1239" s="5">
        <v>1178</v>
      </c>
      <c r="B1239" s="138">
        <f>'Expenditures 15-22'!E127</f>
        <v>60226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60226</v>
      </c>
      <c r="C1241" s="2" t="s">
        <v>594</v>
      </c>
      <c r="D1241" s="2" t="str">
        <f t="shared" si="18"/>
        <v>Error?</v>
      </c>
    </row>
    <row r="1242" spans="1:4" x14ac:dyDescent="0.2">
      <c r="A1242" s="5">
        <v>1181</v>
      </c>
      <c r="B1242" s="138">
        <f>'Expenditures 15-22'!E151</f>
        <v>60226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170505</v>
      </c>
      <c r="D1245" s="2" t="str">
        <f t="shared" si="18"/>
        <v>Error?</v>
      </c>
    </row>
    <row r="1246" spans="1:4" x14ac:dyDescent="0.2">
      <c r="A1246" s="10">
        <v>1185</v>
      </c>
      <c r="D1246" s="2" t="str">
        <f t="shared" si="18"/>
        <v>OK</v>
      </c>
    </row>
    <row r="1247" spans="1:4" x14ac:dyDescent="0.2">
      <c r="A1247" s="5">
        <v>1186</v>
      </c>
      <c r="B1247" s="138">
        <f>'Expenditures 15-22'!F127</f>
        <v>170505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170505</v>
      </c>
      <c r="C1249" s="2" t="s">
        <v>594</v>
      </c>
      <c r="D1249" s="2" t="str">
        <f t="shared" si="18"/>
        <v>Error?</v>
      </c>
    </row>
    <row r="1250" spans="1:4" x14ac:dyDescent="0.2">
      <c r="A1250" s="5">
        <v>1189</v>
      </c>
      <c r="B1250" s="138">
        <f>'Expenditures 15-22'!F151</f>
        <v>170505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11418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11418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11418</v>
      </c>
      <c r="C1258" s="2" t="s">
        <v>594</v>
      </c>
      <c r="D1258" s="2" t="str">
        <f t="shared" si="18"/>
        <v>Error?</v>
      </c>
    </row>
    <row r="1259" spans="1:4" x14ac:dyDescent="0.2">
      <c r="A1259" s="5">
        <v>1198</v>
      </c>
      <c r="B1259" s="138">
        <f>'Expenditures 15-22'!G151</f>
        <v>11418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477523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477523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477523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477523</v>
      </c>
      <c r="C1288" s="2" t="s">
        <v>594</v>
      </c>
      <c r="D1288" s="2" t="str">
        <f t="shared" si="19"/>
        <v>Error?</v>
      </c>
    </row>
    <row r="1289" spans="1:4" x14ac:dyDescent="0.2">
      <c r="A1289" s="5">
        <v>1228</v>
      </c>
      <c r="B1289" s="138">
        <f>'Expenditures 15-22'!K152</f>
        <v>41516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195000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198913</v>
      </c>
      <c r="C1317" s="2" t="s">
        <v>594</v>
      </c>
      <c r="D1317" s="2" t="str">
        <f t="shared" si="19"/>
        <v>Error?</v>
      </c>
    </row>
    <row r="1318" spans="1:4" x14ac:dyDescent="0.2">
      <c r="A1318" s="5">
        <v>1257</v>
      </c>
      <c r="B1318" s="138">
        <f>'Expenditures 15-22'!H174</f>
        <v>198913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3413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195000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198913</v>
      </c>
      <c r="C1331" s="2" t="s">
        <v>594</v>
      </c>
      <c r="D1331" s="2" t="str">
        <f t="shared" si="19"/>
        <v>Error?</v>
      </c>
    </row>
    <row r="1332" spans="1:4" x14ac:dyDescent="0.2">
      <c r="A1332" s="5">
        <v>1271</v>
      </c>
      <c r="B1332" s="138">
        <f>'Expenditures 15-22'!K174</f>
        <v>198913</v>
      </c>
      <c r="C1332" s="2" t="s">
        <v>594</v>
      </c>
      <c r="D1332" s="2" t="str">
        <f t="shared" si="19"/>
        <v>Error?</v>
      </c>
    </row>
    <row r="1333" spans="1:4" x14ac:dyDescent="0.2">
      <c r="A1333" s="5">
        <v>1272</v>
      </c>
      <c r="B1333" s="138">
        <f>'Expenditures 15-22'!K175</f>
        <v>-6556</v>
      </c>
      <c r="C1333" s="2" t="s">
        <v>594</v>
      </c>
      <c r="D1333" s="2" t="str">
        <f t="shared" si="19"/>
        <v>Error?</v>
      </c>
    </row>
    <row r="1334" spans="1:4" x14ac:dyDescent="0.2">
      <c r="A1334" s="10">
        <v>1273</v>
      </c>
      <c r="D1334" s="2" t="str">
        <f t="shared" si="19"/>
        <v>OK</v>
      </c>
    </row>
    <row r="1335" spans="1:4" x14ac:dyDescent="0.2">
      <c r="A1335" s="5">
        <v>1274</v>
      </c>
      <c r="B1335" s="138">
        <f>'Expenditures 15-22'!C182</f>
        <v>75336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75336</v>
      </c>
      <c r="C1339" s="2" t="s">
        <v>594</v>
      </c>
      <c r="D1339" s="2" t="str">
        <f t="shared" si="19"/>
        <v>Error?</v>
      </c>
    </row>
    <row r="1340" spans="1:4" x14ac:dyDescent="0.2">
      <c r="A1340" s="5">
        <v>1279</v>
      </c>
      <c r="B1340" s="138">
        <f>'Expenditures 15-22'!C210</f>
        <v>75336</v>
      </c>
      <c r="C1340" s="2" t="s">
        <v>594</v>
      </c>
      <c r="D1340" s="2" t="str">
        <f t="shared" si="19"/>
        <v>Error?</v>
      </c>
    </row>
    <row r="1341" spans="1:4" x14ac:dyDescent="0.2">
      <c r="A1341" s="5">
        <v>1280</v>
      </c>
      <c r="B1341" s="138">
        <f>'Expenditures 15-22'!D182</f>
        <v>7819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7819</v>
      </c>
      <c r="C1345" s="2" t="s">
        <v>594</v>
      </c>
      <c r="D1345" s="2" t="str">
        <f t="shared" si="20"/>
        <v>Error?</v>
      </c>
    </row>
    <row r="1346" spans="1:4" x14ac:dyDescent="0.2">
      <c r="A1346" s="5">
        <v>1285</v>
      </c>
      <c r="B1346" s="138">
        <f>'Expenditures 15-22'!D210</f>
        <v>7819</v>
      </c>
      <c r="C1346" s="2" t="s">
        <v>594</v>
      </c>
      <c r="D1346" s="2" t="str">
        <f t="shared" si="20"/>
        <v>Error?</v>
      </c>
    </row>
    <row r="1347" spans="1:4" x14ac:dyDescent="0.2">
      <c r="A1347" s="5">
        <v>1286</v>
      </c>
      <c r="B1347" s="138">
        <f>'Expenditures 15-22'!E182</f>
        <v>7191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7191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7191</v>
      </c>
      <c r="C1353" s="2" t="s">
        <v>594</v>
      </c>
      <c r="D1353" s="2" t="str">
        <f t="shared" si="20"/>
        <v>Error?</v>
      </c>
    </row>
    <row r="1354" spans="1:4" x14ac:dyDescent="0.2">
      <c r="A1354" s="5">
        <v>1293</v>
      </c>
      <c r="B1354" s="138">
        <f>'Expenditures 15-22'!F182</f>
        <v>21191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21191</v>
      </c>
      <c r="C1358" s="2" t="s">
        <v>594</v>
      </c>
      <c r="D1358" s="2" t="str">
        <f t="shared" si="20"/>
        <v>Error?</v>
      </c>
    </row>
    <row r="1359" spans="1:4" x14ac:dyDescent="0.2">
      <c r="A1359" s="5">
        <v>1298</v>
      </c>
      <c r="B1359" s="138">
        <f>'Expenditures 15-22'!F210</f>
        <v>21191</v>
      </c>
      <c r="C1359" s="2" t="s">
        <v>594</v>
      </c>
      <c r="D1359" s="2" t="str">
        <f t="shared" si="20"/>
        <v>Error?</v>
      </c>
    </row>
    <row r="1360" spans="1:4" x14ac:dyDescent="0.2">
      <c r="A1360" s="5">
        <v>1299</v>
      </c>
      <c r="B1360" s="138">
        <f>'Expenditures 15-22'!G182</f>
        <v>9299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9299</v>
      </c>
      <c r="C1364" s="2" t="s">
        <v>594</v>
      </c>
      <c r="D1364" s="2" t="str">
        <f t="shared" si="20"/>
        <v>Error?</v>
      </c>
    </row>
    <row r="1365" spans="1:4" x14ac:dyDescent="0.2">
      <c r="A1365" s="5">
        <v>1304</v>
      </c>
      <c r="B1365" s="138">
        <f>'Expenditures 15-22'!G210</f>
        <v>9299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120836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120836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120836</v>
      </c>
      <c r="C1388" s="2" t="s">
        <v>594</v>
      </c>
      <c r="D1388" s="2" t="str">
        <f t="shared" si="20"/>
        <v>Error?</v>
      </c>
    </row>
    <row r="1389" spans="1:4" x14ac:dyDescent="0.2">
      <c r="A1389" s="5">
        <v>1328</v>
      </c>
      <c r="B1389" s="138">
        <f>'Expenditures 15-22'!K211</f>
        <v>56494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16029</v>
      </c>
      <c r="D1407" s="2" t="str">
        <f t="shared" ref="D1407:D1470" si="21">IF(ISBLANK(B1407),"OK",IF(A1407-B1407=0,"OK","Error?"))</f>
        <v>Error?</v>
      </c>
    </row>
    <row r="1408" spans="1:4" x14ac:dyDescent="0.2">
      <c r="A1408" s="5">
        <v>1347</v>
      </c>
      <c r="B1408" s="138">
        <f>'Expenditures 15-22'!D223</f>
        <v>3985</v>
      </c>
      <c r="D1408" s="2" t="str">
        <f t="shared" si="21"/>
        <v>Error?</v>
      </c>
    </row>
    <row r="1409" spans="1:4" x14ac:dyDescent="0.2">
      <c r="A1409" s="5">
        <v>1348</v>
      </c>
      <c r="B1409" s="138">
        <f>'Expenditures 15-22'!D224</f>
        <v>460</v>
      </c>
      <c r="D1409" s="2" t="str">
        <f t="shared" si="21"/>
        <v>Error?</v>
      </c>
    </row>
    <row r="1410" spans="1:4" x14ac:dyDescent="0.2">
      <c r="A1410" s="5">
        <v>1349</v>
      </c>
      <c r="B1410" s="138">
        <f>'Expenditures 15-22'!D229</f>
        <v>111632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721</v>
      </c>
      <c r="D1412" s="2" t="str">
        <f t="shared" si="21"/>
        <v>Error?</v>
      </c>
    </row>
    <row r="1413" spans="1:4" x14ac:dyDescent="0.2">
      <c r="A1413" s="5">
        <v>1352</v>
      </c>
      <c r="B1413" s="138">
        <f>'Expenditures 15-22'!D234</f>
        <v>10144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10865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4156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4156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7932</v>
      </c>
      <c r="D1423" s="2" t="str">
        <f t="shared" si="21"/>
        <v>Error?</v>
      </c>
    </row>
    <row r="1424" spans="1:4" x14ac:dyDescent="0.2">
      <c r="A1424" s="5">
        <v>1363</v>
      </c>
      <c r="B1424" s="138">
        <f>'Expenditures 15-22'!D257</f>
        <v>7932</v>
      </c>
      <c r="C1424" s="2" t="s">
        <v>594</v>
      </c>
      <c r="D1424" s="2" t="str">
        <f t="shared" si="21"/>
        <v>Error?</v>
      </c>
    </row>
    <row r="1425" spans="1:4" x14ac:dyDescent="0.2">
      <c r="A1425" s="5">
        <v>1364</v>
      </c>
      <c r="B1425" s="138">
        <f>'Expenditures 15-22'!D259</f>
        <v>31106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31106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50784</v>
      </c>
      <c r="D1431" s="2" t="str">
        <f t="shared" si="21"/>
        <v>Error?</v>
      </c>
    </row>
    <row r="1432" spans="1:4" x14ac:dyDescent="0.2">
      <c r="A1432" s="5">
        <v>1371</v>
      </c>
      <c r="B1432" s="138">
        <f>'Expenditures 15-22'!D267</f>
        <v>12624</v>
      </c>
      <c r="D1432" s="2" t="str">
        <f t="shared" si="21"/>
        <v>Error?</v>
      </c>
    </row>
    <row r="1433" spans="1:4" x14ac:dyDescent="0.2">
      <c r="A1433" s="5">
        <v>1372</v>
      </c>
      <c r="B1433" s="138">
        <f>'Expenditures 15-22'!D268</f>
        <v>17887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83133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137192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248824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16029</v>
      </c>
      <c r="C1471" s="2" t="s">
        <v>594</v>
      </c>
      <c r="D1471" s="2" t="str">
        <f t="shared" ref="D1471:D1534" si="22">IF(ISBLANK(B1471),"OK",IF(A1471-B1471=0,"OK","Error?"))</f>
        <v>Error?</v>
      </c>
    </row>
    <row r="1472" spans="1:4" x14ac:dyDescent="0.2">
      <c r="A1472" s="5">
        <v>1411</v>
      </c>
      <c r="B1472" s="138">
        <f>'Expenditures 15-22'!K223</f>
        <v>3985</v>
      </c>
      <c r="C1472" s="2" t="s">
        <v>594</v>
      </c>
      <c r="D1472" s="2" t="str">
        <f t="shared" si="22"/>
        <v>Error?</v>
      </c>
    </row>
    <row r="1473" spans="1:4" x14ac:dyDescent="0.2">
      <c r="A1473" s="5">
        <v>1412</v>
      </c>
      <c r="B1473" s="138">
        <f>'Expenditures 15-22'!K224</f>
        <v>460</v>
      </c>
      <c r="C1473" s="2" t="s">
        <v>594</v>
      </c>
      <c r="D1473" s="2" t="str">
        <f t="shared" si="22"/>
        <v>Error?</v>
      </c>
    </row>
    <row r="1474" spans="1:4" x14ac:dyDescent="0.2">
      <c r="A1474" s="5">
        <v>1413</v>
      </c>
      <c r="B1474" s="138">
        <f>'Expenditures 15-22'!K229</f>
        <v>111632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721</v>
      </c>
      <c r="C1476" s="2" t="s">
        <v>594</v>
      </c>
      <c r="D1476" s="2" t="str">
        <f t="shared" si="22"/>
        <v>Error?</v>
      </c>
    </row>
    <row r="1477" spans="1:4" x14ac:dyDescent="0.2">
      <c r="A1477" s="5">
        <v>1416</v>
      </c>
      <c r="B1477" s="138">
        <f>'Expenditures 15-22'!K234</f>
        <v>10144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10865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4156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4156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7932</v>
      </c>
      <c r="C1487" s="2" t="s">
        <v>594</v>
      </c>
      <c r="D1487" s="2" t="str">
        <f t="shared" si="22"/>
        <v>Error?</v>
      </c>
    </row>
    <row r="1488" spans="1:4" x14ac:dyDescent="0.2">
      <c r="A1488" s="5">
        <v>1427</v>
      </c>
      <c r="B1488" s="138">
        <f>'Expenditures 15-22'!K257</f>
        <v>7932</v>
      </c>
      <c r="C1488" s="2" t="s">
        <v>594</v>
      </c>
      <c r="D1488" s="2" t="str">
        <f t="shared" si="22"/>
        <v>Error?</v>
      </c>
    </row>
    <row r="1489" spans="1:4" x14ac:dyDescent="0.2">
      <c r="A1489" s="5">
        <v>1428</v>
      </c>
      <c r="B1489" s="138">
        <f>'Expenditures 15-22'!K259</f>
        <v>31106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31106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1838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50784</v>
      </c>
      <c r="C1495" s="2" t="s">
        <v>594</v>
      </c>
      <c r="D1495" s="2" t="str">
        <f t="shared" si="22"/>
        <v>Error?</v>
      </c>
    </row>
    <row r="1496" spans="1:4" x14ac:dyDescent="0.2">
      <c r="A1496" s="5">
        <v>1435</v>
      </c>
      <c r="B1496" s="138">
        <f>'Expenditures 15-22'!K267</f>
        <v>12624</v>
      </c>
      <c r="C1496" s="2" t="s">
        <v>594</v>
      </c>
      <c r="D1496" s="2" t="str">
        <f t="shared" si="22"/>
        <v>Error?</v>
      </c>
    </row>
    <row r="1497" spans="1:4" x14ac:dyDescent="0.2">
      <c r="A1497" s="5">
        <v>1436</v>
      </c>
      <c r="B1497" s="138">
        <f>'Expenditures 15-22'!K268</f>
        <v>17887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83133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137192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248824</v>
      </c>
      <c r="C1517" s="2" t="s">
        <v>594</v>
      </c>
      <c r="D1517" s="2" t="str">
        <f t="shared" si="22"/>
        <v>Error?</v>
      </c>
    </row>
    <row r="1518" spans="1:4" x14ac:dyDescent="0.2">
      <c r="A1518" s="5">
        <v>1457</v>
      </c>
      <c r="B1518" s="138">
        <f>'Expenditures 15-22'!K296</f>
        <v>37279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9994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9994</v>
      </c>
      <c r="C1535" s="2" t="s">
        <v>594</v>
      </c>
      <c r="D1535" s="2" t="str">
        <f t="shared" ref="D1535:D1598" si="23">IF(ISBLANK(B1535),"OK",IF(A1535-B1535=0,"OK","Error?"))</f>
        <v>Error?</v>
      </c>
    </row>
    <row r="1536" spans="1:4" x14ac:dyDescent="0.2">
      <c r="A1536" s="5">
        <v>1475</v>
      </c>
      <c r="B1536" s="138">
        <f>'Expenditures 15-22'!E312</f>
        <v>9994</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9994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9994</v>
      </c>
      <c r="C1559" s="2" t="s">
        <v>594</v>
      </c>
      <c r="D1559" s="2" t="str">
        <f t="shared" si="23"/>
        <v>Error?</v>
      </c>
    </row>
    <row r="1560" spans="1:4" x14ac:dyDescent="0.2">
      <c r="A1560" s="5">
        <v>1499</v>
      </c>
      <c r="B1560" s="138">
        <f>'Expenditures 15-22'!K312</f>
        <v>9994</v>
      </c>
      <c r="C1560" s="2" t="s">
        <v>594</v>
      </c>
      <c r="D1560" s="2" t="str">
        <f t="shared" si="23"/>
        <v>Error?</v>
      </c>
    </row>
    <row r="1561" spans="1:4" x14ac:dyDescent="0.2">
      <c r="A1561" s="5">
        <v>1500</v>
      </c>
      <c r="B1561" s="138">
        <f>'Expenditures 15-22'!K313</f>
        <v>279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3497395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3373034</v>
      </c>
      <c r="C1630" s="2" t="s">
        <v>594</v>
      </c>
      <c r="D1630" s="2" t="str">
        <f t="shared" si="24"/>
        <v>Error?</v>
      </c>
    </row>
    <row r="1631" spans="1:4" x14ac:dyDescent="0.2">
      <c r="A1631" s="5">
        <v>1570</v>
      </c>
      <c r="B1631" s="138">
        <f>'Acct Summary 7-8'!D79</f>
        <v>715274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756790</v>
      </c>
      <c r="C1644" s="2" t="s">
        <v>594</v>
      </c>
      <c r="D1644" s="2" t="str">
        <f t="shared" si="24"/>
        <v>Error?</v>
      </c>
    </row>
    <row r="1645" spans="1:4" x14ac:dyDescent="0.2">
      <c r="A1645" s="5">
        <v>1584</v>
      </c>
      <c r="B1645" s="138">
        <f>'Acct Summary 7-8'!E79</f>
        <v>89385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82829</v>
      </c>
      <c r="C1658" s="2" t="s">
        <v>594</v>
      </c>
      <c r="D1658" s="2" t="str">
        <f t="shared" si="24"/>
        <v>Error?</v>
      </c>
    </row>
    <row r="1659" spans="1:4" x14ac:dyDescent="0.2">
      <c r="A1659" s="5">
        <v>1598</v>
      </c>
      <c r="B1659" s="138">
        <f>'Acct Summary 7-8'!F79</f>
        <v>405189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461683</v>
      </c>
      <c r="C1672" s="2" t="s">
        <v>594</v>
      </c>
      <c r="D1672" s="2" t="str">
        <f t="shared" si="25"/>
        <v>Error?</v>
      </c>
    </row>
    <row r="1673" spans="1:4" x14ac:dyDescent="0.2">
      <c r="A1673" s="5">
        <v>1612</v>
      </c>
      <c r="B1673" s="138">
        <f>'Acct Summary 7-8'!G79</f>
        <v>103567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140846</v>
      </c>
      <c r="C1686" s="2" t="s">
        <v>594</v>
      </c>
      <c r="D1686" s="2" t="str">
        <f t="shared" si="25"/>
        <v>Error?</v>
      </c>
    </row>
    <row r="1687" spans="1:4" x14ac:dyDescent="0.2">
      <c r="A1687" s="5">
        <v>1626</v>
      </c>
      <c r="B1687" s="138">
        <f>'Acct Summary 7-8'!H79</f>
        <v>14133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14412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1370606</v>
      </c>
      <c r="C1744" s="2" t="s">
        <v>594</v>
      </c>
      <c r="D1744" s="2" t="str">
        <f t="shared" si="26"/>
        <v>Error?</v>
      </c>
    </row>
    <row r="1745" spans="1:5" x14ac:dyDescent="0.2">
      <c r="A1745" s="5">
        <v>1684</v>
      </c>
      <c r="B1745" s="138">
        <f>'Tax Sched 23'!B5</f>
        <v>372415</v>
      </c>
      <c r="C1745" s="2" t="s">
        <v>594</v>
      </c>
      <c r="D1745" s="2" t="str">
        <f t="shared" si="26"/>
        <v>Error?</v>
      </c>
    </row>
    <row r="1746" spans="1:5" x14ac:dyDescent="0.2">
      <c r="A1746" s="5">
        <v>1685</v>
      </c>
      <c r="B1746" s="138">
        <f>'Tax Sched 23'!B6</f>
        <v>192145</v>
      </c>
      <c r="C1746" s="2" t="s">
        <v>594</v>
      </c>
      <c r="D1746" s="2" t="str">
        <f t="shared" si="26"/>
        <v>Error?</v>
      </c>
    </row>
    <row r="1747" spans="1:5" x14ac:dyDescent="0.2">
      <c r="A1747" s="5">
        <v>1686</v>
      </c>
      <c r="B1747" s="138">
        <f>'Tax Sched 23'!B7</f>
        <v>148966</v>
      </c>
      <c r="C1747" s="2" t="s">
        <v>594</v>
      </c>
      <c r="D1747" s="2" t="str">
        <f t="shared" si="26"/>
        <v>Error?</v>
      </c>
    </row>
    <row r="1748" spans="1:5" x14ac:dyDescent="0.2">
      <c r="A1748" s="5">
        <v>1687</v>
      </c>
      <c r="B1748" s="138">
        <f>'Tax Sched 23'!B8</f>
        <v>97064</v>
      </c>
      <c r="C1748" s="2" t="s">
        <v>594</v>
      </c>
      <c r="D1748" s="2" t="str">
        <f t="shared" si="26"/>
        <v>Error?</v>
      </c>
    </row>
    <row r="1749" spans="1:5" x14ac:dyDescent="0.2">
      <c r="A1749" s="5">
        <v>1688</v>
      </c>
      <c r="B1749" s="138">
        <f>'Tax Sched 23'!B10</f>
        <v>37241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513821</v>
      </c>
      <c r="C1752" s="2" t="s">
        <v>594</v>
      </c>
      <c r="D1752" s="2" t="str">
        <f t="shared" si="26"/>
        <v>Error?</v>
      </c>
    </row>
    <row r="1753" spans="1:5" x14ac:dyDescent="0.2">
      <c r="A1753" s="5">
        <v>1692</v>
      </c>
      <c r="B1753" s="138">
        <f>'Tax Sched 23'!B12</f>
        <v>37241</v>
      </c>
      <c r="C1753" s="2" t="s">
        <v>594</v>
      </c>
      <c r="D1753" s="2" t="str">
        <f t="shared" si="26"/>
        <v>Error?</v>
      </c>
    </row>
    <row r="1754" spans="1:5" x14ac:dyDescent="0.2">
      <c r="A1754" s="5">
        <v>1693</v>
      </c>
      <c r="B1754" s="138">
        <f>'Tax Sched 23'!B14</f>
        <v>29793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2968521</v>
      </c>
      <c r="C1759" s="2" t="s">
        <v>594</v>
      </c>
      <c r="D1759" s="2" t="str">
        <f t="shared" si="26"/>
        <v>Error?</v>
      </c>
    </row>
    <row r="1760" spans="1:5" x14ac:dyDescent="0.2">
      <c r="A1760" s="5">
        <v>1699</v>
      </c>
      <c r="B1760" s="138">
        <f>'Tax Sched 23'!D4</f>
        <v>745482</v>
      </c>
      <c r="C1760" s="2" t="s">
        <v>594</v>
      </c>
      <c r="D1760" s="2" t="str">
        <f t="shared" si="26"/>
        <v>Error?</v>
      </c>
    </row>
    <row r="1761" spans="1:5" x14ac:dyDescent="0.2">
      <c r="A1761" s="5">
        <v>1700</v>
      </c>
      <c r="B1761" s="138">
        <f>'Tax Sched 23'!D5</f>
        <v>202545</v>
      </c>
      <c r="C1761" s="2" t="s">
        <v>594</v>
      </c>
      <c r="D1761" s="2" t="str">
        <f t="shared" si="26"/>
        <v>Error?</v>
      </c>
    </row>
    <row r="1762" spans="1:5" s="8" customFormat="1" x14ac:dyDescent="0.2">
      <c r="A1762" s="5">
        <v>1701</v>
      </c>
      <c r="B1762" s="138">
        <f>'Tax Sched 23'!D6</f>
        <v>109214</v>
      </c>
      <c r="C1762" s="2" t="s">
        <v>594</v>
      </c>
      <c r="D1762" s="2" t="str">
        <f t="shared" si="26"/>
        <v>Error?</v>
      </c>
      <c r="E1762" s="9"/>
    </row>
    <row r="1763" spans="1:5" x14ac:dyDescent="0.2">
      <c r="A1763" s="5">
        <v>1702</v>
      </c>
      <c r="B1763" s="138">
        <f>'Tax Sched 23'!D7</f>
        <v>81018</v>
      </c>
      <c r="C1763" s="2" t="s">
        <v>594</v>
      </c>
      <c r="D1763" s="2" t="str">
        <f t="shared" si="26"/>
        <v>Error?</v>
      </c>
    </row>
    <row r="1764" spans="1:5" x14ac:dyDescent="0.2">
      <c r="A1764" s="5">
        <v>1703</v>
      </c>
      <c r="B1764" s="138">
        <f>'Tax Sched 23'!D8</f>
        <v>52286</v>
      </c>
      <c r="C1764" s="2" t="s">
        <v>594</v>
      </c>
      <c r="D1764" s="2" t="str">
        <f t="shared" si="26"/>
        <v>Error?</v>
      </c>
    </row>
    <row r="1765" spans="1:5" x14ac:dyDescent="0.2">
      <c r="A1765" s="5">
        <v>1704</v>
      </c>
      <c r="B1765" s="138">
        <f>'Tax Sched 23'!D10</f>
        <v>20254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281030</v>
      </c>
      <c r="C1768" s="2" t="s">
        <v>594</v>
      </c>
      <c r="D1768" s="2" t="str">
        <f t="shared" si="26"/>
        <v>Error?</v>
      </c>
    </row>
    <row r="1769" spans="1:5" x14ac:dyDescent="0.2">
      <c r="A1769" s="5">
        <v>1708</v>
      </c>
      <c r="B1769" s="138">
        <f>'Tax Sched 23'!D12</f>
        <v>20254</v>
      </c>
      <c r="C1769" s="2" t="s">
        <v>594</v>
      </c>
      <c r="D1769" s="2" t="str">
        <f t="shared" si="26"/>
        <v>Error?</v>
      </c>
    </row>
    <row r="1770" spans="1:5" x14ac:dyDescent="0.2">
      <c r="A1770" s="5">
        <v>1709</v>
      </c>
      <c r="B1770" s="138">
        <f>'Tax Sched 23'!D14</f>
        <v>16203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1620088</v>
      </c>
      <c r="C1775" s="2" t="s">
        <v>594</v>
      </c>
      <c r="D1775" s="2" t="str">
        <f t="shared" si="26"/>
        <v>Error?</v>
      </c>
    </row>
    <row r="1776" spans="1:5" x14ac:dyDescent="0.2">
      <c r="A1776" s="5">
        <v>1715</v>
      </c>
      <c r="B1776" s="138">
        <f>'Tax Sched 23'!C4</f>
        <v>625124</v>
      </c>
      <c r="D1776" s="2" t="str">
        <f t="shared" si="26"/>
        <v>Error?</v>
      </c>
    </row>
    <row r="1777" spans="1:4" x14ac:dyDescent="0.2">
      <c r="A1777" s="5">
        <v>1716</v>
      </c>
      <c r="B1777" s="138">
        <f>'Tax Sched 23'!C5</f>
        <v>169870</v>
      </c>
      <c r="D1777" s="2" t="str">
        <f t="shared" si="26"/>
        <v>Error?</v>
      </c>
    </row>
    <row r="1778" spans="1:4" x14ac:dyDescent="0.2">
      <c r="A1778" s="5">
        <v>1717</v>
      </c>
      <c r="B1778" s="138">
        <f>'Tax Sched 23'!C6</f>
        <v>82931</v>
      </c>
      <c r="D1778" s="2" t="str">
        <f t="shared" si="26"/>
        <v>Error?</v>
      </c>
    </row>
    <row r="1779" spans="1:4" x14ac:dyDescent="0.2">
      <c r="A1779" s="5">
        <v>1718</v>
      </c>
      <c r="B1779" s="138">
        <f>'Tax Sched 23'!C7</f>
        <v>67948</v>
      </c>
      <c r="D1779" s="2" t="str">
        <f t="shared" si="26"/>
        <v>Error?</v>
      </c>
    </row>
    <row r="1780" spans="1:4" x14ac:dyDescent="0.2">
      <c r="A1780" s="5">
        <v>1719</v>
      </c>
      <c r="B1780" s="138">
        <f>'Tax Sched 23'!C8</f>
        <v>44778</v>
      </c>
      <c r="D1780" s="2" t="str">
        <f t="shared" si="26"/>
        <v>Error?</v>
      </c>
    </row>
    <row r="1781" spans="1:4" x14ac:dyDescent="0.2">
      <c r="A1781" s="5">
        <v>1720</v>
      </c>
      <c r="B1781" s="138">
        <f>'Tax Sched 23'!C10</f>
        <v>16987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232791</v>
      </c>
      <c r="D1784" s="2" t="str">
        <f t="shared" si="26"/>
        <v>Error?</v>
      </c>
    </row>
    <row r="1785" spans="1:4" x14ac:dyDescent="0.2">
      <c r="A1785" s="5">
        <v>1724</v>
      </c>
      <c r="B1785" s="138">
        <f>'Tax Sched 23'!C12</f>
        <v>16987</v>
      </c>
      <c r="D1785" s="2" t="str">
        <f t="shared" si="26"/>
        <v>Error?</v>
      </c>
    </row>
    <row r="1786" spans="1:4" x14ac:dyDescent="0.2">
      <c r="A1786" s="5">
        <v>1725</v>
      </c>
      <c r="B1786" s="138">
        <f>'Tax Sched 23'!C14</f>
        <v>13590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1348433</v>
      </c>
      <c r="C1791" s="2" t="s">
        <v>594</v>
      </c>
      <c r="D1791" s="2" t="str">
        <f t="shared" ref="D1791:D1854" si="27">IF(ISBLANK(B1791),"OK",IF(A1791-B1791=0,"OK","Error?"))</f>
        <v>Error?</v>
      </c>
    </row>
    <row r="1792" spans="1:4" x14ac:dyDescent="0.2">
      <c r="A1792" s="5">
        <v>1731</v>
      </c>
      <c r="B1792" s="138">
        <f>'Tax Sched 23'!F4</f>
        <v>771190</v>
      </c>
      <c r="C1792" s="2" t="s">
        <v>594</v>
      </c>
      <c r="D1792" s="2" t="str">
        <f t="shared" si="27"/>
        <v>Error?</v>
      </c>
    </row>
    <row r="1793" spans="1:4" x14ac:dyDescent="0.2">
      <c r="A1793" s="5">
        <v>1732</v>
      </c>
      <c r="B1793" s="138">
        <f>'Tax Sched 23'!F5</f>
        <v>209563</v>
      </c>
      <c r="C1793" s="2" t="s">
        <v>594</v>
      </c>
      <c r="D1793" s="2" t="str">
        <f t="shared" si="27"/>
        <v>Error?</v>
      </c>
    </row>
    <row r="1794" spans="1:4" x14ac:dyDescent="0.2">
      <c r="A1794" s="5">
        <v>1733</v>
      </c>
      <c r="B1794" s="138">
        <f>'Tax Sched 23'!F6</f>
        <v>102309</v>
      </c>
      <c r="C1794" s="2" t="s">
        <v>594</v>
      </c>
      <c r="D1794" s="2" t="str">
        <f t="shared" si="27"/>
        <v>Error?</v>
      </c>
    </row>
    <row r="1795" spans="1:4" x14ac:dyDescent="0.2">
      <c r="A1795" s="5">
        <v>1734</v>
      </c>
      <c r="B1795" s="138">
        <f>'Tax Sched 23'!F7</f>
        <v>83825</v>
      </c>
      <c r="C1795" s="2" t="s">
        <v>594</v>
      </c>
      <c r="D1795" s="2" t="str">
        <f t="shared" si="27"/>
        <v>Error?</v>
      </c>
    </row>
    <row r="1796" spans="1:4" x14ac:dyDescent="0.2">
      <c r="A1796" s="5">
        <v>1735</v>
      </c>
      <c r="B1796" s="138">
        <f>'Tax Sched 23'!F8</f>
        <v>55241</v>
      </c>
      <c r="C1796" s="2" t="s">
        <v>594</v>
      </c>
      <c r="D1796" s="2" t="str">
        <f t="shared" si="27"/>
        <v>Error?</v>
      </c>
    </row>
    <row r="1797" spans="1:4" x14ac:dyDescent="0.2">
      <c r="A1797" s="5">
        <v>1736</v>
      </c>
      <c r="B1797" s="138">
        <f>'Tax Sched 23'!F10</f>
        <v>20956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287184</v>
      </c>
      <c r="C1800" s="2" t="s">
        <v>594</v>
      </c>
      <c r="D1800" s="2" t="str">
        <f t="shared" si="27"/>
        <v>Error?</v>
      </c>
    </row>
    <row r="1801" spans="1:4" x14ac:dyDescent="0.2">
      <c r="A1801" s="5">
        <v>1740</v>
      </c>
      <c r="B1801" s="138">
        <f>'Tax Sched 23'!F12</f>
        <v>20956</v>
      </c>
      <c r="C1801" s="2" t="s">
        <v>594</v>
      </c>
      <c r="D1801" s="2" t="str">
        <f t="shared" si="27"/>
        <v>Error?</v>
      </c>
    </row>
    <row r="1802" spans="1:4" x14ac:dyDescent="0.2">
      <c r="A1802" s="5">
        <v>1741</v>
      </c>
      <c r="B1802" s="138">
        <f>'Tax Sched 23'!F14</f>
        <v>16765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1663507</v>
      </c>
      <c r="C1807" s="2" t="s">
        <v>594</v>
      </c>
      <c r="D1807" s="2" t="str">
        <f t="shared" si="27"/>
        <v>Error?</v>
      </c>
    </row>
    <row r="1808" spans="1:4" x14ac:dyDescent="0.2">
      <c r="A1808" s="5">
        <v>1747</v>
      </c>
      <c r="B1808" s="138">
        <f>'Tax Sched 23'!E4</f>
        <v>1396314</v>
      </c>
      <c r="D1808" s="2" t="str">
        <f t="shared" si="27"/>
        <v>Error?</v>
      </c>
    </row>
    <row r="1809" spans="1:4" x14ac:dyDescent="0.2">
      <c r="A1809" s="5">
        <v>1748</v>
      </c>
      <c r="B1809" s="138">
        <f>'Tax Sched 23'!E5</f>
        <v>379433</v>
      </c>
      <c r="D1809" s="2" t="str">
        <f t="shared" si="27"/>
        <v>Error?</v>
      </c>
    </row>
    <row r="1810" spans="1:4" x14ac:dyDescent="0.2">
      <c r="A1810" s="5">
        <v>1749</v>
      </c>
      <c r="B1810" s="138">
        <f>'Tax Sched 23'!E6</f>
        <v>185240</v>
      </c>
      <c r="D1810" s="2" t="str">
        <f t="shared" si="27"/>
        <v>Error?</v>
      </c>
    </row>
    <row r="1811" spans="1:4" x14ac:dyDescent="0.2">
      <c r="A1811" s="5">
        <v>1750</v>
      </c>
      <c r="B1811" s="138">
        <f>'Tax Sched 23'!E7</f>
        <v>151773</v>
      </c>
      <c r="D1811" s="2" t="str">
        <f t="shared" si="27"/>
        <v>Error?</v>
      </c>
    </row>
    <row r="1812" spans="1:4" x14ac:dyDescent="0.2">
      <c r="A1812" s="5">
        <v>1751</v>
      </c>
      <c r="B1812" s="138">
        <f>'Tax Sched 23'!E8</f>
        <v>100019</v>
      </c>
      <c r="D1812" s="2" t="str">
        <f t="shared" si="27"/>
        <v>Error?</v>
      </c>
    </row>
    <row r="1813" spans="1:4" x14ac:dyDescent="0.2">
      <c r="A1813" s="5">
        <v>1752</v>
      </c>
      <c r="B1813" s="138">
        <f>'Tax Sched 23'!E10</f>
        <v>37943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519975</v>
      </c>
      <c r="D1816" s="2" t="str">
        <f t="shared" si="27"/>
        <v>Error?</v>
      </c>
    </row>
    <row r="1817" spans="1:4" x14ac:dyDescent="0.2">
      <c r="A1817" s="5">
        <v>1756</v>
      </c>
      <c r="B1817" s="138">
        <f>'Tax Sched 23'!E12</f>
        <v>37943</v>
      </c>
      <c r="D1817" s="2" t="str">
        <f t="shared" si="27"/>
        <v>Error?</v>
      </c>
    </row>
    <row r="1818" spans="1:4" x14ac:dyDescent="0.2">
      <c r="A1818" s="5">
        <v>1757</v>
      </c>
      <c r="B1818" s="138">
        <f>'Tax Sched 23'!E14</f>
        <v>30355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3011940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195000</v>
      </c>
      <c r="C1939" s="2" t="s">
        <v>594</v>
      </c>
      <c r="D1939" s="2" t="str">
        <f t="shared" si="29"/>
        <v>Error?</v>
      </c>
    </row>
    <row r="1940" spans="1:5" x14ac:dyDescent="0.2">
      <c r="A1940" s="5">
        <v>1879</v>
      </c>
      <c r="B1940" s="138">
        <f>'Short-Term Long-Term Debt 24'!F49</f>
        <v>850000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29793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29793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29793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68728</v>
      </c>
      <c r="D2008" s="2" t="str">
        <f t="shared" si="30"/>
        <v>Error?</v>
      </c>
    </row>
    <row r="2009" spans="1:4" x14ac:dyDescent="0.2">
      <c r="A2009" s="5">
        <v>1948</v>
      </c>
      <c r="B2009" s="138">
        <f>'Cap Outlay Deprec 26'!C8</f>
        <v>8845974</v>
      </c>
      <c r="D2009" s="2" t="str">
        <f t="shared" si="30"/>
        <v>Error?</v>
      </c>
    </row>
    <row r="2010" spans="1:4" x14ac:dyDescent="0.2">
      <c r="A2010" s="5">
        <v>1949</v>
      </c>
      <c r="B2010" s="138">
        <f>'Cap Outlay Deprec 26'!C10</f>
        <v>720886</v>
      </c>
      <c r="D2010" s="2" t="str">
        <f t="shared" si="30"/>
        <v>Error?</v>
      </c>
    </row>
    <row r="2011" spans="1:4" x14ac:dyDescent="0.2">
      <c r="A2011" s="5">
        <v>1950</v>
      </c>
      <c r="B2011" s="138">
        <f>'Cap Outlay Deprec 26'!C12</f>
        <v>435457</v>
      </c>
      <c r="D2011" s="2" t="str">
        <f t="shared" si="30"/>
        <v>Error?</v>
      </c>
    </row>
    <row r="2012" spans="1:4" x14ac:dyDescent="0.2">
      <c r="A2012" s="5">
        <v>1951</v>
      </c>
      <c r="B2012" s="138">
        <f>'Cap Outlay Deprec 26'!C13</f>
        <v>660524</v>
      </c>
      <c r="D2012" s="2" t="str">
        <f t="shared" si="30"/>
        <v>Error?</v>
      </c>
    </row>
    <row r="2013" spans="1:4" x14ac:dyDescent="0.2">
      <c r="A2013" s="5">
        <v>1952</v>
      </c>
      <c r="B2013" s="138">
        <f>'Cap Outlay Deprec 26'!C16</f>
        <v>10731569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46336</v>
      </c>
      <c r="D2015" s="2" t="str">
        <f t="shared" si="30"/>
        <v>Error?</v>
      </c>
    </row>
    <row r="2016" spans="1:4" x14ac:dyDescent="0.2">
      <c r="A2016" s="5">
        <v>1955</v>
      </c>
      <c r="B2016" s="138">
        <f>'Cap Outlay Deprec 26'!D10</f>
        <v>5578</v>
      </c>
      <c r="D2016" s="2" t="str">
        <f t="shared" si="30"/>
        <v>Error?</v>
      </c>
    </row>
    <row r="2017" spans="1:4" x14ac:dyDescent="0.2">
      <c r="A2017" s="5">
        <v>1956</v>
      </c>
      <c r="B2017" s="138">
        <f>'Cap Outlay Deprec 26'!D12</f>
        <v>40971</v>
      </c>
      <c r="D2017" s="2" t="str">
        <f t="shared" si="30"/>
        <v>Error?</v>
      </c>
    </row>
    <row r="2018" spans="1:4" x14ac:dyDescent="0.2">
      <c r="A2018" s="5">
        <v>1957</v>
      </c>
      <c r="B2018" s="138">
        <f>'Cap Outlay Deprec 26'!D13</f>
        <v>9299</v>
      </c>
      <c r="D2018" s="2" t="str">
        <f t="shared" si="30"/>
        <v>Error?</v>
      </c>
    </row>
    <row r="2019" spans="1:4" x14ac:dyDescent="0.2">
      <c r="A2019" s="5">
        <v>1958</v>
      </c>
      <c r="B2019" s="138">
        <f>'Cap Outlay Deprec 26'!D16</f>
        <v>102184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63640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63640</v>
      </c>
      <c r="C2025" s="2" t="s">
        <v>594</v>
      </c>
      <c r="D2025" s="2" t="str">
        <f t="shared" si="30"/>
        <v>Error?</v>
      </c>
    </row>
    <row r="2026" spans="1:4" x14ac:dyDescent="0.2">
      <c r="A2026" s="5">
        <v>1965</v>
      </c>
      <c r="B2026" s="138">
        <f>'Cap Outlay Deprec 26'!F5</f>
        <v>68728</v>
      </c>
      <c r="C2026" s="2" t="s">
        <v>594</v>
      </c>
      <c r="D2026" s="2" t="str">
        <f t="shared" si="30"/>
        <v>Error?</v>
      </c>
    </row>
    <row r="2027" spans="1:4" x14ac:dyDescent="0.2">
      <c r="A2027" s="5">
        <v>1966</v>
      </c>
      <c r="B2027" s="138">
        <f>'Cap Outlay Deprec 26'!F8</f>
        <v>8892310</v>
      </c>
      <c r="C2027" s="2" t="s">
        <v>594</v>
      </c>
      <c r="D2027" s="2" t="str">
        <f t="shared" si="30"/>
        <v>Error?</v>
      </c>
    </row>
    <row r="2028" spans="1:4" x14ac:dyDescent="0.2">
      <c r="A2028" s="5">
        <v>1967</v>
      </c>
      <c r="B2028" s="138">
        <f>'Cap Outlay Deprec 26'!F10</f>
        <v>726464</v>
      </c>
      <c r="C2028" s="2" t="s">
        <v>594</v>
      </c>
      <c r="D2028" s="2" t="str">
        <f t="shared" si="30"/>
        <v>Error?</v>
      </c>
    </row>
    <row r="2029" spans="1:4" x14ac:dyDescent="0.2">
      <c r="A2029" s="5">
        <v>1968</v>
      </c>
      <c r="B2029" s="138">
        <f>'Cap Outlay Deprec 26'!F12</f>
        <v>412788</v>
      </c>
      <c r="C2029" s="2" t="s">
        <v>594</v>
      </c>
      <c r="D2029" s="2" t="str">
        <f t="shared" si="30"/>
        <v>Error?</v>
      </c>
    </row>
    <row r="2030" spans="1:4" x14ac:dyDescent="0.2">
      <c r="A2030" s="5">
        <v>1969</v>
      </c>
      <c r="B2030" s="138">
        <f>'Cap Outlay Deprec 26'!F13</f>
        <v>669823</v>
      </c>
      <c r="C2030" s="2" t="s">
        <v>594</v>
      </c>
      <c r="D2030" s="2" t="str">
        <f t="shared" si="30"/>
        <v>Error?</v>
      </c>
    </row>
    <row r="2031" spans="1:4" x14ac:dyDescent="0.2">
      <c r="A2031" s="5">
        <v>1970</v>
      </c>
      <c r="B2031" s="138">
        <f>'Cap Outlay Deprec 26'!F16</f>
        <v>10770113</v>
      </c>
      <c r="C2031" s="2" t="s">
        <v>594</v>
      </c>
      <c r="D2031" s="2" t="str">
        <f t="shared" si="30"/>
        <v>Error?</v>
      </c>
    </row>
    <row r="2032" spans="1:4" x14ac:dyDescent="0.2">
      <c r="A2032" s="10">
        <v>1971</v>
      </c>
      <c r="D2032" s="2" t="str">
        <f t="shared" si="30"/>
        <v>OK</v>
      </c>
    </row>
    <row r="2033" spans="1:4" x14ac:dyDescent="0.2">
      <c r="A2033" s="5">
        <v>1972</v>
      </c>
      <c r="B2033" s="138">
        <f>'Cap Outlay Deprec 26'!H8</f>
        <v>4872628</v>
      </c>
      <c r="D2033" s="2" t="str">
        <f t="shared" si="30"/>
        <v>Error?</v>
      </c>
    </row>
    <row r="2034" spans="1:4" x14ac:dyDescent="0.2">
      <c r="A2034" s="5">
        <v>1973</v>
      </c>
      <c r="B2034" s="138">
        <f>'Cap Outlay Deprec 26'!H10</f>
        <v>413410</v>
      </c>
      <c r="D2034" s="2" t="str">
        <f t="shared" si="30"/>
        <v>Error?</v>
      </c>
    </row>
    <row r="2035" spans="1:4" x14ac:dyDescent="0.2">
      <c r="A2035" s="5">
        <v>1974</v>
      </c>
      <c r="B2035" s="138">
        <f>'Cap Outlay Deprec 26'!H12</f>
        <v>256071</v>
      </c>
      <c r="D2035" s="2" t="str">
        <f t="shared" si="30"/>
        <v>Error?</v>
      </c>
    </row>
    <row r="2036" spans="1:4" x14ac:dyDescent="0.2">
      <c r="A2036" s="5">
        <v>1975</v>
      </c>
      <c r="B2036" s="138">
        <f>'Cap Outlay Deprec 26'!H13</f>
        <v>658229</v>
      </c>
      <c r="D2036" s="2" t="str">
        <f t="shared" si="30"/>
        <v>Error?</v>
      </c>
    </row>
    <row r="2037" spans="1:4" x14ac:dyDescent="0.2">
      <c r="A2037" s="5">
        <v>1976</v>
      </c>
      <c r="B2037" s="138">
        <f>'Cap Outlay Deprec 26'!H16</f>
        <v>6200338</v>
      </c>
      <c r="C2037" s="2" t="s">
        <v>594</v>
      </c>
      <c r="D2037" s="2" t="str">
        <f t="shared" si="30"/>
        <v>Error?</v>
      </c>
    </row>
    <row r="2038" spans="1:4" x14ac:dyDescent="0.2">
      <c r="A2038" s="10">
        <v>1977</v>
      </c>
      <c r="D2038" s="2" t="str">
        <f t="shared" si="30"/>
        <v>OK</v>
      </c>
    </row>
    <row r="2039" spans="1:4" x14ac:dyDescent="0.2">
      <c r="A2039" s="5">
        <v>1978</v>
      </c>
      <c r="B2039" s="138">
        <f>'Cap Outlay Deprec 26'!I8</f>
        <v>117846</v>
      </c>
      <c r="D2039" s="2" t="str">
        <f t="shared" si="30"/>
        <v>Error?</v>
      </c>
    </row>
    <row r="2040" spans="1:4" x14ac:dyDescent="0.2">
      <c r="A2040" s="5">
        <v>1979</v>
      </c>
      <c r="B2040" s="138">
        <f>'Cap Outlay Deprec 26'!I10</f>
        <v>36323</v>
      </c>
      <c r="D2040" s="2" t="str">
        <f t="shared" si="30"/>
        <v>Error?</v>
      </c>
    </row>
    <row r="2041" spans="1:4" x14ac:dyDescent="0.2">
      <c r="A2041" s="5">
        <v>1980</v>
      </c>
      <c r="B2041" s="138">
        <f>'Cap Outlay Deprec 26'!I12</f>
        <v>39907</v>
      </c>
      <c r="D2041" s="2" t="str">
        <f t="shared" si="30"/>
        <v>Error?</v>
      </c>
    </row>
    <row r="2042" spans="1:4" x14ac:dyDescent="0.2">
      <c r="A2042" s="5">
        <v>1981</v>
      </c>
      <c r="B2042" s="138">
        <f>'Cap Outlay Deprec 26'!I13</f>
        <v>783</v>
      </c>
      <c r="D2042" s="2" t="str">
        <f t="shared" si="30"/>
        <v>Error?</v>
      </c>
    </row>
    <row r="2043" spans="1:4" x14ac:dyDescent="0.2">
      <c r="A2043" s="5">
        <v>1982</v>
      </c>
      <c r="B2043" s="138">
        <f>'Cap Outlay Deprec 26'!I16</f>
        <v>194859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63640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63640</v>
      </c>
      <c r="C2049" s="2" t="s">
        <v>594</v>
      </c>
      <c r="D2049" s="2" t="str">
        <f t="shared" si="31"/>
        <v>Error?</v>
      </c>
    </row>
    <row r="2050" spans="1:4" x14ac:dyDescent="0.2">
      <c r="A2050" s="10">
        <v>1989</v>
      </c>
      <c r="D2050" s="2" t="str">
        <f t="shared" si="31"/>
        <v>OK</v>
      </c>
    </row>
    <row r="2051" spans="1:4" x14ac:dyDescent="0.2">
      <c r="A2051" s="5">
        <v>1990</v>
      </c>
      <c r="B2051" s="138">
        <f>'Cap Outlay Deprec 26'!K8</f>
        <v>4990474</v>
      </c>
      <c r="C2051" s="2" t="s">
        <v>594</v>
      </c>
      <c r="D2051" s="2" t="str">
        <f t="shared" si="31"/>
        <v>Error?</v>
      </c>
    </row>
    <row r="2052" spans="1:4" x14ac:dyDescent="0.2">
      <c r="A2052" s="5">
        <v>1991</v>
      </c>
      <c r="B2052" s="138">
        <f>'Cap Outlay Deprec 26'!K10</f>
        <v>449733</v>
      </c>
      <c r="C2052" s="2" t="s">
        <v>594</v>
      </c>
      <c r="D2052" s="2" t="str">
        <f t="shared" si="31"/>
        <v>Error?</v>
      </c>
    </row>
    <row r="2053" spans="1:4" x14ac:dyDescent="0.2">
      <c r="A2053" s="5">
        <v>1992</v>
      </c>
      <c r="B2053" s="138">
        <f>'Cap Outlay Deprec 26'!K12</f>
        <v>232338</v>
      </c>
      <c r="C2053" s="2" t="s">
        <v>594</v>
      </c>
      <c r="D2053" s="2" t="str">
        <f t="shared" si="31"/>
        <v>Error?</v>
      </c>
    </row>
    <row r="2054" spans="1:4" x14ac:dyDescent="0.2">
      <c r="A2054" s="5">
        <v>1993</v>
      </c>
      <c r="B2054" s="138">
        <f>'Cap Outlay Deprec 26'!K13</f>
        <v>659012</v>
      </c>
      <c r="C2054" s="2" t="s">
        <v>594</v>
      </c>
      <c r="D2054" s="2" t="str">
        <f t="shared" si="31"/>
        <v>Error?</v>
      </c>
    </row>
    <row r="2055" spans="1:4" x14ac:dyDescent="0.2">
      <c r="A2055" s="5">
        <v>1994</v>
      </c>
      <c r="B2055" s="138">
        <f>'Cap Outlay Deprec 26'!K16</f>
        <v>6331557</v>
      </c>
      <c r="C2055" s="2" t="s">
        <v>594</v>
      </c>
      <c r="D2055" s="2" t="str">
        <f t="shared" si="31"/>
        <v>Error?</v>
      </c>
    </row>
    <row r="2056" spans="1:4" x14ac:dyDescent="0.2">
      <c r="A2056" s="5">
        <v>1995</v>
      </c>
      <c r="B2056" s="138">
        <f>'Cap Outlay Deprec 26'!L5</f>
        <v>68728</v>
      </c>
      <c r="C2056" s="2" t="s">
        <v>594</v>
      </c>
      <c r="D2056" s="2" t="str">
        <f t="shared" si="31"/>
        <v>Error?</v>
      </c>
    </row>
    <row r="2057" spans="1:4" x14ac:dyDescent="0.2">
      <c r="A2057" s="5">
        <v>1996</v>
      </c>
      <c r="B2057" s="138">
        <f>'Cap Outlay Deprec 26'!L8</f>
        <v>3901836</v>
      </c>
      <c r="C2057" s="2" t="s">
        <v>594</v>
      </c>
      <c r="D2057" s="2" t="str">
        <f t="shared" si="31"/>
        <v>Error?</v>
      </c>
    </row>
    <row r="2058" spans="1:4" x14ac:dyDescent="0.2">
      <c r="A2058" s="5">
        <v>1997</v>
      </c>
      <c r="B2058" s="138">
        <f>'Cap Outlay Deprec 26'!L10</f>
        <v>276731</v>
      </c>
      <c r="C2058" s="2" t="s">
        <v>594</v>
      </c>
      <c r="D2058" s="2" t="str">
        <f t="shared" si="31"/>
        <v>Error?</v>
      </c>
    </row>
    <row r="2059" spans="1:4" x14ac:dyDescent="0.2">
      <c r="A2059" s="5">
        <v>1998</v>
      </c>
      <c r="B2059" s="138">
        <f>'Cap Outlay Deprec 26'!L12</f>
        <v>180450</v>
      </c>
      <c r="C2059" s="2" t="s">
        <v>594</v>
      </c>
      <c r="D2059" s="2" t="str">
        <f t="shared" si="31"/>
        <v>Error?</v>
      </c>
    </row>
    <row r="2060" spans="1:4" x14ac:dyDescent="0.2">
      <c r="A2060" s="5">
        <v>1999</v>
      </c>
      <c r="B2060" s="138">
        <f>'Cap Outlay Deprec 26'!L13</f>
        <v>10811</v>
      </c>
      <c r="C2060" s="2" t="s">
        <v>594</v>
      </c>
      <c r="D2060" s="2" t="str">
        <f t="shared" si="31"/>
        <v>Error?</v>
      </c>
    </row>
    <row r="2061" spans="1:4" x14ac:dyDescent="0.2">
      <c r="A2061" s="5">
        <v>2000</v>
      </c>
      <c r="B2061" s="138">
        <f>'Cap Outlay Deprec 26'!L16</f>
        <v>4438556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507768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8290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14521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14412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3248917</v>
      </c>
      <c r="C2551" s="2" t="s">
        <v>594</v>
      </c>
      <c r="D2551" s="2" t="str">
        <f t="shared" si="38"/>
        <v>Error?</v>
      </c>
    </row>
    <row r="2552" spans="1:4" x14ac:dyDescent="0.2">
      <c r="A2552" s="10">
        <v>2491</v>
      </c>
      <c r="D2552" s="2" t="str">
        <f t="shared" si="38"/>
        <v>OK</v>
      </c>
    </row>
    <row r="2553" spans="1:4" x14ac:dyDescent="0.2">
      <c r="A2553" s="5">
        <v>2492</v>
      </c>
      <c r="B2553" s="138">
        <f>'Acct Summary 7-8'!C6</f>
        <v>807503</v>
      </c>
      <c r="C2553" s="2" t="s">
        <v>594</v>
      </c>
      <c r="D2553" s="2" t="str">
        <f t="shared" si="38"/>
        <v>Error?</v>
      </c>
    </row>
    <row r="2554" spans="1:4" x14ac:dyDescent="0.2">
      <c r="A2554" s="5">
        <v>2493</v>
      </c>
      <c r="B2554" s="138">
        <f>'Acct Summary 7-8'!C7</f>
        <v>286388</v>
      </c>
      <c r="C2554" s="2" t="s">
        <v>594</v>
      </c>
      <c r="D2554" s="2" t="str">
        <f t="shared" si="38"/>
        <v>Error?</v>
      </c>
    </row>
    <row r="2555" spans="1:4" x14ac:dyDescent="0.2">
      <c r="A2555" s="5">
        <v>2494</v>
      </c>
      <c r="B2555" s="138">
        <f>'Acct Summary 7-8'!C8</f>
        <v>4470358</v>
      </c>
      <c r="C2555" s="2" t="s">
        <v>594</v>
      </c>
      <c r="D2555" s="2" t="str">
        <f t="shared" si="38"/>
        <v>Error?</v>
      </c>
    </row>
    <row r="2556" spans="1:4" x14ac:dyDescent="0.2">
      <c r="A2556" s="5">
        <v>2495</v>
      </c>
      <c r="B2556" s="138">
        <f>'Acct Summary 7-8'!C12</f>
        <v>3180770</v>
      </c>
      <c r="C2556" s="2" t="s">
        <v>594</v>
      </c>
      <c r="D2556" s="2" t="str">
        <f t="shared" si="38"/>
        <v>Error?</v>
      </c>
    </row>
    <row r="2557" spans="1:4" x14ac:dyDescent="0.2">
      <c r="A2557" s="5">
        <v>2496</v>
      </c>
      <c r="B2557" s="138">
        <f>'Acct Summary 7-8'!C13</f>
        <v>884959</v>
      </c>
      <c r="C2557" s="2" t="s">
        <v>594</v>
      </c>
      <c r="D2557" s="2" t="str">
        <f t="shared" si="38"/>
        <v>Error?</v>
      </c>
    </row>
    <row r="2558" spans="1:4" x14ac:dyDescent="0.2">
      <c r="A2558" s="5">
        <v>2497</v>
      </c>
      <c r="B2558" s="138">
        <f>'Acct Summary 7-8'!C14</f>
        <v>29512</v>
      </c>
      <c r="C2558" s="2" t="s">
        <v>594</v>
      </c>
      <c r="D2558" s="2" t="str">
        <f t="shared" si="38"/>
        <v>Error?</v>
      </c>
    </row>
    <row r="2559" spans="1:4" x14ac:dyDescent="0.2">
      <c r="A2559" s="5">
        <v>2498</v>
      </c>
      <c r="B2559" s="138">
        <f>'Acct Summary 7-8'!C15</f>
        <v>507768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4603009</v>
      </c>
      <c r="C2561" s="2" t="s">
        <v>594</v>
      </c>
      <c r="D2561" s="2" t="str">
        <f t="shared" si="39"/>
        <v>Error?</v>
      </c>
    </row>
    <row r="2562" spans="1:4" x14ac:dyDescent="0.2">
      <c r="A2562" s="5">
        <v>2501</v>
      </c>
      <c r="B2562" s="138">
        <f>'Acct Summary 7-8'!C20</f>
        <v>-132651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519039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519039</v>
      </c>
      <c r="C2568" s="2" t="s">
        <v>594</v>
      </c>
      <c r="D2568" s="2" t="str">
        <f t="shared" si="39"/>
        <v>Error?</v>
      </c>
    </row>
    <row r="2569" spans="1:4" x14ac:dyDescent="0.2">
      <c r="A2569" s="5">
        <v>2508</v>
      </c>
      <c r="B2569" s="138">
        <f>'Acct Summary 7-8'!D13</f>
        <v>477523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477523</v>
      </c>
      <c r="C2573" s="2" t="s">
        <v>594</v>
      </c>
      <c r="D2573" s="2" t="str">
        <f t="shared" si="39"/>
        <v>Error?</v>
      </c>
    </row>
    <row r="2574" spans="1:4" x14ac:dyDescent="0.2">
      <c r="A2574" s="5">
        <v>2513</v>
      </c>
      <c r="B2574" s="138">
        <f>'Acct Summary 7-8'!D20</f>
        <v>41516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149380</v>
      </c>
      <c r="C2591" s="2" t="s">
        <v>594</v>
      </c>
      <c r="D2591" s="2" t="str">
        <f t="shared" si="39"/>
        <v>Error?</v>
      </c>
    </row>
    <row r="2592" spans="1:4" x14ac:dyDescent="0.2">
      <c r="A2592" s="10">
        <v>2531</v>
      </c>
      <c r="D2592" s="2" t="str">
        <f t="shared" si="39"/>
        <v>OK</v>
      </c>
    </row>
    <row r="2593" spans="1:4" x14ac:dyDescent="0.2">
      <c r="A2593" s="5">
        <v>2532</v>
      </c>
      <c r="B2593" s="138">
        <f>'Acct Summary 7-8'!F6</f>
        <v>27950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177330</v>
      </c>
      <c r="C2595" s="2" t="s">
        <v>594</v>
      </c>
      <c r="D2595" s="2" t="str">
        <f t="shared" si="39"/>
        <v>Error?</v>
      </c>
    </row>
    <row r="2596" spans="1:4" x14ac:dyDescent="0.2">
      <c r="A2596" s="5">
        <v>2535</v>
      </c>
      <c r="B2596" s="138">
        <f>'Acct Summary 7-8'!F13</f>
        <v>120836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120836</v>
      </c>
      <c r="C2600" s="2" t="s">
        <v>594</v>
      </c>
      <c r="D2600" s="2" t="str">
        <f t="shared" si="39"/>
        <v>Error?</v>
      </c>
    </row>
    <row r="2601" spans="1:4" x14ac:dyDescent="0.2">
      <c r="A2601" s="5">
        <v>2540</v>
      </c>
      <c r="B2601" s="138">
        <f>'Acct Summary 7-8'!F20</f>
        <v>56494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286103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286103</v>
      </c>
      <c r="C2606" s="2" t="s">
        <v>594</v>
      </c>
      <c r="D2606" s="2" t="str">
        <f t="shared" si="39"/>
        <v>Error?</v>
      </c>
    </row>
    <row r="2607" spans="1:4" x14ac:dyDescent="0.2">
      <c r="A2607" s="5">
        <v>2546</v>
      </c>
      <c r="B2607" s="138">
        <f>'Acct Summary 7-8'!G12</f>
        <v>111632</v>
      </c>
      <c r="C2607" s="2" t="s">
        <v>594</v>
      </c>
      <c r="D2607" s="2" t="str">
        <f t="shared" si="39"/>
        <v>Error?</v>
      </c>
    </row>
    <row r="2608" spans="1:4" x14ac:dyDescent="0.2">
      <c r="A2608" s="5">
        <v>2547</v>
      </c>
      <c r="B2608" s="138">
        <f>'Acct Summary 7-8'!G13</f>
        <v>137192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248824</v>
      </c>
      <c r="C2612" s="2" t="s">
        <v>594</v>
      </c>
      <c r="D2612" s="2" t="str">
        <f t="shared" si="39"/>
        <v>Error?</v>
      </c>
    </row>
    <row r="2613" spans="1:4" x14ac:dyDescent="0.2">
      <c r="A2613" s="5">
        <v>2552</v>
      </c>
      <c r="B2613" s="138">
        <f>'Acct Summary 7-8'!G20</f>
        <v>37279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192357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192357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198913</v>
      </c>
      <c r="C2634" s="2" t="s">
        <v>594</v>
      </c>
      <c r="D2634" s="2" t="str">
        <f t="shared" si="40"/>
        <v>Error?</v>
      </c>
    </row>
    <row r="2635" spans="1:4" x14ac:dyDescent="0.2">
      <c r="A2635" s="5">
        <v>2574</v>
      </c>
      <c r="B2635" s="138">
        <f>'Acct Summary 7-8'!E17</f>
        <v>198913</v>
      </c>
      <c r="C2635" s="2" t="s">
        <v>594</v>
      </c>
      <c r="D2635" s="2" t="str">
        <f t="shared" si="40"/>
        <v>Error?</v>
      </c>
    </row>
    <row r="2636" spans="1:4" x14ac:dyDescent="0.2">
      <c r="A2636" s="5">
        <v>2575</v>
      </c>
      <c r="B2636" s="138">
        <f>'Acct Summary 7-8'!E20</f>
        <v>-6556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10273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10273</v>
      </c>
      <c r="C2658" s="2" t="s">
        <v>594</v>
      </c>
      <c r="D2658" s="2" t="str">
        <f t="shared" si="40"/>
        <v>Error?</v>
      </c>
    </row>
    <row r="2659" spans="1:4" x14ac:dyDescent="0.2">
      <c r="A2659" s="5">
        <v>2598</v>
      </c>
      <c r="B2659" s="138">
        <f>'Acct Summary 7-8'!H13</f>
        <v>9994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9994</v>
      </c>
      <c r="C2661" s="2" t="s">
        <v>594</v>
      </c>
      <c r="D2661" s="2" t="str">
        <f t="shared" si="40"/>
        <v>Error?</v>
      </c>
    </row>
    <row r="2662" spans="1:4" x14ac:dyDescent="0.2">
      <c r="A2662" s="5">
        <v>2601</v>
      </c>
      <c r="B2662" s="138">
        <f>'Acct Summary 7-8'!H20</f>
        <v>279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879671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895006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806</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190053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895006</v>
      </c>
      <c r="D2912" s="2" t="str">
        <f t="shared" si="44"/>
        <v>Error?</v>
      </c>
    </row>
    <row r="2913" spans="1:4" x14ac:dyDescent="0.2">
      <c r="A2913" s="5">
        <v>2852</v>
      </c>
      <c r="B2913" s="138">
        <f>'Assets-Liab 5-6'!I41</f>
        <v>895006</v>
      </c>
      <c r="C2913" s="2" t="s">
        <v>594</v>
      </c>
      <c r="D2913" s="2" t="str">
        <f t="shared" si="44"/>
        <v>Error?</v>
      </c>
    </row>
    <row r="2914" spans="1:4" x14ac:dyDescent="0.2">
      <c r="A2914" s="5">
        <v>2853</v>
      </c>
      <c r="B2914" s="138">
        <f>'Assets-Liab 5-6'!L33</f>
        <v>190053</v>
      </c>
      <c r="D2914" s="2" t="str">
        <f t="shared" si="44"/>
        <v>Error?</v>
      </c>
    </row>
    <row r="2915" spans="1:4" x14ac:dyDescent="0.2">
      <c r="A2915" s="10">
        <v>2854</v>
      </c>
      <c r="D2915" s="2" t="str">
        <f t="shared" si="44"/>
        <v>OK</v>
      </c>
    </row>
    <row r="2916" spans="1:4" x14ac:dyDescent="0.2">
      <c r="A2916" s="5">
        <v>2855</v>
      </c>
      <c r="B2916" s="138">
        <f>'Assets-Liab 5-6'!L34</f>
        <v>190053</v>
      </c>
      <c r="C2916" s="2" t="s">
        <v>594</v>
      </c>
      <c r="D2916" s="2" t="str">
        <f t="shared" si="44"/>
        <v>Error?</v>
      </c>
    </row>
    <row r="2917" spans="1:4" x14ac:dyDescent="0.2">
      <c r="A2917" s="5">
        <v>2856</v>
      </c>
      <c r="B2917" s="138">
        <f>'Assets-Liab 5-6'!L41</f>
        <v>190053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11010</v>
      </c>
      <c r="D3055" s="2" t="str">
        <f t="shared" si="46"/>
        <v>Error?</v>
      </c>
    </row>
    <row r="3056" spans="1:4" x14ac:dyDescent="0.2">
      <c r="A3056" s="5">
        <v>2995</v>
      </c>
      <c r="B3056" s="138">
        <f>'Expenditures 15-22'!D10</f>
        <v>924</v>
      </c>
      <c r="D3056" s="2" t="str">
        <f t="shared" si="46"/>
        <v>Error?</v>
      </c>
    </row>
    <row r="3057" spans="1:4" x14ac:dyDescent="0.2">
      <c r="A3057" s="5">
        <v>2996</v>
      </c>
      <c r="B3057" s="138">
        <f>'Expenditures 15-22'!E10</f>
        <v>3198</v>
      </c>
      <c r="D3057" s="2" t="str">
        <f t="shared" si="46"/>
        <v>Error?</v>
      </c>
    </row>
    <row r="3058" spans="1:4" x14ac:dyDescent="0.2">
      <c r="A3058" s="5">
        <v>2997</v>
      </c>
      <c r="B3058" s="138">
        <f>'Expenditures 15-22'!F10</f>
        <v>56264</v>
      </c>
      <c r="D3058" s="2" t="str">
        <f t="shared" si="46"/>
        <v>Error?</v>
      </c>
    </row>
    <row r="3059" spans="1:4" x14ac:dyDescent="0.2">
      <c r="A3059" s="5">
        <v>2998</v>
      </c>
      <c r="B3059" s="138">
        <f>'Expenditures 15-22'!G10</f>
        <v>1100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72496</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40907</v>
      </c>
      <c r="C3225" s="2" t="s">
        <v>594</v>
      </c>
      <c r="D3225" s="2" t="str">
        <f t="shared" si="49"/>
        <v>Error?</v>
      </c>
    </row>
    <row r="3226" spans="1:4" x14ac:dyDescent="0.2">
      <c r="A3226" s="5">
        <v>3165</v>
      </c>
      <c r="B3226" s="138">
        <f>'Acct Summary 7-8'!I8</f>
        <v>40907</v>
      </c>
      <c r="C3226" s="2" t="s">
        <v>594</v>
      </c>
      <c r="D3226" s="2" t="str">
        <f t="shared" si="49"/>
        <v>Error?</v>
      </c>
    </row>
    <row r="3227" spans="1:4" x14ac:dyDescent="0.2">
      <c r="A3227" s="5">
        <v>3166</v>
      </c>
      <c r="B3227" s="138">
        <f>'Acct Summary 7-8'!I20</f>
        <v>40907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8290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8290</v>
      </c>
      <c r="C3232" s="2" t="s">
        <v>594</v>
      </c>
      <c r="D3232" s="2" t="str">
        <f t="shared" si="49"/>
        <v>Error?</v>
      </c>
    </row>
    <row r="3233" spans="1:4" x14ac:dyDescent="0.2">
      <c r="A3233" s="5">
        <v>3172</v>
      </c>
      <c r="B3233" s="138">
        <f>'Acct Summary 7-8'!C78</f>
        <v>-124361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41516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56494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37279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-6556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279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8290</v>
      </c>
      <c r="C3318" s="2" t="s">
        <v>594</v>
      </c>
      <c r="D3318" s="2" t="str">
        <f t="shared" si="50"/>
        <v>Error?</v>
      </c>
    </row>
    <row r="3319" spans="1:4" x14ac:dyDescent="0.2">
      <c r="A3319" s="5">
        <v>3258</v>
      </c>
      <c r="B3319" s="138">
        <f>'Acct Summary 7-8'!I77</f>
        <v>-8290</v>
      </c>
      <c r="C3319" s="2" t="s">
        <v>594</v>
      </c>
      <c r="D3319" s="2" t="str">
        <f t="shared" si="50"/>
        <v>Error?</v>
      </c>
    </row>
    <row r="3320" spans="1:4" x14ac:dyDescent="0.2">
      <c r="A3320" s="5">
        <v>3259</v>
      </c>
      <c r="B3320" s="138">
        <f>'Acct Summary 7-8'!I78</f>
        <v>32617</v>
      </c>
      <c r="C3320" s="2" t="s">
        <v>594</v>
      </c>
      <c r="D3320" s="2" t="str">
        <f t="shared" si="50"/>
        <v>Error?</v>
      </c>
    </row>
    <row r="3321" spans="1:4" x14ac:dyDescent="0.2">
      <c r="A3321" s="5">
        <v>3260</v>
      </c>
      <c r="B3321" s="138">
        <f>'Acct Summary 7-8'!I79</f>
        <v>862389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895006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164290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34259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198549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44174</v>
      </c>
      <c r="D3387" s="2" t="str">
        <f t="shared" si="51"/>
        <v>Error?</v>
      </c>
    </row>
    <row r="3388" spans="1:4" x14ac:dyDescent="0.2">
      <c r="A3388" s="5">
        <v>3327</v>
      </c>
      <c r="B3388" s="138">
        <f>'Expenditures 15-22'!D217</f>
        <v>37953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44174</v>
      </c>
      <c r="C3390" s="2" t="s">
        <v>594</v>
      </c>
      <c r="D3390" s="2" t="str">
        <f t="shared" si="51"/>
        <v>Error?</v>
      </c>
    </row>
    <row r="3391" spans="1:4" x14ac:dyDescent="0.2">
      <c r="A3391" s="5">
        <v>3330</v>
      </c>
      <c r="B3391" s="138">
        <f>'Expenditures 15-22'!K217</f>
        <v>37953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127550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2800069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756790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82829</v>
      </c>
      <c r="D3417" s="2" t="str">
        <f t="shared" si="52"/>
        <v>Error?</v>
      </c>
    </row>
    <row r="3418" spans="1:4" x14ac:dyDescent="0.2">
      <c r="A3418" s="10">
        <v>3357</v>
      </c>
      <c r="D3418" s="2" t="str">
        <f t="shared" si="52"/>
        <v>OK</v>
      </c>
    </row>
    <row r="3419" spans="1:4" x14ac:dyDescent="0.2">
      <c r="A3419" s="5">
        <v>3358</v>
      </c>
      <c r="B3419" s="138">
        <f>'Assets-Liab 5-6'!F4</f>
        <v>251683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140846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14412</v>
      </c>
      <c r="D3425" s="2" t="str">
        <f t="shared" si="52"/>
        <v>Error?</v>
      </c>
    </row>
    <row r="3426" spans="1:4" x14ac:dyDescent="0.2">
      <c r="A3426" s="10">
        <v>3365</v>
      </c>
      <c r="D3426" s="2" t="str">
        <f t="shared" si="52"/>
        <v>OK</v>
      </c>
    </row>
    <row r="3427" spans="1:4" x14ac:dyDescent="0.2">
      <c r="A3427" s="5">
        <v>3366</v>
      </c>
      <c r="B3427" s="138">
        <f>'Assets-Liab 5-6'!I4</f>
        <v>15335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189247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131988</v>
      </c>
      <c r="C3446" s="2" t="s">
        <v>594</v>
      </c>
      <c r="D3446" s="2" t="str">
        <f t="shared" si="52"/>
        <v>Error?</v>
      </c>
    </row>
    <row r="3447" spans="1:4" x14ac:dyDescent="0.2">
      <c r="A3447" s="5">
        <v>3386</v>
      </c>
      <c r="B3447" s="138">
        <f>'Tax Sched 23'!D16</f>
        <v>71548</v>
      </c>
      <c r="C3447" s="2" t="s">
        <v>594</v>
      </c>
      <c r="D3447" s="2" t="str">
        <f t="shared" si="52"/>
        <v>Error?</v>
      </c>
    </row>
    <row r="3448" spans="1:4" x14ac:dyDescent="0.2">
      <c r="A3448" s="5">
        <v>3387</v>
      </c>
      <c r="B3448" s="138">
        <f>'Tax Sched 23'!C16</f>
        <v>60440</v>
      </c>
      <c r="D3448" s="2" t="str">
        <f t="shared" si="52"/>
        <v>Error?</v>
      </c>
    </row>
    <row r="3449" spans="1:4" x14ac:dyDescent="0.2">
      <c r="A3449" s="5">
        <v>3388</v>
      </c>
      <c r="B3449" s="138">
        <f>'Tax Sched 23'!F16</f>
        <v>74562</v>
      </c>
      <c r="C3449" s="2" t="s">
        <v>594</v>
      </c>
      <c r="D3449" s="2" t="str">
        <f t="shared" si="52"/>
        <v>Error?</v>
      </c>
    </row>
    <row r="3450" spans="1:4" x14ac:dyDescent="0.2">
      <c r="A3450" s="5">
        <v>3389</v>
      </c>
      <c r="B3450" s="138">
        <f>'Tax Sched 23'!E16</f>
        <v>135002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261026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245100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506126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506126</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506126</v>
      </c>
      <c r="C3568" s="2" t="s">
        <v>594</v>
      </c>
      <c r="D3568" s="2" t="str">
        <f t="shared" si="54"/>
        <v>Error?</v>
      </c>
    </row>
    <row r="3569" spans="1:4" x14ac:dyDescent="0.2">
      <c r="A3569" s="5">
        <v>3508</v>
      </c>
      <c r="B3569" s="138">
        <f>'Acct Summary 7-8'!K4</f>
        <v>37250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37250</v>
      </c>
      <c r="C3571" s="2" t="s">
        <v>594</v>
      </c>
      <c r="D3571" s="2" t="str">
        <f t="shared" si="54"/>
        <v>Error?</v>
      </c>
    </row>
    <row r="3572" spans="1:4" x14ac:dyDescent="0.2">
      <c r="A3572" s="5">
        <v>3511</v>
      </c>
      <c r="B3572" s="138">
        <f>'Acct Summary 7-8'!K13</f>
        <v>109331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109331</v>
      </c>
      <c r="C3575" s="2" t="s">
        <v>594</v>
      </c>
      <c r="D3575" s="2" t="str">
        <f t="shared" si="54"/>
        <v>Error?</v>
      </c>
    </row>
    <row r="3576" spans="1:4" x14ac:dyDescent="0.2">
      <c r="A3576" s="5">
        <v>3515</v>
      </c>
      <c r="B3576" s="138">
        <f>'Acct Summary 7-8'!K20</f>
        <v>-72081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850000</v>
      </c>
      <c r="D3579" s="2" t="str">
        <f t="shared" si="54"/>
        <v>Error?</v>
      </c>
    </row>
    <row r="3580" spans="1:4" x14ac:dyDescent="0.2">
      <c r="A3580" s="5">
        <v>3519</v>
      </c>
      <c r="B3580" s="138">
        <f>'Acct Summary 7-8'!K34</f>
        <v>16210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866210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866210</v>
      </c>
      <c r="C3587" s="2" t="s">
        <v>594</v>
      </c>
      <c r="D3587" s="2" t="str">
        <f t="shared" si="55"/>
        <v>Error?</v>
      </c>
    </row>
    <row r="3588" spans="1:4" x14ac:dyDescent="0.2">
      <c r="A3588" s="5">
        <v>3527</v>
      </c>
      <c r="B3588" s="138">
        <f>'Acct Summary 7-8'!K78</f>
        <v>794129</v>
      </c>
      <c r="C3588" s="2" t="s">
        <v>594</v>
      </c>
      <c r="D3588" s="2" t="str">
        <f t="shared" si="55"/>
        <v>Error?</v>
      </c>
    </row>
    <row r="3589" spans="1:4" x14ac:dyDescent="0.2">
      <c r="A3589" s="5">
        <v>3528</v>
      </c>
      <c r="B3589" s="138">
        <f>'Acct Summary 7-8'!K79</f>
        <v>-288003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506126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34682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34682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34682</v>
      </c>
      <c r="C3635" s="2" t="s">
        <v>594</v>
      </c>
      <c r="D3635" s="2" t="str">
        <f t="shared" si="55"/>
        <v>Error?</v>
      </c>
    </row>
    <row r="3636" spans="1:4" x14ac:dyDescent="0.2">
      <c r="A3636" s="5">
        <v>3575</v>
      </c>
      <c r="B3636" s="138">
        <f>'Expenditures 15-22'!E367</f>
        <v>34682</v>
      </c>
      <c r="C3636" s="2" t="s">
        <v>594</v>
      </c>
      <c r="D3636" s="2" t="str">
        <f t="shared" si="55"/>
        <v>Error?</v>
      </c>
    </row>
    <row r="3637" spans="1:4" x14ac:dyDescent="0.2">
      <c r="A3637" s="10">
        <v>3576</v>
      </c>
      <c r="D3637" s="2" t="str">
        <f t="shared" si="55"/>
        <v>OK</v>
      </c>
    </row>
    <row r="3638" spans="1:4" x14ac:dyDescent="0.2">
      <c r="A3638" s="5">
        <v>3577</v>
      </c>
      <c r="B3638" s="138">
        <f>'Expenditures 15-22'!F348</f>
        <v>9663</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9663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9663</v>
      </c>
      <c r="C3642" s="2" t="s">
        <v>594</v>
      </c>
      <c r="D3642" s="2" t="str">
        <f t="shared" si="55"/>
        <v>Error?</v>
      </c>
    </row>
    <row r="3643" spans="1:4" x14ac:dyDescent="0.2">
      <c r="A3643" s="5">
        <v>3582</v>
      </c>
      <c r="B3643" s="138">
        <f>'Expenditures 15-22'!F367</f>
        <v>9663</v>
      </c>
      <c r="C3643" s="2" t="s">
        <v>594</v>
      </c>
      <c r="D3643" s="2" t="str">
        <f t="shared" si="55"/>
        <v>Error?</v>
      </c>
    </row>
    <row r="3644" spans="1:4" x14ac:dyDescent="0.2">
      <c r="A3644" s="10">
        <v>3583</v>
      </c>
      <c r="D3644" s="2" t="str">
        <f t="shared" si="55"/>
        <v>OK</v>
      </c>
    </row>
    <row r="3645" spans="1:4" x14ac:dyDescent="0.2">
      <c r="A3645" s="5">
        <v>3584</v>
      </c>
      <c r="B3645" s="138">
        <f>'Expenditures 15-22'!G348</f>
        <v>49736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49736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49736</v>
      </c>
      <c r="C3649" s="2" t="s">
        <v>594</v>
      </c>
      <c r="D3649" s="2" t="str">
        <f t="shared" si="56"/>
        <v>Error?</v>
      </c>
    </row>
    <row r="3650" spans="1:4" x14ac:dyDescent="0.2">
      <c r="A3650" s="5">
        <v>3589</v>
      </c>
      <c r="B3650" s="138">
        <f>'Expenditures 15-22'!G367</f>
        <v>49736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15250</v>
      </c>
      <c r="D3655" s="2" t="str">
        <f t="shared" si="56"/>
        <v>Error?</v>
      </c>
    </row>
    <row r="3656" spans="1:4" x14ac:dyDescent="0.2">
      <c r="A3656" s="5">
        <v>3595</v>
      </c>
      <c r="B3656" s="138">
        <f>'Expenditures 15-22'!H352</f>
        <v>15250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15250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94081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94081</v>
      </c>
      <c r="C3670" s="2" t="s">
        <v>594</v>
      </c>
      <c r="D3670" s="2" t="str">
        <f t="shared" si="56"/>
        <v>Error?</v>
      </c>
    </row>
    <row r="3671" spans="1:4" x14ac:dyDescent="0.2">
      <c r="A3671" s="5">
        <v>3610</v>
      </c>
      <c r="B3671" s="138">
        <f>'Expenditures 15-22'!K351</f>
        <v>15250</v>
      </c>
      <c r="C3671" s="2" t="s">
        <v>594</v>
      </c>
      <c r="D3671" s="2" t="str">
        <f t="shared" si="56"/>
        <v>Error?</v>
      </c>
    </row>
    <row r="3672" spans="1:4" x14ac:dyDescent="0.2">
      <c r="A3672" s="5">
        <v>3611</v>
      </c>
      <c r="B3672" s="138">
        <f>'Expenditures 15-22'!K352</f>
        <v>109331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109331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-72081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37241</v>
      </c>
      <c r="C3725" s="2" t="s">
        <v>594</v>
      </c>
      <c r="D3725" s="2" t="str">
        <f t="shared" si="57"/>
        <v>Error?</v>
      </c>
    </row>
    <row r="3726" spans="1:4" x14ac:dyDescent="0.2">
      <c r="A3726" s="5">
        <v>3665</v>
      </c>
      <c r="B3726" s="138">
        <f>'Tax Sched 23'!D13</f>
        <v>20254</v>
      </c>
      <c r="C3726" s="2" t="s">
        <v>594</v>
      </c>
      <c r="D3726" s="2" t="str">
        <f t="shared" si="57"/>
        <v>Error?</v>
      </c>
    </row>
    <row r="3727" spans="1:4" x14ac:dyDescent="0.2">
      <c r="A3727" s="5">
        <v>3666</v>
      </c>
      <c r="B3727" s="138">
        <f>'Tax Sched 23'!C13</f>
        <v>16987</v>
      </c>
      <c r="D3727" s="2" t="str">
        <f t="shared" si="57"/>
        <v>Error?</v>
      </c>
    </row>
    <row r="3728" spans="1:4" x14ac:dyDescent="0.2">
      <c r="A3728" s="5">
        <v>3667</v>
      </c>
      <c r="B3728" s="138">
        <f>'Tax Sched 23'!F13</f>
        <v>20956</v>
      </c>
      <c r="C3728" s="2" t="s">
        <v>594</v>
      </c>
      <c r="D3728" s="2" t="str">
        <f t="shared" si="57"/>
        <v>Error?</v>
      </c>
    </row>
    <row r="3729" spans="1:4" x14ac:dyDescent="0.2">
      <c r="A3729" s="5">
        <v>3668</v>
      </c>
      <c r="B3729" s="138">
        <f>'Tax Sched 23'!E13</f>
        <v>37943</v>
      </c>
      <c r="D3729" s="2" t="str">
        <f t="shared" si="57"/>
        <v>Error?</v>
      </c>
    </row>
    <row r="3730" spans="1:4" x14ac:dyDescent="0.2">
      <c r="A3730" s="5">
        <v>3669</v>
      </c>
      <c r="B3730" s="138">
        <f>'ICR Computation 30'!E10</f>
        <v>81991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3059063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7529421</v>
      </c>
      <c r="C4122" s="2" t="s">
        <v>594</v>
      </c>
      <c r="D4122" s="2" t="str">
        <f t="shared" si="63"/>
        <v>Error?</v>
      </c>
    </row>
    <row r="4123" spans="1:4" x14ac:dyDescent="0.2">
      <c r="A4123" s="5">
        <v>4062</v>
      </c>
      <c r="B4123" s="138">
        <f>'Acct Summary 7-8'!D10</f>
        <v>519039</v>
      </c>
      <c r="C4123" s="2" t="s">
        <v>594</v>
      </c>
      <c r="D4123" s="2" t="str">
        <f t="shared" si="63"/>
        <v>Error?</v>
      </c>
    </row>
    <row r="4124" spans="1:4" x14ac:dyDescent="0.2">
      <c r="A4124" s="5">
        <v>4063</v>
      </c>
      <c r="B4124" s="138">
        <f>'Acct Summary 7-8'!E10</f>
        <v>192357</v>
      </c>
      <c r="C4124" s="2" t="s">
        <v>594</v>
      </c>
      <c r="D4124" s="2" t="str">
        <f t="shared" si="63"/>
        <v>Error?</v>
      </c>
    </row>
    <row r="4125" spans="1:4" x14ac:dyDescent="0.2">
      <c r="A4125" s="5">
        <v>4064</v>
      </c>
      <c r="B4125" s="138">
        <f>'Acct Summary 7-8'!F10</f>
        <v>177330</v>
      </c>
      <c r="C4125" s="2" t="s">
        <v>594</v>
      </c>
      <c r="D4125" s="2" t="str">
        <f t="shared" si="63"/>
        <v>Error?</v>
      </c>
    </row>
    <row r="4126" spans="1:4" x14ac:dyDescent="0.2">
      <c r="A4126" s="5">
        <v>4065</v>
      </c>
      <c r="B4126" s="138">
        <f>'Acct Summary 7-8'!G10</f>
        <v>286103</v>
      </c>
      <c r="C4126" s="2" t="s">
        <v>594</v>
      </c>
      <c r="D4126" s="2" t="str">
        <f t="shared" si="63"/>
        <v>Error?</v>
      </c>
    </row>
    <row r="4127" spans="1:4" x14ac:dyDescent="0.2">
      <c r="A4127" s="5">
        <v>4066</v>
      </c>
      <c r="B4127" s="138">
        <f>'Acct Summary 7-8'!H10</f>
        <v>10273</v>
      </c>
      <c r="C4127" s="2" t="s">
        <v>594</v>
      </c>
      <c r="D4127" s="2" t="str">
        <f t="shared" si="63"/>
        <v>Error?</v>
      </c>
    </row>
    <row r="4128" spans="1:4" x14ac:dyDescent="0.2">
      <c r="A4128" s="5">
        <v>4067</v>
      </c>
      <c r="B4128" s="138">
        <f>'Acct Summary 7-8'!I10</f>
        <v>40907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37250</v>
      </c>
      <c r="C4130" s="2" t="s">
        <v>594</v>
      </c>
      <c r="D4130" s="2" t="str">
        <f t="shared" si="63"/>
        <v>Error?</v>
      </c>
    </row>
    <row r="4131" spans="1:4" x14ac:dyDescent="0.2">
      <c r="A4131" s="5">
        <v>4070</v>
      </c>
      <c r="B4131" s="138">
        <f>'Acct Summary 7-8'!C18</f>
        <v>3059063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7662072</v>
      </c>
      <c r="C4136" s="2" t="s">
        <v>594</v>
      </c>
      <c r="D4136" s="2" t="str">
        <f t="shared" si="63"/>
        <v>Error?</v>
      </c>
    </row>
    <row r="4137" spans="1:4" x14ac:dyDescent="0.2">
      <c r="A4137" s="5">
        <v>4076</v>
      </c>
      <c r="B4137" s="138">
        <f>'Acct Summary 7-8'!D19</f>
        <v>477523</v>
      </c>
      <c r="C4137" s="2" t="s">
        <v>594</v>
      </c>
      <c r="D4137" s="2" t="str">
        <f t="shared" si="63"/>
        <v>Error?</v>
      </c>
    </row>
    <row r="4138" spans="1:4" x14ac:dyDescent="0.2">
      <c r="A4138" s="5">
        <v>4077</v>
      </c>
      <c r="B4138" s="138">
        <f>'Acct Summary 7-8'!E19</f>
        <v>198913</v>
      </c>
      <c r="C4138" s="2" t="s">
        <v>594</v>
      </c>
      <c r="D4138" s="2" t="str">
        <f t="shared" si="63"/>
        <v>Error?</v>
      </c>
    </row>
    <row r="4139" spans="1:4" x14ac:dyDescent="0.2">
      <c r="A4139" s="5">
        <v>4078</v>
      </c>
      <c r="B4139" s="138">
        <f>'Acct Summary 7-8'!F19</f>
        <v>120836</v>
      </c>
      <c r="C4139" s="2" t="s">
        <v>594</v>
      </c>
      <c r="D4139" s="2" t="str">
        <f t="shared" si="63"/>
        <v>Error?</v>
      </c>
    </row>
    <row r="4140" spans="1:4" x14ac:dyDescent="0.2">
      <c r="A4140" s="5">
        <v>4079</v>
      </c>
      <c r="B4140" s="138">
        <f>'Acct Summary 7-8'!G19</f>
        <v>248824</v>
      </c>
      <c r="C4140" s="2" t="s">
        <v>594</v>
      </c>
      <c r="D4140" s="2" t="str">
        <f t="shared" si="63"/>
        <v>Error?</v>
      </c>
    </row>
    <row r="4141" spans="1:4" x14ac:dyDescent="0.2">
      <c r="A4141" s="5">
        <v>4080</v>
      </c>
      <c r="B4141" s="138">
        <f>'Acct Summary 7-8'!H19</f>
        <v>9994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109331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850000</v>
      </c>
      <c r="C4171" s="2" t="s">
        <v>594</v>
      </c>
      <c r="D4171" s="2" t="str">
        <f t="shared" si="64"/>
        <v>Error?</v>
      </c>
    </row>
    <row r="4172" spans="1:4" x14ac:dyDescent="0.2">
      <c r="A4172" s="5">
        <v>4111</v>
      </c>
      <c r="B4172" s="138">
        <f>'Short-Term Long-Term Debt 24'!J49</f>
        <v>767171</v>
      </c>
      <c r="C4172" s="2" t="s">
        <v>594</v>
      </c>
      <c r="D4172" s="2" t="str">
        <f t="shared" si="64"/>
        <v>Error?</v>
      </c>
    </row>
    <row r="4173" spans="1:4" x14ac:dyDescent="0.2">
      <c r="A4173" s="5">
        <v>4112</v>
      </c>
      <c r="B4173" s="138">
        <f>'Short-Term Long-Term Debt 24'!H49</f>
        <v>195000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5486513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16046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16479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15766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13442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75886632</v>
      </c>
      <c r="D4995" s="2" t="str">
        <f t="shared" si="77"/>
        <v>Error?</v>
      </c>
    </row>
    <row r="4996" spans="1:4" x14ac:dyDescent="0.2">
      <c r="A4996" s="12">
        <v>4935</v>
      </c>
      <c r="B4996" s="138">
        <f>'FP Info 3'!H31</f>
        <v>10472355.216</v>
      </c>
      <c r="D4996" s="2" t="str">
        <f t="shared" si="77"/>
        <v>Error?</v>
      </c>
    </row>
    <row r="4997" spans="1:4" x14ac:dyDescent="0.2">
      <c r="A4997" s="12">
        <v>4936</v>
      </c>
      <c r="B4997" s="138">
        <f>'FP Info 3'!H37</f>
        <v>850000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37241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1370606</v>
      </c>
      <c r="D5061" s="2" t="str">
        <f t="shared" si="78"/>
        <v>Error?</v>
      </c>
    </row>
    <row r="5062" spans="1:4" x14ac:dyDescent="0.2">
      <c r="A5062" s="10">
        <v>5001</v>
      </c>
      <c r="D5062" s="2" t="str">
        <f t="shared" si="78"/>
        <v>OK</v>
      </c>
    </row>
    <row r="5063" spans="1:4" x14ac:dyDescent="0.2">
      <c r="A5063" s="5">
        <v>5002</v>
      </c>
      <c r="B5063" s="138">
        <f>'Revenues 9-14'!C7</f>
        <v>29793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1437640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1608351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1608351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660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660</v>
      </c>
      <c r="C5087" s="2" t="s">
        <v>594</v>
      </c>
      <c r="D5087" s="2" t="str">
        <f t="shared" si="78"/>
        <v>Error?</v>
      </c>
    </row>
    <row r="5088" spans="1:4" x14ac:dyDescent="0.2">
      <c r="A5088" s="5">
        <v>5027</v>
      </c>
      <c r="B5088" s="138">
        <f>'Revenues 9-14'!C65</f>
        <v>17356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17356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659</v>
      </c>
      <c r="D5092" s="2" t="str">
        <f t="shared" si="78"/>
        <v>Error?</v>
      </c>
    </row>
    <row r="5093" spans="1:4" x14ac:dyDescent="0.2">
      <c r="A5093" s="5">
        <v>5032</v>
      </c>
      <c r="B5093" s="138">
        <f>'Revenues 9-14'!C72</f>
        <v>2825</v>
      </c>
      <c r="D5093" s="2" t="str">
        <f t="shared" si="78"/>
        <v>Error?</v>
      </c>
    </row>
    <row r="5094" spans="1:4" x14ac:dyDescent="0.2">
      <c r="A5094" s="5">
        <v>5033</v>
      </c>
      <c r="B5094" s="138">
        <f>'Revenues 9-14'!C73</f>
        <v>3273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62475</v>
      </c>
      <c r="C5096" s="2" t="s">
        <v>594</v>
      </c>
      <c r="D5096" s="2" t="str">
        <f t="shared" si="78"/>
        <v>Error?</v>
      </c>
    </row>
    <row r="5097" spans="1:4" x14ac:dyDescent="0.2">
      <c r="A5097" s="5">
        <v>5036</v>
      </c>
      <c r="B5097" s="138">
        <f>'Revenues 9-14'!C77</f>
        <v>19912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15856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2122</v>
      </c>
      <c r="D5101" s="2" t="str">
        <f t="shared" si="78"/>
        <v>Error?</v>
      </c>
    </row>
    <row r="5102" spans="1:4" x14ac:dyDescent="0.2">
      <c r="A5102" s="5">
        <v>5041</v>
      </c>
      <c r="B5102" s="138">
        <f>'Revenues 9-14'!C82</f>
        <v>37890</v>
      </c>
      <c r="C5102" s="2" t="s">
        <v>594</v>
      </c>
      <c r="D5102" s="2" t="str">
        <f t="shared" si="78"/>
        <v>Error?</v>
      </c>
    </row>
    <row r="5103" spans="1:4" x14ac:dyDescent="0.2">
      <c r="A5103" s="5">
        <v>5042</v>
      </c>
      <c r="B5103" s="138">
        <f>'Revenues 9-14'!C84</f>
        <v>54457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54457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590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11663</v>
      </c>
      <c r="D5118" s="2" t="str">
        <f t="shared" si="78"/>
        <v>Error?</v>
      </c>
    </row>
    <row r="5119" spans="1:4" x14ac:dyDescent="0.2">
      <c r="A5119" s="5">
        <v>5058</v>
      </c>
      <c r="B5119" s="138">
        <f>'Revenues 9-14'!C107</f>
        <v>1543</v>
      </c>
      <c r="D5119" s="2" t="str">
        <f t="shared" ref="D5119:D5182" si="79">IF(ISBLANK(B5119),"OK",IF(A5119-B5119=0,"OK","Error?"))</f>
        <v>Error?</v>
      </c>
    </row>
    <row r="5120" spans="1:4" x14ac:dyDescent="0.2">
      <c r="A5120" s="5">
        <v>5059</v>
      </c>
      <c r="B5120" s="138">
        <f>'Revenues 9-14'!C108</f>
        <v>30088</v>
      </c>
      <c r="C5120" s="2" t="s">
        <v>594</v>
      </c>
      <c r="D5120" s="2" t="str">
        <f t="shared" si="79"/>
        <v>Error?</v>
      </c>
    </row>
    <row r="5121" spans="1:4" x14ac:dyDescent="0.2">
      <c r="A5121" s="5">
        <v>5060</v>
      </c>
      <c r="B5121" s="138">
        <f>'Revenues 9-14'!C109</f>
        <v>3248917</v>
      </c>
      <c r="C5121" s="2" t="s">
        <v>594</v>
      </c>
      <c r="D5121" s="2" t="str">
        <f t="shared" si="79"/>
        <v>Error?</v>
      </c>
    </row>
    <row r="5122" spans="1:4" x14ac:dyDescent="0.2">
      <c r="A5122" s="5">
        <v>5061</v>
      </c>
      <c r="B5122" s="138">
        <f>'Revenues 9-14'!C111</f>
        <v>12577</v>
      </c>
      <c r="D5122" s="2" t="str">
        <f t="shared" si="79"/>
        <v>Error?</v>
      </c>
    </row>
    <row r="5123" spans="1:4" x14ac:dyDescent="0.2">
      <c r="A5123" s="5">
        <v>5062</v>
      </c>
      <c r="B5123" s="138">
        <f>'Revenues 9-14'!C112</f>
        <v>114973</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127550</v>
      </c>
      <c r="C5125" s="2" t="s">
        <v>594</v>
      </c>
      <c r="D5125" s="2" t="str">
        <f t="shared" si="79"/>
        <v>Error?</v>
      </c>
    </row>
    <row r="5126" spans="1:4" x14ac:dyDescent="0.2">
      <c r="A5126" s="5">
        <v>5065</v>
      </c>
      <c r="B5126" s="138">
        <f>'Revenues 9-14'!C117</f>
        <v>454143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454143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39378</v>
      </c>
      <c r="D5134" s="2" t="str">
        <f t="shared" si="79"/>
        <v>Error?</v>
      </c>
    </row>
    <row r="5135" spans="1:4" x14ac:dyDescent="0.2">
      <c r="A5135" s="5">
        <v>5074</v>
      </c>
      <c r="B5135" s="138">
        <f>'Revenues 9-14'!C126</f>
        <v>14917</v>
      </c>
      <c r="D5135" s="2" t="str">
        <f t="shared" si="79"/>
        <v>Error?</v>
      </c>
    </row>
    <row r="5136" spans="1:4" x14ac:dyDescent="0.2">
      <c r="A5136" s="10">
        <v>5075</v>
      </c>
      <c r="D5136" s="2" t="str">
        <f t="shared" si="79"/>
        <v>OK</v>
      </c>
    </row>
    <row r="5137" spans="1:4" x14ac:dyDescent="0.2">
      <c r="A5137" s="5">
        <v>5076</v>
      </c>
      <c r="B5137" s="138">
        <f>'Revenues 9-14'!C127</f>
        <v>75807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307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130409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2740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1444</v>
      </c>
      <c r="D5167" s="2" t="str">
        <f t="shared" si="79"/>
        <v>Error?</v>
      </c>
    </row>
    <row r="5168" spans="1:4" x14ac:dyDescent="0.2">
      <c r="A5168" s="5">
        <v>5107</v>
      </c>
      <c r="B5168" s="138">
        <f>'Revenues 9-14'!C147</f>
        <v>7211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210056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353360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807503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84351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21870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3069</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109290</v>
      </c>
      <c r="C5246" s="2" t="s">
        <v>594</v>
      </c>
      <c r="D5246" s="2" t="str">
        <f t="shared" si="80"/>
        <v>Error?</v>
      </c>
    </row>
    <row r="5247" spans="1:4" x14ac:dyDescent="0.2">
      <c r="A5247" s="5">
        <v>5186</v>
      </c>
      <c r="B5247" s="138">
        <f>'Revenues 9-14'!C203</f>
        <v>123598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123598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3209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3209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286388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286388</v>
      </c>
      <c r="C5326" s="2" t="s">
        <v>594</v>
      </c>
      <c r="D5326" s="2" t="str">
        <f t="shared" si="82"/>
        <v>Error?</v>
      </c>
    </row>
    <row r="5327" spans="1:4" x14ac:dyDescent="0.2">
      <c r="A5327" s="5">
        <v>5266</v>
      </c>
      <c r="B5327" s="138">
        <f>'Revenues 9-14'!C275</f>
        <v>4470358</v>
      </c>
      <c r="C5327" s="2" t="s">
        <v>594</v>
      </c>
      <c r="D5327" s="2" t="str">
        <f t="shared" si="82"/>
        <v>Error?</v>
      </c>
    </row>
    <row r="5328" spans="1:4" x14ac:dyDescent="0.2">
      <c r="A5328" s="5">
        <v>5267</v>
      </c>
      <c r="B5328" s="138">
        <f>'Revenues 9-14'!D5</f>
        <v>372415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372415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141000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141000</v>
      </c>
      <c r="C5339" s="2" t="s">
        <v>594</v>
      </c>
      <c r="D5339" s="2" t="str">
        <f t="shared" si="82"/>
        <v>Error?</v>
      </c>
    </row>
    <row r="5340" spans="1:4" x14ac:dyDescent="0.2">
      <c r="A5340" s="5">
        <v>5279</v>
      </c>
      <c r="B5340" s="138">
        <f>'Revenues 9-14'!D65</f>
        <v>82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1170</v>
      </c>
      <c r="D5349" s="2" t="str">
        <f t="shared" si="82"/>
        <v>Error?</v>
      </c>
    </row>
    <row r="5350" spans="1:4" x14ac:dyDescent="0.2">
      <c r="A5350" s="5">
        <v>5289</v>
      </c>
      <c r="B5350" s="138">
        <f>'Revenues 9-14'!D96</f>
        <v>4000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372</v>
      </c>
      <c r="D5354" s="2" t="str">
        <f t="shared" si="82"/>
        <v>Error?</v>
      </c>
    </row>
    <row r="5355" spans="1:4" x14ac:dyDescent="0.2">
      <c r="A5355" s="5">
        <v>5294</v>
      </c>
      <c r="B5355" s="138">
        <f>'Revenues 9-14'!D108</f>
        <v>5542</v>
      </c>
      <c r="C5355" s="2" t="s">
        <v>594</v>
      </c>
      <c r="D5355" s="2" t="str">
        <f t="shared" si="82"/>
        <v>Error?</v>
      </c>
    </row>
    <row r="5356" spans="1:4" x14ac:dyDescent="0.2">
      <c r="A5356" s="5">
        <v>5295</v>
      </c>
      <c r="B5356" s="138">
        <f>'Revenues 9-14'!D109</f>
        <v>519039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519039</v>
      </c>
      <c r="C5508" s="2" t="s">
        <v>594</v>
      </c>
      <c r="D5508" s="2" t="str">
        <f t="shared" si="85"/>
        <v>Error?</v>
      </c>
    </row>
    <row r="5509" spans="1:4" x14ac:dyDescent="0.2">
      <c r="A5509" s="5">
        <v>5448</v>
      </c>
      <c r="B5509" s="138">
        <f>'Revenues 9-14'!E5</f>
        <v>192145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192145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212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192357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192357</v>
      </c>
      <c r="C5552" s="2" t="s">
        <v>594</v>
      </c>
      <c r="D5552" s="2" t="str">
        <f t="shared" si="85"/>
        <v>Error?</v>
      </c>
    </row>
    <row r="5553" spans="1:4" x14ac:dyDescent="0.2">
      <c r="A5553" s="5">
        <v>5492</v>
      </c>
      <c r="B5553" s="138">
        <f>'Revenues 9-14'!F5</f>
        <v>148966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148966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73</v>
      </c>
      <c r="D5586" s="2" t="str">
        <f t="shared" si="86"/>
        <v>Error?</v>
      </c>
    </row>
    <row r="5587" spans="1:4" x14ac:dyDescent="0.2">
      <c r="A5587" s="5">
        <v>5526</v>
      </c>
      <c r="B5587" s="138">
        <f>'Revenues 9-14'!F108</f>
        <v>381</v>
      </c>
      <c r="C5587" s="2" t="s">
        <v>594</v>
      </c>
      <c r="D5587" s="2" t="str">
        <f t="shared" si="86"/>
        <v>Error?</v>
      </c>
    </row>
    <row r="5588" spans="1:4" x14ac:dyDescent="0.2">
      <c r="A5588" s="5">
        <v>5527</v>
      </c>
      <c r="B5588" s="138">
        <f>'Revenues 9-14'!F109</f>
        <v>149380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6942</v>
      </c>
      <c r="D5615" s="2" t="str">
        <f t="shared" si="86"/>
        <v>Error?</v>
      </c>
    </row>
    <row r="5616" spans="1:4" x14ac:dyDescent="0.2">
      <c r="A5616" s="10">
        <v>5555</v>
      </c>
      <c r="D5616" s="2" t="str">
        <f t="shared" si="86"/>
        <v>OK</v>
      </c>
    </row>
    <row r="5617" spans="1:4" x14ac:dyDescent="0.2">
      <c r="A5617" s="5">
        <v>5556</v>
      </c>
      <c r="B5617" s="138">
        <f>'Revenues 9-14'!F152</f>
        <v>21008</v>
      </c>
      <c r="D5617" s="2" t="str">
        <f t="shared" si="86"/>
        <v>Error?</v>
      </c>
    </row>
    <row r="5618" spans="1:4" x14ac:dyDescent="0.2">
      <c r="A5618" s="5">
        <v>5557</v>
      </c>
      <c r="B5618" s="138">
        <f>'Revenues 9-14'!F154</f>
        <v>27950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27950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27950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177330</v>
      </c>
      <c r="C5720" s="2" t="s">
        <v>594</v>
      </c>
      <c r="D5720" s="2" t="str">
        <f t="shared" si="88"/>
        <v>Error?</v>
      </c>
    </row>
    <row r="5721" spans="1:4" x14ac:dyDescent="0.2">
      <c r="A5721" s="5">
        <v>5660</v>
      </c>
      <c r="B5721" s="138">
        <f>'Revenues 9-14'!G5</f>
        <v>97064</v>
      </c>
      <c r="D5721" s="2" t="str">
        <f t="shared" si="88"/>
        <v>Error?</v>
      </c>
    </row>
    <row r="5722" spans="1:4" x14ac:dyDescent="0.2">
      <c r="A5722" s="5">
        <v>5661</v>
      </c>
      <c r="B5722" s="138">
        <f>'Revenues 9-14'!G7</f>
        <v>0</v>
      </c>
      <c r="D5722" s="2" t="str">
        <f t="shared" si="88"/>
        <v>Error?</v>
      </c>
    </row>
    <row r="5723" spans="1:4" x14ac:dyDescent="0.2">
      <c r="A5723" s="5">
        <v>5662</v>
      </c>
      <c r="B5723" s="138">
        <f>'Revenues 9-14'!G8</f>
        <v>131988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229052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57000</v>
      </c>
      <c r="C5730" s="2" t="s">
        <v>594</v>
      </c>
      <c r="D5730" s="2" t="str">
        <f t="shared" si="88"/>
        <v>Error?</v>
      </c>
    </row>
    <row r="5731" spans="1:4" x14ac:dyDescent="0.2">
      <c r="A5731" s="5">
        <v>5670</v>
      </c>
      <c r="B5731" s="138">
        <f>'Revenues 9-14'!G65</f>
        <v>51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286103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10273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10273</v>
      </c>
      <c r="C5915" s="2" t="s">
        <v>594</v>
      </c>
      <c r="D5915" s="2" t="str">
        <f t="shared" si="91"/>
        <v>Error?</v>
      </c>
    </row>
    <row r="5916" spans="1:4" x14ac:dyDescent="0.2">
      <c r="A5916" s="5">
        <v>5855</v>
      </c>
      <c r="B5916" s="138">
        <f>'Revenues 9-14'!I5</f>
        <v>37241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37241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3666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3666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40907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37241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37241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37250</v>
      </c>
      <c r="C6023" s="2" t="s">
        <v>594</v>
      </c>
      <c r="D6023" s="2" t="str">
        <f t="shared" si="93"/>
        <v>Error?</v>
      </c>
    </row>
    <row r="6024" spans="1:5" x14ac:dyDescent="0.2">
      <c r="A6024" s="5">
        <v>5963</v>
      </c>
      <c r="B6024" s="138">
        <f>'Revenues 9-14'!G109</f>
        <v>286103</v>
      </c>
      <c r="C6024" s="2" t="s">
        <v>594</v>
      </c>
      <c r="D6024" s="2" t="str">
        <f t="shared" si="93"/>
        <v>Error?</v>
      </c>
    </row>
    <row r="6025" spans="1:5" x14ac:dyDescent="0.2">
      <c r="A6025" s="5">
        <v>5964</v>
      </c>
      <c r="B6025" s="138">
        <f>'Revenues 9-14'!H109</f>
        <v>10273</v>
      </c>
      <c r="C6025" s="2" t="s">
        <v>594</v>
      </c>
      <c r="D6025" s="2" t="str">
        <f t="shared" si="93"/>
        <v>Error?</v>
      </c>
    </row>
    <row r="6026" spans="1:5" x14ac:dyDescent="0.2">
      <c r="A6026" s="5">
        <v>5965</v>
      </c>
      <c r="B6026" s="138">
        <f>'Revenues 9-14'!I109</f>
        <v>40907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37250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55718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13184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600.38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120972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120972</v>
      </c>
      <c r="D6215" s="2" t="str">
        <f t="shared" si="96"/>
        <v>Error?</v>
      </c>
      <c r="E6215" s="2" t="s">
        <v>199</v>
      </c>
    </row>
    <row r="6216" spans="1:5" x14ac:dyDescent="0.2">
      <c r="A6216">
        <v>6155</v>
      </c>
      <c r="B6216" s="138">
        <f>'Assets-Liab 5-6'!J41</f>
        <v>120972</v>
      </c>
      <c r="D6216" s="2" t="str">
        <f t="shared" si="96"/>
        <v>Error?</v>
      </c>
      <c r="E6216" s="2" t="s">
        <v>199</v>
      </c>
    </row>
    <row r="6217" spans="1:5" x14ac:dyDescent="0.2">
      <c r="A6217">
        <v>6156</v>
      </c>
      <c r="B6217" s="138">
        <f>'Assets-Liab 5-6'!J4</f>
        <v>120972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531754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531754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531754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532371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532371</v>
      </c>
      <c r="D6229" s="2" t="str">
        <f t="shared" si="96"/>
        <v>Error?</v>
      </c>
      <c r="E6229" s="2" t="s">
        <v>199</v>
      </c>
    </row>
    <row r="6230" spans="1:5" x14ac:dyDescent="0.2">
      <c r="A6230">
        <v>6169</v>
      </c>
      <c r="B6230" s="138">
        <f>'Acct Summary 7-8'!J20</f>
        <v>-617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-617</v>
      </c>
      <c r="D6263" s="2" t="str">
        <f t="shared" si="96"/>
        <v>Error?</v>
      </c>
      <c r="E6263" s="2" t="s">
        <v>199</v>
      </c>
    </row>
    <row r="6264" spans="1:5" x14ac:dyDescent="0.2">
      <c r="A6264">
        <v>6203</v>
      </c>
      <c r="B6264" s="138">
        <f>'Acct Summary 7-8'!J79</f>
        <v>121589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120972</v>
      </c>
      <c r="D6266" s="2" t="str">
        <f t="shared" si="96"/>
        <v>Error?</v>
      </c>
      <c r="E6266" s="2" t="s">
        <v>199</v>
      </c>
    </row>
    <row r="6267" spans="1:5" x14ac:dyDescent="0.2">
      <c r="A6267">
        <v>6206</v>
      </c>
      <c r="B6267" s="138">
        <f>'Acct Summary 7-8'!C82</f>
        <v>-124361</v>
      </c>
      <c r="D6267" s="2" t="str">
        <f t="shared" si="96"/>
        <v>Error?</v>
      </c>
      <c r="E6267" s="2" t="s">
        <v>199</v>
      </c>
    </row>
    <row r="6268" spans="1:5" x14ac:dyDescent="0.2">
      <c r="A6268">
        <v>6207</v>
      </c>
      <c r="B6268" s="138">
        <f>'Acct Summary 7-8'!D82</f>
        <v>41516</v>
      </c>
      <c r="D6268" s="2" t="str">
        <f t="shared" si="96"/>
        <v>Error?</v>
      </c>
      <c r="E6268" s="2" t="s">
        <v>199</v>
      </c>
    </row>
    <row r="6269" spans="1:5" x14ac:dyDescent="0.2">
      <c r="A6269">
        <v>6208</v>
      </c>
      <c r="B6269" s="138">
        <f>'Acct Summary 7-8'!E82</f>
        <v>-6556</v>
      </c>
      <c r="D6269" s="2" t="str">
        <f t="shared" si="96"/>
        <v>Error?</v>
      </c>
      <c r="E6269" s="2" t="s">
        <v>199</v>
      </c>
    </row>
    <row r="6270" spans="1:5" x14ac:dyDescent="0.2">
      <c r="A6270">
        <v>6209</v>
      </c>
      <c r="B6270" s="138">
        <f>'Acct Summary 7-8'!F82</f>
        <v>56494</v>
      </c>
      <c r="D6270" s="2" t="str">
        <f t="shared" si="96"/>
        <v>Error?</v>
      </c>
      <c r="E6270" s="2" t="s">
        <v>199</v>
      </c>
    </row>
    <row r="6271" spans="1:5" x14ac:dyDescent="0.2">
      <c r="A6271">
        <v>6210</v>
      </c>
      <c r="B6271" s="138">
        <f>'Acct Summary 7-8'!G82</f>
        <v>37279</v>
      </c>
      <c r="D6271" s="2" t="str">
        <f t="shared" ref="D6271:D6334" si="97">IF(ISBLANK(B6271),"OK",IF(A6271-B6271=0,"OK","Error?"))</f>
        <v>Error?</v>
      </c>
      <c r="E6271" s="2" t="s">
        <v>199</v>
      </c>
    </row>
    <row r="6272" spans="1:5" x14ac:dyDescent="0.2">
      <c r="A6272">
        <v>6211</v>
      </c>
      <c r="B6272" s="138">
        <f>'Acct Summary 7-8'!H82</f>
        <v>279</v>
      </c>
      <c r="D6272" s="2" t="str">
        <f t="shared" si="97"/>
        <v>Error?</v>
      </c>
      <c r="E6272" s="2" t="s">
        <v>199</v>
      </c>
    </row>
    <row r="6273" spans="1:5" x14ac:dyDescent="0.2">
      <c r="A6273">
        <v>6212</v>
      </c>
      <c r="B6273" s="138">
        <f>'Acct Summary 7-8'!I82</f>
        <v>32617</v>
      </c>
      <c r="D6273" s="2" t="str">
        <f t="shared" si="97"/>
        <v>Error?</v>
      </c>
      <c r="E6273" s="2" t="s">
        <v>199</v>
      </c>
    </row>
    <row r="6274" spans="1:5" x14ac:dyDescent="0.2">
      <c r="A6274">
        <v>6213</v>
      </c>
      <c r="B6274" s="138">
        <f>'Acct Summary 7-8'!J82</f>
        <v>-617</v>
      </c>
      <c r="D6274" s="2" t="str">
        <f t="shared" si="97"/>
        <v>Error?</v>
      </c>
      <c r="E6274" s="2" t="s">
        <v>199</v>
      </c>
    </row>
    <row r="6275" spans="1:5" x14ac:dyDescent="0.2">
      <c r="A6275">
        <v>6214</v>
      </c>
      <c r="B6275" s="138">
        <f>'Acct Summary 7-8'!K82</f>
        <v>794129</v>
      </c>
      <c r="D6275" s="2" t="str">
        <f t="shared" si="97"/>
        <v>Error?</v>
      </c>
      <c r="E6275" s="2" t="s">
        <v>199</v>
      </c>
    </row>
    <row r="6276" spans="1:5" x14ac:dyDescent="0.2">
      <c r="A6276">
        <v>6215</v>
      </c>
      <c r="B6276" s="138">
        <f>'Acct Summary 7-8'!C83</f>
        <v>-3.6869180684214867E-2</v>
      </c>
      <c r="D6276" s="2" t="str">
        <f t="shared" si="97"/>
        <v>Error?</v>
      </c>
      <c r="E6276" s="2" t="s">
        <v>199</v>
      </c>
    </row>
    <row r="6277" spans="1:5" x14ac:dyDescent="0.2">
      <c r="A6277">
        <v>6216</v>
      </c>
      <c r="B6277" s="138">
        <f>'Acct Summary 7-8'!D83</f>
        <v>5.4858018737034053E-2</v>
      </c>
      <c r="D6277" s="2" t="str">
        <f t="shared" si="97"/>
        <v>Error?</v>
      </c>
      <c r="E6277" s="2" t="s">
        <v>199</v>
      </c>
    </row>
    <row r="6278" spans="1:5" x14ac:dyDescent="0.2">
      <c r="A6278">
        <v>6217</v>
      </c>
      <c r="B6278" s="138">
        <f>'Acct Summary 7-8'!E83</f>
        <v>-7.9151021985053541E-2</v>
      </c>
      <c r="D6278" s="2" t="str">
        <f t="shared" si="97"/>
        <v>Error?</v>
      </c>
      <c r="E6278" s="2" t="s">
        <v>199</v>
      </c>
    </row>
    <row r="6279" spans="1:5" x14ac:dyDescent="0.2">
      <c r="A6279">
        <v>6218</v>
      </c>
      <c r="B6279" s="138">
        <f>'Acct Summary 7-8'!F83</f>
        <v>0.12236534591916964</v>
      </c>
      <c r="D6279" s="2" t="str">
        <f t="shared" si="97"/>
        <v>Error?</v>
      </c>
      <c r="E6279" s="2" t="s">
        <v>199</v>
      </c>
    </row>
    <row r="6280" spans="1:5" x14ac:dyDescent="0.2">
      <c r="A6280">
        <v>6219</v>
      </c>
      <c r="B6280" s="138">
        <f>'Acct Summary 7-8'!G83</f>
        <v>0.26467915311758944</v>
      </c>
      <c r="D6280" s="2" t="str">
        <f t="shared" si="97"/>
        <v>Error?</v>
      </c>
      <c r="E6280" s="2" t="s">
        <v>199</v>
      </c>
    </row>
    <row r="6281" spans="1:5" x14ac:dyDescent="0.2">
      <c r="A6281">
        <v>6220</v>
      </c>
      <c r="B6281" s="138">
        <f>'Acct Summary 7-8'!H83</f>
        <v>1.935886761032473E-2</v>
      </c>
      <c r="D6281" s="2" t="str">
        <f t="shared" si="97"/>
        <v>Error?</v>
      </c>
      <c r="E6281" s="2" t="s">
        <v>199</v>
      </c>
    </row>
    <row r="6282" spans="1:5" x14ac:dyDescent="0.2">
      <c r="A6282">
        <v>6221</v>
      </c>
      <c r="B6282" s="138">
        <f>'Acct Summary 7-8'!I83</f>
        <v>3.644333110616018E-2</v>
      </c>
      <c r="D6282" s="2" t="str">
        <f t="shared" si="97"/>
        <v>Error?</v>
      </c>
      <c r="E6282" s="2" t="s">
        <v>199</v>
      </c>
    </row>
    <row r="6283" spans="1:5" x14ac:dyDescent="0.2">
      <c r="A6283">
        <v>6222</v>
      </c>
      <c r="B6283" s="138">
        <f>'Acct Summary 7-8'!J83</f>
        <v>-5.1003538008795425E-3</v>
      </c>
      <c r="D6283" s="2" t="str">
        <f t="shared" si="97"/>
        <v>Error?</v>
      </c>
      <c r="E6283" s="2" t="s">
        <v>199</v>
      </c>
    </row>
    <row r="6284" spans="1:5" x14ac:dyDescent="0.2">
      <c r="A6284">
        <v>6223</v>
      </c>
      <c r="B6284" s="138">
        <f>'Acct Summary 7-8'!K83</f>
        <v>1.5690341930665486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513821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513821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2850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17810</v>
      </c>
      <c r="D6350" s="2" t="str">
        <f t="shared" si="98"/>
        <v>Error?</v>
      </c>
      <c r="E6350" s="2" t="s">
        <v>199</v>
      </c>
    </row>
    <row r="6351" spans="1:5" x14ac:dyDescent="0.2">
      <c r="A6351">
        <v>6290</v>
      </c>
      <c r="B6351" s="138">
        <f>'Revenues 9-14'!J108</f>
        <v>17810</v>
      </c>
      <c r="D6351" s="2" t="str">
        <f t="shared" si="98"/>
        <v>Error?</v>
      </c>
      <c r="E6351" s="2" t="s">
        <v>199</v>
      </c>
    </row>
    <row r="6352" spans="1:5" x14ac:dyDescent="0.2">
      <c r="A6352">
        <v>6291</v>
      </c>
      <c r="B6352" s="138">
        <f>'Revenues 9-14'!J109</f>
        <v>531754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2740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127156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148563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764</v>
      </c>
      <c r="D6981" s="2" t="str">
        <f t="shared" si="108"/>
        <v>Error?</v>
      </c>
    </row>
    <row r="6982" spans="1:4" x14ac:dyDescent="0.2">
      <c r="A6982">
        <v>6921</v>
      </c>
      <c r="B6982" s="138">
        <f>'Expenditures 15-22'!K85</f>
        <v>764</v>
      </c>
      <c r="D6982" s="2" t="str">
        <f t="shared" si="108"/>
        <v>Error?</v>
      </c>
    </row>
    <row r="6983" spans="1:4" x14ac:dyDescent="0.2">
      <c r="A6983">
        <v>6922</v>
      </c>
      <c r="B6983" s="138">
        <f>'Expenditures 15-22'!H86</f>
        <v>507004</v>
      </c>
      <c r="D6983" s="2" t="str">
        <f t="shared" si="108"/>
        <v>Error?</v>
      </c>
    </row>
    <row r="6984" spans="1:4" x14ac:dyDescent="0.2">
      <c r="A6984">
        <v>6923</v>
      </c>
      <c r="B6984" s="138">
        <f>'Expenditures 15-22'!K86</f>
        <v>507004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507768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532371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308</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531754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9031</v>
      </c>
      <c r="D7073" s="2" t="str">
        <f t="shared" si="109"/>
        <v>Error?</v>
      </c>
    </row>
    <row r="7074" spans="1:4" x14ac:dyDescent="0.2">
      <c r="A7074">
        <v>7013</v>
      </c>
      <c r="B7074" s="138">
        <f>'Expenditures 15-22'!K216</f>
        <v>9031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2726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2726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73537</v>
      </c>
      <c r="D7156" s="2" t="str">
        <f t="shared" si="110"/>
        <v>Error?</v>
      </c>
    </row>
    <row r="7157" spans="1:4" x14ac:dyDescent="0.2">
      <c r="A7157">
        <v>7096</v>
      </c>
      <c r="B7157" s="138">
        <f>'Expenditures 15-22'!F323</f>
        <v>2275</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75812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15500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15500</v>
      </c>
      <c r="D7171" s="2" t="str">
        <f t="shared" si="111"/>
        <v>Error?</v>
      </c>
    </row>
    <row r="7172" spans="1:4" x14ac:dyDescent="0.2">
      <c r="A7172">
        <v>7111</v>
      </c>
      <c r="B7172" s="138">
        <f>'Expenditures 15-22'!C325</f>
        <v>341870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341870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16087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16087</v>
      </c>
      <c r="D7198" s="2" t="str">
        <f t="shared" si="111"/>
        <v>Error?</v>
      </c>
    </row>
    <row r="7199" spans="1:4" x14ac:dyDescent="0.2">
      <c r="A7199">
        <v>7138</v>
      </c>
      <c r="B7199" s="138">
        <f>'Expenditures 15-22'!C330</f>
        <v>341870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172726</v>
      </c>
      <c r="D7201" s="2" t="str">
        <f t="shared" si="111"/>
        <v>Error?</v>
      </c>
    </row>
    <row r="7202" spans="1:4" x14ac:dyDescent="0.2">
      <c r="A7202">
        <v>7141</v>
      </c>
      <c r="B7202" s="138">
        <f>'Expenditures 15-22'!F330</f>
        <v>2275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15500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532371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341870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172726</v>
      </c>
      <c r="D7218" s="2" t="str">
        <f t="shared" si="111"/>
        <v>Error?</v>
      </c>
    </row>
    <row r="7219" spans="1:4" x14ac:dyDescent="0.2">
      <c r="A7219">
        <v>7158</v>
      </c>
      <c r="B7219" s="138">
        <f>'Expenditures 15-22'!F342</f>
        <v>2275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15500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532371</v>
      </c>
      <c r="D7224" s="2" t="str">
        <f t="shared" si="111"/>
        <v>Error?</v>
      </c>
    </row>
    <row r="7225" spans="1:4" x14ac:dyDescent="0.2">
      <c r="A7225">
        <v>7164</v>
      </c>
      <c r="B7225" s="138">
        <f>'Expenditures 15-22'!K343</f>
        <v>-617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12734</v>
      </c>
      <c r="D7246" s="2" t="str">
        <f t="shared" si="112"/>
        <v>Error?</v>
      </c>
    </row>
    <row r="7247" spans="1:4" x14ac:dyDescent="0.2">
      <c r="A7247">
        <f t="shared" si="113"/>
        <v>7186</v>
      </c>
      <c r="B7247" s="138">
        <f>'Expenditures 15-22'!E7</f>
        <v>2344</v>
      </c>
      <c r="D7247" s="2" t="str">
        <f t="shared" si="112"/>
        <v>Error?</v>
      </c>
    </row>
    <row r="7248" spans="1:4" x14ac:dyDescent="0.2">
      <c r="A7248">
        <f t="shared" si="113"/>
        <v>7187</v>
      </c>
      <c r="B7248" s="138">
        <f>'Expenditures 15-22'!F7</f>
        <v>5089</v>
      </c>
      <c r="D7248" s="2" t="str">
        <f t="shared" si="112"/>
        <v>Error?</v>
      </c>
    </row>
    <row r="7249" spans="1:4" x14ac:dyDescent="0.2">
      <c r="A7249">
        <f t="shared" si="113"/>
        <v>7188</v>
      </c>
      <c r="B7249" s="138">
        <f>'Expenditures 15-22'!G7</f>
        <v>1240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194859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80376</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80376</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14133</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2850</v>
      </c>
      <c r="D7712" s="2" t="str">
        <f t="shared" si="126"/>
        <v>Error?</v>
      </c>
      <c r="E7712" s="2" t="s">
        <v>881</v>
      </c>
    </row>
    <row r="7713" spans="1:6" x14ac:dyDescent="0.2">
      <c r="A7713">
        <v>7652</v>
      </c>
      <c r="B7713" s="138">
        <f>'Rest Tax Levies-Tort Im 25'!J8</f>
        <v>10273</v>
      </c>
      <c r="D7713" s="2" t="str">
        <f t="shared" si="126"/>
        <v>Error?</v>
      </c>
      <c r="E7713" s="2" t="s">
        <v>881</v>
      </c>
    </row>
    <row r="7714" spans="1:6" x14ac:dyDescent="0.2">
      <c r="A7714">
        <v>7653</v>
      </c>
      <c r="B7714" s="138">
        <f>'Rest Tax Levies-Tort Im 25'!K9</f>
        <v>7211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10273</v>
      </c>
      <c r="D7718" s="2" t="str">
        <f t="shared" si="126"/>
        <v>Error?</v>
      </c>
      <c r="E7718" s="2" t="s">
        <v>881</v>
      </c>
    </row>
    <row r="7719" spans="1:6" x14ac:dyDescent="0.2">
      <c r="A7719">
        <v>7658</v>
      </c>
      <c r="B7719" s="138">
        <f>'Rest Tax Levies-Tort Im 25'!K12</f>
        <v>10061</v>
      </c>
      <c r="D7719" s="2" t="str">
        <f t="shared" si="126"/>
        <v>Error?</v>
      </c>
      <c r="E7719" s="2" t="s">
        <v>881</v>
      </c>
    </row>
    <row r="7720" spans="1:6" x14ac:dyDescent="0.2">
      <c r="A7720">
        <v>7659</v>
      </c>
      <c r="B7720" s="138">
        <f>'Rest Tax Levies-Tort Im 25'!H14</f>
        <v>29793</v>
      </c>
      <c r="D7720" s="2" t="str">
        <f t="shared" si="126"/>
        <v>Error?</v>
      </c>
      <c r="E7720" s="2" t="s">
        <v>881</v>
      </c>
    </row>
    <row r="7721" spans="1:6" x14ac:dyDescent="0.2">
      <c r="A7721">
        <v>7660</v>
      </c>
      <c r="B7721" s="138">
        <f>'Rest Tax Levies-Tort Im 25'!K14</f>
        <v>10061</v>
      </c>
      <c r="D7721" s="2" t="str">
        <f t="shared" si="126"/>
        <v>Error?</v>
      </c>
      <c r="E7721" s="2" t="s">
        <v>881</v>
      </c>
    </row>
    <row r="7722" spans="1:6" x14ac:dyDescent="0.2">
      <c r="A7722">
        <v>7661</v>
      </c>
      <c r="B7722" s="138">
        <f>'Rest Tax Levies-Tort Im 25'!J15</f>
        <v>9994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9994</v>
      </c>
      <c r="D7730" s="2" t="str">
        <f t="shared" si="126"/>
        <v>Error?</v>
      </c>
      <c r="E7730" s="2" t="s">
        <v>881</v>
      </c>
    </row>
    <row r="7731" spans="1:6" x14ac:dyDescent="0.2">
      <c r="A7731">
        <v>7670</v>
      </c>
      <c r="B7731" s="138">
        <f>'Revenues 9-14'!H103</f>
        <v>10273</v>
      </c>
      <c r="D7731" s="2" t="str">
        <f t="shared" si="126"/>
        <v>Error?</v>
      </c>
      <c r="E7731" s="2" t="s">
        <v>881</v>
      </c>
    </row>
    <row r="7732" spans="1:6" x14ac:dyDescent="0.2">
      <c r="A7732">
        <v>7671</v>
      </c>
      <c r="B7732" s="138">
        <f>'Rest Tax Levies-Tort Im 25'!J24</f>
        <v>14412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14412</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29'!D37</f>
        <v>79985</v>
      </c>
      <c r="D7797" s="2" t="str">
        <f t="shared" si="127"/>
        <v>Error?</v>
      </c>
      <c r="E7797" s="4" t="s">
        <v>2020</v>
      </c>
    </row>
    <row r="7798" spans="1:5" x14ac:dyDescent="0.2">
      <c r="A7798">
        <v>7737</v>
      </c>
      <c r="B7798" s="138">
        <f>'Contracts Paid in CY 29'!F37</f>
        <v>25000</v>
      </c>
      <c r="D7798" s="2" t="str">
        <f t="shared" si="127"/>
        <v>Error?</v>
      </c>
      <c r="E7798" s="4" t="s">
        <v>2020</v>
      </c>
    </row>
    <row r="7799" spans="1:5" x14ac:dyDescent="0.2">
      <c r="A7799">
        <v>7738</v>
      </c>
      <c r="B7799" s="138">
        <f>'Contracts Paid in CY 29'!G37</f>
        <v>54985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 xml:space="preserve">Pawnee CUSD 11                      </v>
      </c>
      <c r="B7" s="2401"/>
      <c r="C7" s="2401"/>
      <c r="D7" s="2438"/>
      <c r="E7" s="2439">
        <f>COVER!A13</f>
        <v>51084011026</v>
      </c>
      <c r="F7" s="2440"/>
      <c r="G7" s="2407" t="str">
        <f>COVER!T23</f>
        <v>060-004845</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Pehlman and Dold, P.C.</v>
      </c>
      <c r="H9" s="2414"/>
      <c r="I9" s="2414"/>
      <c r="J9" s="2414"/>
      <c r="K9" s="2414"/>
      <c r="L9" s="2415"/>
    </row>
    <row r="10" spans="1:29" ht="13.5" customHeight="1" x14ac:dyDescent="0.2">
      <c r="A10" s="2397" t="str">
        <f>COVER!A38</f>
        <v>Gary Alexander, Superintendent</v>
      </c>
      <c r="B10" s="2398"/>
      <c r="C10" s="2398"/>
      <c r="D10" s="2398"/>
      <c r="E10" s="2398"/>
      <c r="F10" s="2399"/>
      <c r="G10" s="2413" t="str">
        <f>COVER!T17</f>
        <v>100 North Amos Avenue</v>
      </c>
      <c r="H10" s="2426"/>
      <c r="I10" s="2426"/>
      <c r="J10" s="2426"/>
      <c r="K10" s="2426"/>
      <c r="L10" s="2427"/>
    </row>
    <row r="11" spans="1:29" ht="13.5" customHeight="1" x14ac:dyDescent="0.2">
      <c r="A11" s="1185" t="s">
        <v>1599</v>
      </c>
      <c r="B11" s="1186"/>
      <c r="C11" s="1187"/>
      <c r="D11" s="1192"/>
      <c r="E11" s="1187"/>
      <c r="F11" s="1191"/>
      <c r="G11" s="2413" t="str">
        <f>COVER!T19</f>
        <v>Springfield</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dfitzgerald@p-dcpas.com</v>
      </c>
      <c r="J13" s="2435"/>
      <c r="K13" s="2435"/>
      <c r="L13" s="2436"/>
    </row>
    <row r="14" spans="1:29" ht="13.5" customHeight="1" x14ac:dyDescent="0.2">
      <c r="A14" s="2413" t="str">
        <f>COVER!A19</f>
        <v>810 4th Street</v>
      </c>
      <c r="B14" s="2426"/>
      <c r="C14" s="2426"/>
      <c r="D14" s="2426"/>
      <c r="E14" s="2426"/>
      <c r="F14" s="2427"/>
      <c r="G14" s="1196" t="s">
        <v>1247</v>
      </c>
      <c r="H14" s="1194"/>
      <c r="I14" s="1194"/>
      <c r="J14" s="1194"/>
      <c r="K14" s="1194"/>
      <c r="L14" s="1195"/>
    </row>
    <row r="15" spans="1:29" ht="13.5" customHeight="1" x14ac:dyDescent="0.2">
      <c r="A15" s="2413" t="str">
        <f>COVER!A21</f>
        <v>Pawnee</v>
      </c>
      <c r="B15" s="2426"/>
      <c r="C15" s="2426"/>
      <c r="D15" s="2426"/>
      <c r="E15" s="2426"/>
      <c r="F15" s="2427"/>
      <c r="G15" s="2423" t="str">
        <f>COVER!T15</f>
        <v>Dorinda L Fitzgerald</v>
      </c>
      <c r="H15" s="2424"/>
      <c r="I15" s="2424"/>
      <c r="J15" s="2424"/>
      <c r="K15" s="2424"/>
      <c r="L15" s="2425"/>
    </row>
    <row r="16" spans="1:29" ht="12.2" customHeight="1" x14ac:dyDescent="0.2">
      <c r="A16" s="2403" t="str">
        <f>COVER!A25</f>
        <v>62558-9680</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(217) 787-0563</v>
      </c>
      <c r="H18" s="2401"/>
      <c r="I18" s="2401"/>
      <c r="J18" s="2401"/>
      <c r="K18" s="2400" t="str">
        <f>COVER!X21</f>
        <v>(217) 787-9266</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 xml:space="preserve">Pawnee CUSD 11                      </v>
      </c>
      <c r="B1" s="2437"/>
      <c r="C1" s="2437"/>
      <c r="D1" s="2437"/>
    </row>
    <row r="2" spans="1:11" s="1215" customFormat="1" ht="12.75" x14ac:dyDescent="0.2">
      <c r="A2" s="2442">
        <f>'Single Audit Cover'!E7</f>
        <v>51084011026</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 xml:space="preserve">Pawnee CUSD 11                      </v>
      </c>
      <c r="B1" s="2445"/>
      <c r="C1" s="2445"/>
      <c r="D1" s="2445"/>
      <c r="E1" s="2445"/>
    </row>
    <row r="2" spans="1:5" x14ac:dyDescent="0.2">
      <c r="A2" s="2446">
        <f>'Single Audit Cover'!E7</f>
        <v>51084011026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286388</v>
      </c>
    </row>
    <row r="11" spans="1:5" ht="18" customHeight="1" x14ac:dyDescent="0.2">
      <c r="A11" s="1261" t="s">
        <v>1302</v>
      </c>
      <c r="B11" s="1262"/>
      <c r="C11" s="1262"/>
    </row>
    <row r="12" spans="1:5" x14ac:dyDescent="0.2">
      <c r="A12" s="1261" t="s">
        <v>1301</v>
      </c>
      <c r="B12" s="1262" t="s">
        <v>1300</v>
      </c>
      <c r="C12" s="1262"/>
      <c r="D12" s="1264">
        <f>SUM('Revenues 9-14'!C112:D112,'Revenues 9-14'!F112:G112)</f>
        <v>114973</v>
      </c>
    </row>
    <row r="13" spans="1:5" x14ac:dyDescent="0.2">
      <c r="A13" s="1261" t="s">
        <v>1299</v>
      </c>
      <c r="B13" s="1262"/>
      <c r="C13" s="1262"/>
    </row>
    <row r="14" spans="1:5" x14ac:dyDescent="0.2">
      <c r="A14" s="1261" t="s">
        <v>1830</v>
      </c>
      <c r="B14" s="1262"/>
      <c r="C14" s="1262"/>
      <c r="D14" s="1264">
        <f>'ICR Computation 30'!E11</f>
        <v>13184</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-16479</v>
      </c>
    </row>
    <row r="19" spans="1:4" ht="13.5" thickBot="1" x14ac:dyDescent="0.25">
      <c r="A19" s="1265" t="s">
        <v>1297</v>
      </c>
      <c r="D19" s="1266">
        <f>SUM(D10:D17)</f>
        <v>398066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398066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398066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 xml:space="preserve">Pawnee CUSD 11                      </v>
      </c>
      <c r="B1" s="2450"/>
      <c r="C1" s="2450"/>
      <c r="D1" s="2450"/>
      <c r="E1" s="2450"/>
      <c r="F1" s="2450"/>
    </row>
    <row r="2" spans="1:7" ht="13.5" customHeight="1" x14ac:dyDescent="0.2">
      <c r="A2" s="2451">
        <f>'Single Audit Cover'!E7</f>
        <v>51084011026</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1832</v>
      </c>
      <c r="B7" s="2449"/>
      <c r="C7" s="2449"/>
      <c r="D7" s="2449"/>
      <c r="E7" s="2449"/>
      <c r="F7" s="244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49" t="s">
        <v>1834</v>
      </c>
      <c r="B13" s="2449"/>
      <c r="C13" s="2449"/>
      <c r="D13" s="2449"/>
      <c r="E13" s="2449"/>
      <c r="F13" s="2449"/>
    </row>
    <row r="14" spans="1:7" ht="9.75" customHeight="1" x14ac:dyDescent="0.2">
      <c r="C14" s="1260"/>
      <c r="D14" s="1260"/>
    </row>
    <row r="15" spans="1:7" ht="13.5" customHeight="1" x14ac:dyDescent="0.2">
      <c r="C15" s="1869" t="s">
        <v>1332</v>
      </c>
      <c r="D15" s="2455" t="s">
        <v>1331</v>
      </c>
      <c r="E15" s="2455"/>
      <c r="F15" s="2455"/>
    </row>
    <row r="16" spans="1:7" ht="13.5" customHeight="1" x14ac:dyDescent="0.2">
      <c r="A16" s="1282"/>
      <c r="B16" s="1276" t="s">
        <v>1330</v>
      </c>
      <c r="C16" s="1869" t="s">
        <v>1329</v>
      </c>
      <c r="D16" s="2456" t="s">
        <v>1670</v>
      </c>
      <c r="E16" s="2456"/>
      <c r="F16" s="2456"/>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9">
        <f>+C33+C34</f>
        <v>0</v>
      </c>
      <c r="F34" s="2460"/>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68"/>
      <c r="C50" s="1868"/>
      <c r="D50" s="1868"/>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 xml:space="preserve">Pawnee CUSD 11                      </v>
      </c>
      <c r="C1" s="2462"/>
      <c r="D1" s="2462"/>
      <c r="E1" s="2462"/>
      <c r="F1" s="2462"/>
      <c r="G1" s="2462"/>
      <c r="H1" s="2462"/>
      <c r="I1" s="2462"/>
      <c r="J1" s="2462"/>
      <c r="K1" s="2462"/>
      <c r="L1" s="2462"/>
      <c r="M1" s="2462"/>
    </row>
    <row r="2" spans="2:14" ht="15" x14ac:dyDescent="0.2">
      <c r="B2" s="2451">
        <f>'Single Audit Cover'!E7</f>
        <v>51084011026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 xml:space="preserve">Pawnee CUSD 11                      </v>
      </c>
      <c r="C1" s="2470"/>
      <c r="D1" s="2470"/>
      <c r="E1" s="2470"/>
      <c r="F1" s="2470"/>
      <c r="G1" s="2470"/>
      <c r="H1" s="2470"/>
      <c r="I1" s="2470"/>
      <c r="J1" s="1422"/>
    </row>
    <row r="2" spans="2:10" s="317" customFormat="1" ht="12.75" customHeight="1" x14ac:dyDescent="0.2">
      <c r="B2" s="2471">
        <f>'Single Audit Cover'!E7</f>
        <v>51084011026</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c r="E29" s="2476"/>
      <c r="F29" s="2476"/>
      <c r="G29" s="2476"/>
      <c r="H29" s="2476"/>
      <c r="I29" s="247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7" t="s">
        <v>1854</v>
      </c>
      <c r="D37" s="2478"/>
      <c r="E37" s="2478"/>
      <c r="F37" s="2479"/>
      <c r="G37" s="2477" t="s">
        <v>1674</v>
      </c>
      <c r="H37" s="2478"/>
      <c r="I37" s="2479"/>
    </row>
    <row r="38" spans="2:9" ht="16.5" customHeight="1" x14ac:dyDescent="0.2">
      <c r="B38" s="1444"/>
      <c r="C38" s="2465"/>
      <c r="D38" s="2466"/>
      <c r="E38" s="2466"/>
      <c r="F38" s="2467"/>
      <c r="G38" s="2480"/>
      <c r="H38" s="2481"/>
      <c r="I38" s="2482"/>
    </row>
    <row r="39" spans="2:9" ht="16.5" customHeight="1" x14ac:dyDescent="0.2">
      <c r="B39" s="1444"/>
      <c r="C39" s="2465"/>
      <c r="D39" s="2466"/>
      <c r="E39" s="2466"/>
      <c r="F39" s="2467"/>
      <c r="G39" s="2468"/>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0</v>
      </c>
      <c r="H43" s="2486"/>
      <c r="I43" s="2486"/>
    </row>
    <row r="44" spans="2:9" ht="12.75" customHeight="1" x14ac:dyDescent="0.2"/>
    <row r="45" spans="2:9" ht="12.75" customHeight="1" x14ac:dyDescent="0.2">
      <c r="B45" s="1435" t="s">
        <v>1952</v>
      </c>
      <c r="D45" s="2487">
        <v>0</v>
      </c>
      <c r="E45" s="248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9"/>
      <c r="F49" s="2489"/>
      <c r="G49" s="248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 xml:space="preserve">Pawnee CUSD 11                      </v>
      </c>
      <c r="C1" s="2469"/>
      <c r="D1" s="2469"/>
      <c r="E1" s="2469"/>
      <c r="F1" s="2469"/>
      <c r="G1" s="2469"/>
      <c r="H1" s="2469"/>
      <c r="I1" s="2469"/>
      <c r="J1" s="2469"/>
      <c r="K1" s="2469"/>
      <c r="L1" s="1374"/>
      <c r="M1" s="1374"/>
    </row>
    <row r="2" spans="1:13" ht="12" customHeight="1" x14ac:dyDescent="0.2">
      <c r="B2" s="2471">
        <f>'Single Audit Cover'!E7</f>
        <v>51084011026</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 xml:space="preserve">Pawnee CUSD 11                      </v>
      </c>
      <c r="C1" s="2496"/>
      <c r="D1" s="2496"/>
      <c r="E1" s="2496"/>
      <c r="F1" s="2496"/>
      <c r="G1" s="2496"/>
      <c r="H1" s="2496"/>
      <c r="I1" s="2496"/>
      <c r="J1" s="2496"/>
      <c r="K1" s="2496"/>
      <c r="L1" s="1465"/>
    </row>
    <row r="2" spans="1:12" ht="12.75" customHeight="1" x14ac:dyDescent="0.2">
      <c r="B2" s="2497">
        <f>'Single Audit Cover'!E7</f>
        <v>51084011026</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 xml:space="preserve">Pawnee CUSD 11                      </v>
      </c>
      <c r="C1" s="2469"/>
      <c r="D1" s="2469"/>
      <c r="E1" s="1491"/>
    </row>
    <row r="2" spans="2:5" s="1282" customFormat="1" ht="12.75" customHeight="1" x14ac:dyDescent="0.2">
      <c r="B2" s="2471">
        <f>'Single Audit Cover'!E7</f>
        <v>51084011026</v>
      </c>
      <c r="C2" s="2471"/>
      <c r="D2" s="2471"/>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elements/1.1/"/>
    <ds:schemaRef ds:uri="http://schemas.microsoft.com/sharepoint/v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2018-09-21T18:34:25Z</cp:lastPrinted>
  <dcterms:created xsi:type="dcterms:W3CDTF">2003-10-29T19:06:34Z</dcterms:created>
  <dcterms:modified xsi:type="dcterms:W3CDTF">2018-11-15T17:12:49Z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